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24" i="1" l="1"/>
  <c r="L23" i="1"/>
  <c r="K24" i="1" s="1"/>
  <c r="I17" i="1"/>
  <c r="N22" i="1" l="1"/>
  <c r="E20" i="1" s="1"/>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P59" i="15" l="1"/>
  <c r="K60" i="15"/>
  <c r="P72" i="15" s="1"/>
  <c r="A126" i="57" l="1"/>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5" i="31" l="1"/>
  <c r="M5" i="31"/>
  <c r="N5" i="31"/>
  <c r="O5" i="31"/>
  <c r="P5" i="31"/>
  <c r="Q5" i="31"/>
  <c r="R5" i="31"/>
  <c r="C1" i="61" l="1"/>
  <c r="L1" i="61" s="1"/>
  <c r="F7" i="61"/>
  <c r="J1" i="61" l="1"/>
  <c r="B68" i="60"/>
  <c r="F3" i="61"/>
  <c r="F5" i="61"/>
  <c r="F4" i="61"/>
  <c r="F6" i="61"/>
  <c r="D3" i="61"/>
  <c r="D7" i="61"/>
  <c r="D6" i="61"/>
  <c r="I1" i="61" l="1"/>
  <c r="B30" i="1" s="1"/>
  <c r="D5"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E48" i="59"/>
  <c r="P47" i="59" s="1"/>
  <c r="D47" i="59"/>
  <c r="Q46" i="59"/>
  <c r="P46" i="59"/>
  <c r="O46" i="59"/>
  <c r="N46" i="59"/>
  <c r="Q45" i="59"/>
  <c r="P45" i="59"/>
  <c r="O45" i="59"/>
  <c r="N45" i="59"/>
  <c r="Q44" i="59"/>
  <c r="P44" i="59"/>
  <c r="O44" i="59"/>
  <c r="N44" i="59"/>
  <c r="Q43" i="59"/>
  <c r="F44" i="59" s="1"/>
  <c r="F45" i="59" s="1"/>
  <c r="F46" i="59" s="1"/>
  <c r="V46" i="59" s="1"/>
  <c r="P43" i="59"/>
  <c r="E44"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D39" i="59"/>
  <c r="Q38" i="59"/>
  <c r="P38" i="59"/>
  <c r="O38" i="59"/>
  <c r="N38" i="59"/>
  <c r="Q37" i="59"/>
  <c r="P37" i="59"/>
  <c r="O37" i="59"/>
  <c r="N37" i="59"/>
  <c r="Q36" i="59"/>
  <c r="P36" i="59"/>
  <c r="O36" i="59"/>
  <c r="N36" i="59"/>
  <c r="C36" i="59"/>
  <c r="Q35" i="59"/>
  <c r="F36" i="59" s="1"/>
  <c r="F37" i="59" s="1"/>
  <c r="F38" i="59" s="1"/>
  <c r="V38" i="59" s="1"/>
  <c r="P35" i="59"/>
  <c r="E36" i="59" s="1"/>
  <c r="O35" i="59"/>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F20" i="59"/>
  <c r="F21" i="59" s="1"/>
  <c r="F22" i="59" s="1"/>
  <c r="V22"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F16" i="59"/>
  <c r="F17" i="59" s="1"/>
  <c r="F18" i="59" s="1"/>
  <c r="V18"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F12" i="59"/>
  <c r="F13" i="59" s="1"/>
  <c r="F14" i="59" s="1"/>
  <c r="V14" i="59" s="1"/>
  <c r="Q11" i="59"/>
  <c r="P11" i="59"/>
  <c r="O11" i="59"/>
  <c r="N11" i="59"/>
  <c r="D11" i="59"/>
  <c r="O10" i="59"/>
  <c r="N10" i="59"/>
  <c r="B41" i="59" l="1"/>
  <c r="B42" i="59" s="1"/>
  <c r="S42" i="59" s="1"/>
  <c r="Y6" i="59"/>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P50" i="59"/>
  <c r="U50" i="59"/>
  <c r="E20" i="59"/>
  <c r="E21" i="59" s="1"/>
  <c r="E22" i="59" s="1"/>
  <c r="U22" i="59" s="1"/>
  <c r="AA19" i="59"/>
  <c r="X5" i="59"/>
  <c r="X6" i="59"/>
  <c r="C12" i="59"/>
  <c r="C13" i="59" s="1"/>
  <c r="Y11" i="59"/>
  <c r="Z11" i="59" s="1"/>
  <c r="AB11" i="59"/>
  <c r="X12" i="59"/>
  <c r="AA12" i="59"/>
  <c r="X13" i="59"/>
  <c r="AA13" i="59"/>
  <c r="X14" i="59"/>
  <c r="AA14" i="59"/>
  <c r="C16" i="59"/>
  <c r="Y15" i="59"/>
  <c r="Z15" i="59" s="1"/>
  <c r="AB15" i="59"/>
  <c r="X16" i="59"/>
  <c r="AA16" i="59"/>
  <c r="X17" i="59"/>
  <c r="AA17" i="59"/>
  <c r="X18" i="59"/>
  <c r="AA18" i="59"/>
  <c r="C20" i="59"/>
  <c r="C21" i="59" s="1"/>
  <c r="Y19" i="59"/>
  <c r="Z19" i="59" s="1"/>
  <c r="AB19" i="59"/>
  <c r="X20" i="59"/>
  <c r="AA20" i="59"/>
  <c r="F33" i="59"/>
  <c r="F34" i="59" s="1"/>
  <c r="V34" i="59" s="1"/>
  <c r="N50" i="59"/>
  <c r="C10" i="59"/>
  <c r="T10" i="59" s="1"/>
  <c r="Y3" i="59"/>
  <c r="Z3" i="59" s="1"/>
  <c r="Y7" i="59"/>
  <c r="Z7" i="59" s="1"/>
  <c r="Y8" i="59"/>
  <c r="Z8" i="59" s="1"/>
  <c r="Y10" i="59"/>
  <c r="Z10" i="59" s="1"/>
  <c r="Y9" i="59"/>
  <c r="Z9" i="59" s="1"/>
  <c r="B10" i="59"/>
  <c r="X10" i="59"/>
  <c r="X9" i="59"/>
  <c r="X3" i="59"/>
  <c r="X7" i="59"/>
  <c r="X8" i="59"/>
  <c r="D12" i="59"/>
  <c r="C17" i="59"/>
  <c r="D16"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6" i="59" l="1"/>
  <c r="AB5" i="59"/>
  <c r="AA5" i="59"/>
  <c r="AA6"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Z25" i="40" l="1"/>
  <c r="Q25" i="40"/>
  <c r="E94" i="40"/>
  <c r="F94" i="40" s="1"/>
  <c r="D94" i="40"/>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S42" i="34" s="1"/>
  <c r="J38" i="34"/>
  <c r="AC38" i="34" s="1"/>
  <c r="D114" i="34"/>
  <c r="E114" i="34" s="1"/>
  <c r="F114" i="34" s="1"/>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Q22" i="36"/>
  <c r="Z22" i="36" s="1"/>
  <c r="J22" i="36"/>
  <c r="Q20" i="36"/>
  <c r="Z20" i="36"/>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F32" i="21" s="1"/>
  <c r="S32"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H44" i="21" s="1"/>
  <c r="U44" i="21" s="1"/>
  <c r="B98" i="21"/>
  <c r="B96" i="2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U41" i="21"/>
  <c r="AA41" i="21"/>
  <c r="W41" i="21"/>
  <c r="F45" i="39"/>
  <c r="J44" i="39"/>
  <c r="F36" i="39"/>
  <c r="S36" i="39" s="1"/>
  <c r="H36" i="39"/>
  <c r="AB36" i="39" s="1"/>
  <c r="J36" i="39"/>
  <c r="AC36" i="39" s="1"/>
  <c r="U38" i="39"/>
  <c r="H32" i="37"/>
  <c r="AB32" i="37" s="1"/>
  <c r="U8" i="37"/>
  <c r="F39" i="37"/>
  <c r="S39" i="37" s="1"/>
  <c r="U14" i="37"/>
  <c r="S30" i="37"/>
  <c r="W30" i="37"/>
  <c r="F29" i="36"/>
  <c r="AA29" i="36" s="1"/>
  <c r="F16" i="36"/>
  <c r="S16" i="36" s="1"/>
  <c r="U22" i="36"/>
  <c r="W23" i="36"/>
  <c r="AA31" i="36"/>
  <c r="W31" i="36"/>
  <c r="U31" i="36"/>
  <c r="J33" i="36"/>
  <c r="W33" i="36" s="1"/>
  <c r="AB34" i="36"/>
  <c r="H22" i="35"/>
  <c r="AB22" i="35" s="1"/>
  <c r="U31" i="35"/>
  <c r="S32" i="35"/>
  <c r="S31" i="35"/>
  <c r="U32" i="35"/>
  <c r="F36" i="34"/>
  <c r="AA36" i="34" s="1"/>
  <c r="U39" i="34"/>
  <c r="H39" i="33"/>
  <c r="AB39" i="33" s="1"/>
  <c r="F26" i="33"/>
  <c r="W8" i="21"/>
  <c r="H39" i="37"/>
  <c r="AB39" i="37" s="1"/>
  <c r="S27" i="35"/>
  <c r="F11" i="40"/>
  <c r="AA11" i="40" s="1"/>
  <c r="S8" i="40"/>
  <c r="H11" i="40"/>
  <c r="AB11" i="40" s="1"/>
  <c r="W8" i="40"/>
  <c r="U9" i="40"/>
  <c r="S34" i="40"/>
  <c r="U34" i="40"/>
  <c r="F42" i="39"/>
  <c r="AA42" i="39" s="1"/>
  <c r="F41" i="39"/>
  <c r="AA41" i="39" s="1"/>
  <c r="H40" i="39"/>
  <c r="AB40" i="39" s="1"/>
  <c r="H39" i="39"/>
  <c r="U39" i="39" s="1"/>
  <c r="S38"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H40" i="34"/>
  <c r="U40" i="34" s="1"/>
  <c r="F38" i="34"/>
  <c r="AA38" i="34" s="1"/>
  <c r="G114" i="34"/>
  <c r="H114" i="34" s="1"/>
  <c r="I114" i="34" s="1"/>
  <c r="J114" i="34" s="1"/>
  <c r="K114" i="34" s="1"/>
  <c r="L114" i="34" s="1"/>
  <c r="M114" i="34" s="1"/>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H10" i="33"/>
  <c r="U10" i="33" s="1"/>
  <c r="U40" i="33"/>
  <c r="S8" i="33"/>
  <c r="F37" i="40"/>
  <c r="AA37" i="40" s="1"/>
  <c r="F36" i="40"/>
  <c r="AA36" i="40" s="1"/>
  <c r="F27" i="40"/>
  <c r="S27" i="40" s="1"/>
  <c r="F23" i="40"/>
  <c r="AA23" i="40" s="1"/>
  <c r="AC11" i="40"/>
  <c r="AB30" i="36"/>
  <c r="AC34" i="36"/>
  <c r="AC30" i="35"/>
  <c r="W32" i="35"/>
  <c r="F29" i="35"/>
  <c r="S29" i="35" s="1"/>
  <c r="U34" i="37"/>
  <c r="H38" i="34"/>
  <c r="H37" i="33"/>
  <c r="AB37" i="33" s="1"/>
  <c r="AA37" i="33"/>
  <c r="H36" i="33"/>
  <c r="U36" i="33" s="1"/>
  <c r="S25" i="33"/>
  <c r="F17" i="33"/>
  <c r="AA17" i="33" s="1"/>
  <c r="H15" i="33"/>
  <c r="AB15" i="33" s="1"/>
  <c r="AB11" i="33"/>
  <c r="AC42" i="34"/>
  <c r="W42" i="34"/>
  <c r="AA42" i="34"/>
  <c r="W38" i="34"/>
  <c r="J37" i="33"/>
  <c r="AC37" i="33" s="1"/>
  <c r="J36" i="33"/>
  <c r="AC36" i="33" s="1"/>
  <c r="J11" i="33"/>
  <c r="AC11" i="33" s="1"/>
  <c r="J42" i="21"/>
  <c r="AC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S46" i="33"/>
  <c r="AC13" i="36"/>
  <c r="U32" i="36"/>
  <c r="U31" i="33"/>
  <c r="W29" i="33"/>
  <c r="AB28" i="33"/>
  <c r="S33"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J32" i="21"/>
  <c r="W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F23" i="39"/>
  <c r="AA23" i="39" s="1"/>
  <c r="F97" i="39"/>
  <c r="G97" i="39" s="1"/>
  <c r="S26" i="37"/>
  <c r="S24" i="36"/>
  <c r="F44" i="34"/>
  <c r="S44" i="34" s="1"/>
  <c r="F126" i="34"/>
  <c r="G126"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12" i="36"/>
  <c r="W45" i="21"/>
  <c r="W13" i="21"/>
  <c r="AC13" i="21"/>
  <c r="S27" i="36"/>
  <c r="AB25" i="34"/>
  <c r="I60" i="37"/>
  <c r="J10" i="37"/>
  <c r="AC10" i="37" s="1"/>
  <c r="H23" i="39"/>
  <c r="AB23" i="39" s="1"/>
  <c r="J11" i="34"/>
  <c r="W11" i="34" s="1"/>
  <c r="J27" i="33"/>
  <c r="W27" i="33" s="1"/>
  <c r="J25" i="34"/>
  <c r="W25" i="34" s="1"/>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C109" i="57" l="1"/>
  <c r="H103" i="57" s="1"/>
  <c r="AC37" i="34"/>
  <c r="W30" i="33"/>
  <c r="E77" i="21"/>
  <c r="F77" i="21" s="1"/>
  <c r="G77" i="21" s="1"/>
  <c r="H15" i="21"/>
  <c r="AC9" i="35"/>
  <c r="W9" i="35"/>
  <c r="AB9" i="35"/>
  <c r="U9" i="35"/>
  <c r="U12" i="33"/>
  <c r="AB12" i="33"/>
  <c r="H23" i="35"/>
  <c r="U23" i="35" s="1"/>
  <c r="J23" i="35"/>
  <c r="AC23" i="35" s="1"/>
  <c r="F23" i="35"/>
  <c r="AA23" i="35" s="1"/>
  <c r="AA8" i="39"/>
  <c r="S8" i="39"/>
  <c r="F39" i="40"/>
  <c r="U42" i="34"/>
  <c r="AB42" i="34"/>
  <c r="W17" i="34"/>
  <c r="AA44" i="34"/>
  <c r="U38" i="40"/>
  <c r="U15" i="37"/>
  <c r="H32" i="21"/>
  <c r="U32" i="21" s="1"/>
  <c r="AB15" i="34"/>
  <c r="U15" i="34"/>
  <c r="AA26" i="33"/>
  <c r="S26" i="33"/>
  <c r="F12" i="21"/>
  <c r="J12" i="21"/>
  <c r="AC12" i="21" s="1"/>
  <c r="J14" i="21"/>
  <c r="H14" i="21"/>
  <c r="AB14" i="21" s="1"/>
  <c r="H30" i="21"/>
  <c r="AB30" i="21" s="1"/>
  <c r="J30" i="21"/>
  <c r="H46" i="21"/>
  <c r="F46" i="21"/>
  <c r="AA46" i="21" s="1"/>
  <c r="E123" i="21"/>
  <c r="F123" i="21" s="1"/>
  <c r="G123" i="21" s="1"/>
  <c r="H123" i="21" s="1"/>
  <c r="I123" i="21" s="1"/>
  <c r="J123" i="21" s="1"/>
  <c r="K123" i="21" s="1"/>
  <c r="L123" i="21" s="1"/>
  <c r="M123" i="21" s="1"/>
  <c r="F42" i="21"/>
  <c r="H42" i="21"/>
  <c r="AB42" i="21" s="1"/>
  <c r="AB8" i="33"/>
  <c r="U8" i="33"/>
  <c r="AC10" i="33"/>
  <c r="W10" i="33"/>
  <c r="F9" i="35"/>
  <c r="AC22" i="36"/>
  <c r="W22" i="36"/>
  <c r="AA23" i="36"/>
  <c r="S23" i="36"/>
  <c r="H9" i="36"/>
  <c r="J9" i="36"/>
  <c r="F32" i="36"/>
  <c r="J32" i="36"/>
  <c r="W32" i="36" s="1"/>
  <c r="AC31" i="37"/>
  <c r="W31" i="37"/>
  <c r="H45" i="39"/>
  <c r="J45" i="39"/>
  <c r="AC39" i="40"/>
  <c r="W39" i="40"/>
  <c r="W27" i="40"/>
  <c r="AC27" i="40"/>
  <c r="AC31" i="35"/>
  <c r="W31" i="35"/>
  <c r="L100" i="43"/>
  <c r="D100" i="43"/>
  <c r="I20" i="58"/>
  <c r="D1" i="58" s="1"/>
  <c r="E10" i="58" s="1"/>
  <c r="D4" i="47"/>
  <c r="F4" i="47" s="1"/>
  <c r="B2" i="47" s="1"/>
  <c r="W44" i="21"/>
  <c r="S44" i="21"/>
  <c r="S45" i="21"/>
  <c r="U45" i="21"/>
  <c r="W25" i="21"/>
  <c r="S23" i="21"/>
  <c r="S19" i="21"/>
  <c r="W17" i="21"/>
  <c r="S10" i="21"/>
  <c r="U33" i="21"/>
  <c r="W43" i="21"/>
  <c r="U42" i="21"/>
  <c r="S40" i="21"/>
  <c r="S38" i="21"/>
  <c r="AB38" i="21"/>
  <c r="AC38" i="21"/>
  <c r="W36" i="21"/>
  <c r="AB34" i="21"/>
  <c r="U28" i="21"/>
  <c r="AC27" i="21"/>
  <c r="AC15" i="21"/>
  <c r="S9" i="21"/>
  <c r="AC9" i="21"/>
  <c r="C106" i="9"/>
  <c r="H102" i="9" s="1"/>
  <c r="B103" i="9"/>
  <c r="C6" i="15"/>
  <c r="AB37" i="21"/>
  <c r="AB45" i="33"/>
  <c r="AC11" i="36"/>
  <c r="U14" i="21"/>
  <c r="S14" i="33"/>
  <c r="S47" i="34"/>
  <c r="U23" i="39"/>
  <c r="B74" i="43"/>
  <c r="C27" i="39"/>
  <c r="V27" i="31"/>
  <c r="X27" i="31"/>
  <c r="X25" i="31" s="1"/>
  <c r="F31" i="15"/>
  <c r="J100" i="43"/>
  <c r="F100" i="43"/>
  <c r="M100" i="43"/>
  <c r="I100" i="43"/>
  <c r="E100" i="43"/>
  <c r="C30" i="58"/>
  <c r="E26" i="58" s="1"/>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45" i="39" l="1"/>
  <c r="U45" i="39"/>
  <c r="AA32" i="36"/>
  <c r="S32" i="36"/>
  <c r="AB9" i="36"/>
  <c r="U9" i="36"/>
  <c r="U46" i="21"/>
  <c r="AB46" i="21"/>
  <c r="W14" i="21"/>
  <c r="AC14" i="21"/>
  <c r="AA12" i="21"/>
  <c r="S12" i="21"/>
  <c r="W45" i="39"/>
  <c r="AC45" i="39"/>
  <c r="AC9" i="36"/>
  <c r="W9" i="36"/>
  <c r="AA9" i="35"/>
  <c r="S9" i="35"/>
  <c r="AA42" i="21"/>
  <c r="S42" i="21"/>
  <c r="W30" i="21"/>
  <c r="AC30" i="21"/>
  <c r="AA39" i="40"/>
  <c r="S39" i="40"/>
  <c r="AB15" i="21"/>
  <c r="U15" i="21"/>
  <c r="C6" i="43"/>
  <c r="D68" i="39"/>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J7" i="36" l="1"/>
  <c r="R25" i="31"/>
  <c r="B24" i="31" s="1"/>
  <c r="B3" i="31" s="1"/>
  <c r="C34" i="57" s="1"/>
  <c r="I124" i="57" s="1"/>
  <c r="I104" i="57" s="1"/>
  <c r="B23" i="31"/>
  <c r="B2" i="31" s="1"/>
  <c r="C33" i="57" s="1"/>
  <c r="H124" i="57" s="1"/>
  <c r="C5" i="43"/>
  <c r="I55" i="15"/>
  <c r="J54" i="15"/>
  <c r="G43" i="35"/>
  <c r="H43" i="35" s="1"/>
  <c r="C107" i="57"/>
  <c r="Q59"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3" i="57" l="1"/>
  <c r="I113" i="57" s="1"/>
  <c r="M50" i="57" s="1"/>
  <c r="C106" i="57"/>
  <c r="H125" i="57"/>
  <c r="C36" i="43"/>
  <c r="C35" i="43"/>
  <c r="C34" i="43"/>
  <c r="C33" i="43"/>
  <c r="C67" i="15"/>
  <c r="C61" i="15"/>
  <c r="S7" i="33"/>
  <c r="D109" i="57"/>
  <c r="I111" i="57"/>
  <c r="D128" i="57" s="1"/>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30" i="57" l="1"/>
  <c r="M49" i="57"/>
  <c r="D46" i="57"/>
  <c r="D53" i="57" s="1"/>
  <c r="D115" i="57"/>
  <c r="D116" i="57" s="1"/>
  <c r="I112" i="57" s="1"/>
  <c r="D129" i="57" s="1"/>
  <c r="D117" i="57"/>
  <c r="D118" i="57" s="1"/>
  <c r="I114" i="57" s="1"/>
  <c r="D131" i="57" s="1"/>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5" i="57" l="1"/>
  <c r="C86" i="57"/>
  <c r="D56" i="57"/>
  <c r="M54" i="57" s="1"/>
  <c r="C94" i="57"/>
  <c r="C87" i="57" s="1"/>
  <c r="C96" i="57" s="1"/>
  <c r="C97" i="57" s="1"/>
  <c r="E97" i="57" s="1"/>
  <c r="E98" i="57" s="1"/>
  <c r="C79" i="57"/>
  <c r="C74" i="57" s="1"/>
  <c r="C73" i="57"/>
  <c r="D54" i="57"/>
  <c r="D49" i="57" s="1"/>
  <c r="M53" i="57" s="1"/>
  <c r="C64" i="57"/>
  <c r="C68" i="57" s="1"/>
  <c r="C69" i="57" s="1"/>
  <c r="D55" i="57" s="1"/>
  <c r="C36" i="36"/>
  <c r="C49" i="34"/>
  <c r="C49" i="21"/>
  <c r="C49" i="33"/>
  <c r="M70" i="57"/>
  <c r="C27" i="12"/>
  <c r="C25" i="12" s="1"/>
  <c r="C39" i="11"/>
  <c r="C20" i="15"/>
  <c r="C23" i="15" s="1"/>
  <c r="I63" i="40"/>
  <c r="H65" i="40"/>
  <c r="I68" i="39"/>
  <c r="H70" i="39"/>
  <c r="C26" i="43"/>
  <c r="B2" i="43" s="1"/>
  <c r="B3" i="43" s="1"/>
  <c r="C27" i="43"/>
  <c r="C80" i="57" l="1"/>
  <c r="C81" i="57" s="1"/>
  <c r="E81" i="57" s="1"/>
  <c r="E82" i="57" s="1"/>
  <c r="C98" i="57"/>
  <c r="D59" i="57" s="1"/>
  <c r="D57" i="57" s="1"/>
  <c r="M55" i="57" s="1"/>
  <c r="N70" i="57"/>
  <c r="M57" i="57"/>
  <c r="N58" i="57" s="1"/>
  <c r="C43" i="11"/>
  <c r="C41" i="11" s="1"/>
  <c r="C32" i="12"/>
  <c r="B2" i="12" s="1"/>
  <c r="C46" i="11"/>
  <c r="C45" i="11" s="1"/>
  <c r="C26" i="15"/>
  <c r="C29" i="15" s="1"/>
  <c r="J60" i="15" s="1"/>
  <c r="J61" i="15" s="1"/>
  <c r="J68" i="39"/>
  <c r="I70" i="39"/>
  <c r="J63" i="40"/>
  <c r="I65" i="40"/>
  <c r="C82" i="57" l="1"/>
  <c r="Q46"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C19" i="57"/>
  <c r="E2" i="36"/>
  <c r="E2" i="37"/>
  <c r="E2" i="11"/>
  <c r="C20" i="57"/>
  <c r="E2" i="33"/>
  <c r="E2" i="34"/>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G4" i="52" s="1"/>
  <c r="B41" i="60" s="1"/>
  <c r="E121" i="9"/>
  <c r="E4" i="52" s="1"/>
  <c r="B38" i="60" s="1"/>
  <c r="I121" i="9"/>
  <c r="C104" i="9" s="1"/>
  <c r="D8" i="62" l="1"/>
  <c r="C8" i="62"/>
  <c r="F121" i="9"/>
  <c r="F4" i="52" s="1"/>
  <c r="B40" i="60" s="1"/>
  <c r="I4" i="52"/>
  <c r="D107" i="9"/>
  <c r="H121" i="9"/>
  <c r="D14" i="62" s="1"/>
  <c r="D121" i="9"/>
  <c r="I103" i="9"/>
  <c r="E14" i="62" l="1"/>
  <c r="F14" i="62"/>
  <c r="B5" i="62"/>
  <c r="F122" i="9"/>
  <c r="F5" i="52" s="1"/>
  <c r="B42" i="60" s="1"/>
  <c r="H4" i="52"/>
  <c r="D106" i="9"/>
  <c r="D112" i="9" s="1"/>
  <c r="I102" i="9"/>
  <c r="C103" i="9"/>
  <c r="H122" i="9"/>
  <c r="H5" i="52" s="1"/>
  <c r="D30" i="50"/>
  <c r="D9" i="50"/>
  <c r="B21" i="60" s="1"/>
  <c r="D4" i="52"/>
  <c r="B37" i="60" s="1"/>
  <c r="D122" i="9"/>
  <c r="D5" i="52" s="1"/>
  <c r="B39" i="60" s="1"/>
  <c r="C5" i="62" l="1"/>
  <c r="D5" i="62"/>
  <c r="D45" i="9"/>
  <c r="M48" i="9"/>
  <c r="I110" i="9"/>
  <c r="D28" i="50"/>
  <c r="D29" i="50" s="1"/>
  <c r="D7" i="50"/>
  <c r="D117" i="9"/>
  <c r="D113" i="9"/>
  <c r="D38" i="50" l="1"/>
  <c r="B62" i="60" s="1"/>
  <c r="I111" i="9"/>
  <c r="D125" i="9"/>
  <c r="D36" i="50"/>
  <c r="D37" i="50" s="1"/>
  <c r="D15" i="50"/>
  <c r="D44" i="50"/>
  <c r="I115" i="9"/>
  <c r="D23" i="50" s="1"/>
  <c r="B34" i="60" s="1"/>
  <c r="D8" i="50"/>
  <c r="B22" i="60" s="1"/>
  <c r="B19" i="60"/>
  <c r="C78" i="9"/>
  <c r="C73" i="9" s="1"/>
  <c r="D55" i="9"/>
  <c r="M53" i="9" s="1"/>
  <c r="C72" i="9"/>
  <c r="D59" i="9"/>
  <c r="M55" i="9" s="1"/>
  <c r="D53" i="9"/>
  <c r="D48" i="9" s="1"/>
  <c r="M52" i="9" s="1"/>
  <c r="C85" i="9"/>
  <c r="C64" i="9"/>
  <c r="C63" i="9" s="1"/>
  <c r="C67" i="9" s="1"/>
  <c r="C68" i="9" s="1"/>
  <c r="D54" i="9" s="1"/>
  <c r="D52" i="9"/>
  <c r="C93" i="9"/>
  <c r="C86" i="9" s="1"/>
  <c r="C79" i="9" l="1"/>
  <c r="C80" i="9" s="1"/>
  <c r="E80" i="9" s="1"/>
  <c r="E81" i="9" s="1"/>
  <c r="D8" i="52"/>
  <c r="G14" i="62"/>
  <c r="B6" i="62" s="1"/>
  <c r="D17" i="50"/>
  <c r="D126" i="9"/>
  <c r="D9" i="52" s="1"/>
  <c r="C95" i="9"/>
  <c r="B29" i="60"/>
  <c r="D16" i="50"/>
  <c r="B30" i="60" s="1"/>
  <c r="C81" i="9" l="1"/>
  <c r="C6" i="62"/>
  <c r="D6" i="62"/>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<sst xmlns="http://schemas.openxmlformats.org/spreadsheetml/2006/main" count="6881" uniqueCount="2905">
  <si>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</si>
  <si>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</si>
  <si>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</si>
  <si>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</si>
  <si>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</si>
  <si>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</si>
  <si>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</si>
  <si>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</si>
  <si>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</si>
  <si>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</si>
  <si>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</si>
  <si>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</si>
  <si>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</si>
  <si>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</si>
  <si>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</si>
  <si>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</si>
  <si>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</si>
  <si>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</si>
  <si>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</si>
  <si>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</si>
  <si>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</si>
  <si>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</si>
  <si>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</si>
  <si>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</si>
  <si>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</si>
  <si>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</si>
  <si>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</si>
  <si>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</si>
  <si>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</si>
  <si>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</si>
  <si>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</si>
  <si>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</si>
  <si>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</si>
  <si>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</si>
  <si>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</si>
  <si>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</si>
  <si>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</si>
  <si>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</si>
  <si>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</si>
  <si>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</si>
  <si>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</si>
  <si>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</si>
  <si>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</si>
  <si>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</si>
  <si>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</si>
  <si>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</si>
  <si>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</si>
  <si>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</si>
  <si>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</si>
  <si>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</si>
  <si>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</si>
  <si>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</si>
  <si>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</si>
  <si>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</si>
  <si>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</si>
  <si>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</si>
  <si>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</si>
  <si>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</si>
  <si>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</si>
  <si>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</si>
  <si>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</si>
  <si>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</si>
  <si>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</si>
  <si>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</si>
  <si>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</si>
  <si>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</si>
  <si>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</si>
  <si>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</si>
  <si>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</si>
  <si>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</si>
  <si>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</si>
  <si>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</si>
  <si>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</si>
  <si>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</si>
  <si>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</si>
  <si>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</si>
  <si>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</si>
  <si>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</si>
  <si>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</si>
  <si>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</si>
  <si>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</si>
  <si>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</si>
  <si>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</si>
  <si>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</si>
  <si>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</si>
  <si>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</si>
  <si>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</si>
  <si>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</si>
  <si>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</si>
  <si>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</si>
  <si>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</si>
  <si>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</si>
  <si>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</si>
  <si>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</si>
  <si>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</si>
  <si>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</si>
  <si>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</si>
  <si>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</si>
  <si>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</si>
  <si>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</si>
  <si>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</si>
  <si>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</si>
  <si>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</si>
  <si>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</si>
  <si>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</si>
  <si>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</si>
  <si>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</si>
  <si>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</si>
  <si>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</si>
  <si>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</si>
  <si>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</si>
  <si>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</si>
  <si>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</si>
  <si>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</si>
  <si>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</si>
  <si>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</si>
  <si>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</si>
  <si>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</si>
  <si>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</si>
  <si>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</si>
  <si>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</si>
  <si>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</si>
  <si>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</si>
  <si>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</si>
  <si>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</si>
  <si>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</si>
  <si>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</si>
  <si>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</si>
  <si>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</si>
  <si>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</si>
  <si>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</si>
  <si>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</si>
  <si>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</si>
  <si>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</si>
  <si>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</si>
  <si>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</si>
  <si>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</si>
  <si>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</si>
  <si>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</si>
  <si>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</si>
  <si>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</si>
  <si>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</si>
  <si>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</si>
  <si>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</si>
  <si>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</si>
  <si>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</si>
  <si>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</si>
  <si>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</si>
  <si>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</si>
  <si>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</si>
  <si>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</si>
  <si>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</si>
  <si>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</si>
  <si>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</si>
  <si>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</si>
  <si>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</si>
  <si>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</si>
  <si>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</si>
  <si>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</si>
  <si>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</si>
  <si>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</si>
  <si>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</si>
  <si>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</si>
  <si>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</si>
  <si>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</si>
  <si>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</si>
  <si>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</si>
  <si>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</si>
  <si>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</si>
  <si>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</si>
  <si>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</si>
  <si>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</si>
  <si>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</si>
  <si>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</si>
  <si>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</si>
  <si>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</si>
  <si>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</si>
  <si>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</si>
  <si>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</si>
  <si>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</si>
  <si>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</si>
  <si>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</si>
  <si>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</si>
  <si>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</si>
  <si>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</si>
  <si>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</si>
  <si>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</si>
  <si>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</si>
  <si>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</si>
  <si>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</si>
  <si>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</si>
  <si>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</si>
  <si>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</si>
  <si>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</si>
  <si>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</si>
  <si>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</si>
  <si>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</si>
  <si>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</si>
  <si>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</si>
  <si>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</si>
  <si>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</si>
  <si>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</si>
  <si>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</si>
  <si>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</si>
  <si>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</si>
  <si>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</si>
  <si>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</si>
  <si>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</si>
  <si>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</si>
  <si>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</si>
  <si>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</si>
  <si>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</si>
  <si>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</si>
  <si>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</si>
  <si>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</si>
  <si>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</si>
  <si>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</si>
  <si>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</si>
  <si>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</si>
  <si>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</si>
  <si>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</si>
  <si>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</si>
  <si>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</si>
  <si>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</si>
  <si>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</si>
  <si>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</si>
  <si>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</si>
  <si>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</si>
  <si>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</si>
  <si>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</si>
  <si>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</si>
  <si>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</si>
  <si>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</si>
  <si>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</si>
  <si>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</si>
  <si>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</si>
  <si>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</si>
  <si>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</si>
  <si>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</si>
  <si>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</si>
  <si>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</si>
  <si>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</si>
  <si>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</si>
  <si>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</si>
  <si>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</si>
  <si>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</si>
  <si>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</si>
  <si>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</si>
  <si>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</si>
  <si>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</si>
  <si>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</si>
  <si>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</si>
  <si>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</si>
  <si>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</si>
  <si>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</si>
  <si>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</si>
  <si>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</si>
  <si>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</si>
  <si>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</si>
  <si>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</si>
  <si>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</si>
  <si>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</si>
  <si>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</si>
  <si>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</si>
  <si>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</si>
  <si>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</si>
  <si>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</si>
  <si>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</si>
  <si>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</si>
  <si>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</si>
  <si>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</si>
  <si>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</si>
  <si>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</si>
  <si>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</si>
  <si>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</si>
  <si>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</si>
  <si>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</si>
  <si>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</si>
  <si>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</si>
  <si>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</si>
  <si>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</si>
  <si>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</si>
  <si>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</si>
  <si>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</si>
  <si>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</si>
  <si>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</si>
  <si>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</si>
  <si>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</si>
  <si>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</si>
  <si>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</si>
  <si>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</si>
  <si>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</si>
  <si>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</si>
  <si>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</si>
  <si>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</si>
  <si>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</si>
  <si>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</si>
  <si>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</si>
  <si>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</si>
  <si>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</si>
  <si>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</si>
  <si>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</si>
  <si>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</si>
  <si>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</si>
  <si>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</si>
  <si>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</si>
  <si>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</si>
  <si>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</si>
  <si>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</si>
  <si>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</si>
  <si>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</si>
  <si>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</si>
  <si>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</si>
  <si>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</si>
  <si>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</si>
  <si>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</si>
  <si>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</si>
  <si>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</si>
  <si>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</si>
  <si>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</si>
  <si>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</si>
  <si>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</si>
  <si>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</si>
  <si>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</si>
  <si>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</si>
  <si>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</si>
  <si>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</si>
  <si>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</si>
  <si>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</si>
  <si>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</si>
  <si>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</si>
  <si>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</si>
  <si>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</si>
  <si>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</si>
  <si>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</si>
  <si>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</si>
  <si>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</si>
  <si>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</si>
  <si>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</si>
  <si>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</si>
  <si>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</si>
  <si>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</si>
  <si>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</si>
  <si>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</si>
  <si>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</si>
  <si>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</si>
  <si>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</si>
  <si>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</si>
  <si>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</si>
  <si>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</si>
  <si>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</si>
  <si>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</si>
  <si>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</si>
  <si>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</si>
  <si>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</si>
  <si>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</si>
  <si>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</si>
  <si>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</si>
  <si>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</si>
  <si>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</si>
  <si>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</si>
  <si>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</si>
  <si>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</si>
  <si>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</si>
  <si>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</si>
  <si>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</si>
  <si>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</si>
  <si>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</si>
  <si>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</si>
  <si>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</si>
  <si>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</si>
  <si>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</si>
  <si>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</si>
  <si>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</si>
  <si>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</si>
  <si>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</si>
  <si>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</si>
  <si>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</si>
  <si>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</si>
  <si>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</si>
  <si>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</si>
  <si>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</si>
  <si>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</si>
  <si>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</si>
  <si>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</si>
  <si>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</si>
  <si>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</si>
  <si>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</si>
  <si>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</si>
  <si>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</si>
  <si>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</si>
  <si>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</si>
  <si>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</si>
  <si>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</si>
  <si>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</si>
  <si>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</si>
  <si>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</si>
  <si>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</si>
  <si>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</si>
  <si>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</si>
  <si>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</si>
  <si>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</si>
  <si>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</si>
  <si>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</si>
  <si>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</si>
  <si>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</si>
  <si>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</si>
  <si>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</si>
  <si>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</si>
  <si>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</si>
  <si>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</si>
  <si>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</si>
  <si>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</si>
  <si>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</si>
  <si>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</si>
  <si>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</si>
  <si>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</si>
  <si>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</si>
  <si>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</si>
  <si>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</si>
  <si>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</si>
  <si>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</si>
  <si>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</si>
  <si>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</si>
  <si>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</si>
  <si>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</si>
  <si>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</si>
  <si>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</si>
  <si>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</si>
  <si>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</si>
  <si>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</si>
  <si>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</si>
  <si>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</si>
  <si>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</si>
  <si>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</si>
  <si>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</si>
  <si>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</si>
  <si>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</si>
  <si>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</si>
  <si>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</si>
  <si>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</si>
  <si>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</si>
  <si>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</si>
  <si>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</si>
  <si>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</si>
  <si>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</si>
  <si>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</si>
  <si>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</si>
  <si>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</si>
  <si>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</si>
  <si>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</si>
  <si>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</si>
  <si>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</si>
  <si>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</si>
  <si>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</si>
  <si>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</si>
  <si>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</si>
  <si>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</si>
  <si>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</si>
  <si>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</si>
  <si>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</si>
  <si>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</si>
  <si>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</si>
  <si>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</si>
  <si>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</si>
  <si>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</si>
  <si>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</si>
  <si>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</si>
  <si>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</si>
  <si>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</si>
  <si>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</si>
  <si>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</si>
  <si>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</si>
  <si>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</si>
  <si>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</si>
  <si>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</si>
  <si>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</si>
  <si>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</si>
  <si>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</si>
  <si>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</si>
  <si>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</si>
  <si>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</si>
  <si>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</si>
  <si>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</si>
  <si>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</si>
  <si>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</si>
  <si>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</si>
  <si>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</si>
  <si>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</si>
  <si>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</si>
  <si>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</si>
  <si>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</si>
  <si>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</si>
  <si>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</si>
  <si>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</si>
  <si>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</si>
  <si>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</si>
  <si>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</si>
  <si>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</si>
  <si>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</si>
  <si>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</si>
  <si>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</si>
  <si>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</si>
  <si>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</si>
  <si>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</si>
  <si>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</si>
  <si>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</si>
  <si>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</si>
  <si>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</si>
  <si>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</si>
  <si>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</si>
  <si>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</si>
  <si>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</si>
  <si>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</si>
  <si>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</si>
  <si>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</si>
  <si>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</si>
  <si>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</si>
  <si>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</si>
  <si>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</si>
  <si>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</si>
  <si>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</si>
  <si>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</si>
  <si>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</si>
  <si>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</si>
  <si>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</si>
  <si>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</si>
  <si>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</si>
  <si>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</si>
  <si>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</si>
  <si>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</si>
  <si>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</si>
  <si>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</si>
  <si>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</si>
  <si>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</si>
  <si>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</si>
  <si>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</si>
  <si>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</si>
  <si>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</si>
  <si>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</si>
  <si>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</si>
  <si>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</si>
  <si>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</si>
  <si>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</si>
  <si>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</si>
  <si>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</si>
  <si>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</si>
  <si>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</si>
  <si>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</si>
  <si>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</si>
  <si>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</si>
  <si>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</si>
  <si>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</si>
  <si>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</si>
  <si>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</si>
  <si>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</si>
  <si>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</si>
  <si>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</si>
  <si>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</si>
  <si>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</si>
  <si>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</si>
  <si>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</si>
  <si>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</si>
  <si>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</si>
  <si>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</si>
  <si>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</si>
  <si>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</si>
  <si>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</si>
  <si>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</si>
  <si>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</si>
  <si>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</si>
  <si>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</si>
  <si>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</si>
  <si>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</si>
  <si>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</si>
  <si>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</si>
  <si>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</si>
  <si>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</si>
  <si>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</si>
  <si>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</si>
  <si>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</si>
  <si>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</si>
  <si>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</si>
  <si>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</si>
  <si>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</si>
  <si>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</si>
  <si>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</si>
  <si>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</si>
  <si>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</si>
  <si>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</si>
  <si>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</si>
  <si>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</si>
  <si>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</si>
  <si>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</si>
  <si>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</si>
  <si>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</si>
  <si>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</si>
  <si>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</si>
  <si>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</si>
  <si>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</si>
  <si>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</si>
  <si>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</si>
  <si>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</si>
  <si>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</si>
  <si>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</si>
  <si>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</si>
  <si>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</si>
  <si>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</si>
  <si>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</si>
  <si>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</si>
  <si>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</si>
  <si>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</si>
  <si>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</si>
  <si>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</si>
  <si>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</si>
  <si>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</si>
  <si>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</si>
  <si>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</si>
  <si>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</si>
  <si>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</si>
  <si>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</si>
  <si>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</si>
  <si>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</si>
  <si>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</si>
  <si>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</si>
  <si>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</si>
  <si>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</si>
  <si>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</si>
  <si>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</si>
  <si>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</si>
  <si>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</si>
  <si>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</si>
  <si>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</si>
  <si>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</si>
  <si>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</si>
  <si>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</si>
  <si>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</si>
  <si>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</si>
  <si>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</si>
  <si>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</si>
  <si>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</si>
  <si>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</si>
  <si>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</si>
  <si>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</si>
  <si>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</si>
  <si>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</si>
  <si>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</si>
  <si>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</si>
  <si>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</si>
  <si>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</si>
  <si>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</si>
  <si>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</si>
  <si>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</si>
  <si>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</si>
  <si>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</si>
  <si>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</si>
  <si>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</si>
  <si>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</si>
  <si>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</si>
  <si>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</si>
  <si>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</si>
  <si>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</si>
  <si>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</si>
  <si>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</si>
  <si>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</si>
  <si>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</si>
  <si>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</si>
  <si>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</si>
  <si>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</si>
  <si>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</si>
  <si>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</si>
  <si>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</si>
  <si>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</si>
  <si>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</si>
  <si>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</si>
  <si>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</si>
  <si>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</si>
  <si>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</si>
  <si>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</si>
  <si>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</si>
  <si>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</si>
  <si>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</si>
  <si>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</si>
  <si>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</si>
  <si>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</si>
  <si>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</si>
  <si>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</si>
  <si>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</si>
  <si>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</si>
  <si>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</si>
  <si>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</si>
  <si>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</si>
  <si>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</si>
  <si>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</si>
  <si>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</si>
  <si>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</si>
  <si>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</si>
  <si>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</si>
  <si>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</si>
  <si>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</si>
  <si>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</si>
  <si>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</si>
  <si>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</si>
  <si>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</si>
  <si>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</si>
  <si>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</si>
  <si>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</si>
  <si>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</si>
  <si>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</si>
  <si>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</si>
  <si>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</si>
  <si>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</si>
  <si>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</si>
  <si>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</si>
  <si>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</si>
  <si>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</si>
  <si>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</si>
  <si>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</si>
  <si>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</si>
  <si>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</si>
  <si>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</si>
  <si>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</si>
  <si>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</si>
  <si>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</si>
  <si>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</si>
  <si>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</si>
  <si>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</si>
  <si>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</si>
  <si>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</si>
  <si>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</si>
  <si>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</si>
  <si>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</si>
  <si>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</si>
  <si>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</si>
  <si>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</si>
  <si>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</si>
  <si>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</si>
  <si>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</si>
  <si>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</si>
  <si>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</si>
  <si>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</si>
  <si>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</si>
  <si>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</si>
  <si>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</si>
  <si>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</si>
  <si>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</si>
  <si>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</si>
  <si>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</si>
  <si>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</si>
  <si>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</si>
  <si>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</si>
  <si>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</si>
  <si>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</si>
  <si>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</si>
  <si>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</si>
  <si>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</si>
  <si>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</si>
  <si>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</si>
  <si>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</si>
  <si>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</si>
  <si>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</si>
  <si>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</si>
  <si>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</si>
  <si>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</si>
  <si>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</si>
  <si>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</si>
  <si>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</si>
  <si>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</si>
  <si>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</si>
  <si>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</si>
  <si>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</si>
  <si>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</si>
  <si>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</si>
  <si>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</si>
  <si>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</si>
  <si>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</si>
  <si>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</si>
  <si>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</si>
  <si>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</si>
  <si>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</si>
  <si>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</si>
  <si>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</si>
  <si>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</si>
  <si>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</si>
  <si>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</si>
  <si>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</si>
  <si>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</si>
  <si>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</si>
  <si>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</si>
  <si>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</si>
  <si>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</si>
  <si>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</si>
  <si>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</si>
  <si>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</si>
  <si>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</si>
  <si>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</si>
  <si>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</si>
  <si>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</si>
  <si>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</si>
  <si>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</si>
  <si>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</si>
  <si>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</si>
  <si>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</si>
  <si>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</si>
  <si>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</si>
  <si>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</si>
  <si>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</si>
  <si>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</si>
  <si>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</si>
  <si>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</si>
  <si>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</si>
  <si>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</si>
  <si>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</si>
  <si>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</si>
  <si>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</si>
  <si>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</si>
  <si>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</si>
  <si>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</si>
  <si>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</si>
  <si>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</si>
  <si>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</si>
  <si>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</si>
  <si>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</si>
  <si>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</si>
  <si>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</si>
  <si>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</si>
  <si>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</si>
  <si>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</si>
  <si>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</si>
  <si>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</si>
  <si>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</si>
  <si>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</si>
  <si>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</si>
  <si>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</si>
  <si>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</si>
  <si>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</si>
  <si>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</si>
  <si>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</si>
  <si>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</si>
  <si>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</si>
  <si>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</si>
  <si>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</si>
  <si>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</si>
  <si>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</si>
  <si>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</si>
  <si>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</si>
  <si>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</si>
  <si>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</si>
  <si>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</si>
  <si>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</si>
  <si>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</si>
  <si>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</si>
  <si>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</si>
  <si>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</si>
  <si>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</si>
  <si>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</si>
  <si>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</si>
  <si>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</si>
  <si>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</si>
  <si>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</si>
  <si>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</si>
  <si>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</si>
  <si>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</si>
  <si>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</si>
  <si>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</si>
  <si>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</si>
  <si>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</si>
  <si>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</si>
  <si>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</si>
  <si>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</si>
  <si>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</si>
  <si>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</si>
  <si>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</si>
  <si>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</si>
  <si>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</si>
  <si>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</si>
  <si>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</si>
  <si>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</si>
  <si>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</si>
  <si>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</si>
  <si>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</si>
  <si>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</si>
  <si>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</si>
  <si>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</si>
  <si>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</si>
  <si>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</si>
  <si>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</si>
  <si>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</si>
  <si>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</si>
  <si>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</si>
  <si>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</si>
  <si>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</si>
  <si>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</si>
  <si>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</si>
  <si>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</si>
  <si>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</si>
  <si>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</si>
  <si>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</si>
  <si>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</si>
  <si>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</si>
  <si>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</si>
  <si>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</si>
  <si>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</si>
  <si>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</si>
  <si>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</si>
  <si>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</si>
  <si>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</si>
  <si>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</si>
  <si>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</si>
  <si>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</si>
  <si>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</si>
  <si>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</si>
  <si>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</si>
  <si>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</si>
  <si>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</si>
  <si>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</si>
  <si>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</si>
  <si>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</si>
  <si>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</si>
  <si>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</si>
  <si>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</si>
  <si>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</si>
  <si>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</si>
  <si>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</si>
  <si>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</si>
  <si>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</si>
  <si>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</si>
  <si>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</si>
  <si>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</si>
  <si>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</si>
  <si>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</si>
  <si>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</si>
  <si>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</si>
  <si>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</si>
  <si>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</si>
  <si>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</si>
  <si>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</si>
  <si>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</si>
  <si>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</si>
  <si>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</si>
  <si>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</si>
  <si>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</si>
  <si>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</si>
  <si>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</si>
  <si>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</si>
  <si>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</si>
  <si>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</si>
  <si>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</si>
  <si>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</si>
  <si>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</si>
  <si>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</si>
  <si>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</si>
  <si>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</si>
  <si>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</si>
  <si>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</si>
  <si>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</si>
  <si>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</si>
  <si>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</si>
  <si>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</si>
  <si>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</si>
  <si>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</si>
  <si>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</si>
  <si>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</si>
  <si>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</si>
  <si>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</si>
  <si>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</si>
  <si>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</si>
  <si>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</si>
  <si>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</si>
  <si>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</si>
  <si>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</si>
  <si>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</si>
  <si>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</si>
  <si>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</si>
  <si>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</si>
  <si>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</si>
  <si>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</si>
  <si>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</si>
  <si>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</si>
  <si>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</si>
  <si>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</si>
  <si>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</si>
  <si>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</si>
  <si>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</si>
  <si>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</si>
  <si>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</si>
  <si>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</si>
  <si>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</si>
  <si>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</si>
  <si>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</si>
  <si>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</si>
  <si>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</si>
  <si>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</si>
  <si>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</si>
  <si>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</si>
  <si>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</si>
  <si>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</si>
  <si>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</si>
  <si>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</si>
  <si>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</si>
  <si>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</si>
  <si>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</si>
  <si>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</si>
  <si>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</si>
  <si>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</si>
  <si>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</si>
  <si>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</si>
  <si>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</si>
  <si>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</si>
  <si>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</si>
  <si>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</si>
  <si>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</si>
  <si>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</si>
  <si>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</si>
  <si>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</si>
  <si>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</si>
  <si>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</si>
  <si>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</si>
  <si>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</si>
  <si>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</si>
  <si>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</si>
  <si>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</si>
  <si>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</si>
  <si>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</si>
  <si>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</si>
  <si>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</si>
  <si>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</si>
  <si>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</si>
  <si>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</si>
  <si>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</si>
  <si>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</si>
  <si>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</si>
  <si>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</si>
  <si>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</si>
  <si>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</si>
  <si>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</si>
  <si>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</si>
  <si>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</si>
  <si>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</si>
  <si>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</si>
  <si>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</si>
  <si>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</si>
  <si>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</si>
  <si>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</si>
  <si>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</si>
  <si>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</si>
  <si>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</si>
  <si>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</si>
  <si>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</si>
  <si>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</si>
  <si>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</si>
  <si>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</si>
  <si>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</si>
  <si>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</si>
  <si>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</si>
  <si>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</si>
  <si>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</si>
  <si>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</si>
  <si>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</si>
  <si>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</si>
  <si>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</si>
  <si>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</si>
  <si>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</si>
  <si>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</si>
  <si>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</si>
  <si>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</si>
  <si>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</si>
  <si>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</si>
  <si>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</si>
  <si>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</si>
  <si>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</si>
  <si>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</si>
  <si>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</si>
  <si>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</si>
  <si>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</si>
  <si>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</si>
  <si>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</si>
  <si>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</si>
  <si>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</si>
  <si>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</si>
  <si>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</si>
  <si>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</si>
  <si>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</si>
  <si>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</si>
  <si>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</si>
  <si>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</si>
  <si>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</si>
  <si>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</si>
  <si>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</si>
  <si>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</si>
  <si>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</si>
  <si>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</si>
  <si>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</si>
  <si>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</si>
  <si>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</si>
  <si>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</si>
  <si>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</si>
  <si>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</si>
  <si>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</si>
  <si>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</si>
  <si>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</si>
  <si>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</si>
  <si>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</si>
  <si>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</si>
  <si>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</si>
  <si>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</si>
  <si>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</si>
  <si>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</si>
  <si>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</si>
  <si>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</si>
  <si>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</si>
  <si>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</si>
  <si>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</si>
  <si>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</si>
  <si>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</si>
  <si>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</si>
  <si>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</si>
  <si>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</si>
  <si>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</si>
  <si>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</si>
  <si>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</si>
  <si>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</si>
  <si>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</si>
  <si>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</si>
  <si>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</si>
  <si>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</si>
  <si>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</si>
  <si>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</si>
  <si>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</si>
  <si>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</si>
  <si>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</si>
  <si>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</si>
  <si>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</si>
  <si>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</si>
  <si>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</si>
  <si>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</si>
  <si>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</si>
  <si>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</si>
  <si>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</si>
  <si>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</si>
  <si>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</si>
  <si>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</si>
  <si>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</si>
  <si>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</si>
  <si>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</si>
  <si>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</si>
  <si>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</si>
  <si>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</si>
  <si>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</si>
  <si>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</si>
  <si>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</si>
  <si>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</si>
  <si>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</si>
  <si>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</si>
  <si>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</si>
  <si>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</si>
  <si>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</si>
  <si>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</si>
  <si>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</si>
  <si>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</si>
  <si>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</si>
  <si>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</si>
  <si>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</si>
  <si>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</si>
  <si>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</si>
  <si>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</si>
  <si>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</si>
  <si>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</si>
  <si>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</si>
  <si>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</si>
  <si>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</si>
  <si>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</si>
  <si>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</si>
  <si>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</si>
  <si>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</si>
  <si>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</si>
  <si>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</si>
  <si>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</si>
  <si>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</si>
  <si>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</si>
  <si>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</si>
  <si>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</si>
  <si>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</si>
  <si>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</si>
  <si>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</si>
  <si>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</si>
  <si>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</si>
  <si>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</si>
  <si>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</si>
  <si>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</si>
  <si>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</si>
  <si>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</si>
  <si>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</si>
  <si>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</si>
  <si>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</si>
  <si>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</si>
  <si>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</si>
  <si>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</si>
  <si>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</si>
  <si>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</si>
  <si>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</si>
  <si>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</si>
  <si>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</si>
  <si>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</si>
  <si>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</si>
  <si>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</si>
  <si>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</si>
  <si>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</si>
  <si>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</si>
  <si>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</si>
  <si>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</si>
  <si>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</si>
  <si>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</si>
  <si>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</si>
  <si>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</si>
  <si>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</si>
  <si>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</si>
  <si>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</si>
  <si>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</si>
  <si>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</si>
  <si>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</si>
  <si>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</si>
  <si>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</si>
  <si>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</si>
  <si>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</si>
  <si>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</si>
  <si>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</si>
  <si>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</si>
  <si>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</si>
  <si>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</si>
  <si>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</si>
  <si>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</si>
  <si>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</si>
  <si>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</si>
  <si>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</si>
  <si>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</si>
  <si>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</si>
  <si>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</si>
  <si>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</si>
  <si>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</si>
  <si>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</si>
  <si>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</si>
  <si>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</si>
  <si>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</si>
  <si>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</si>
  <si>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</si>
  <si>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</si>
  <si>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</si>
  <si>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</si>
  <si>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</si>
  <si>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</si>
  <si>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</si>
  <si>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</si>
  <si>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</si>
  <si>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</si>
  <si>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</si>
  <si>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</si>
  <si>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</si>
  <si>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</si>
  <si>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</si>
  <si>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</si>
  <si>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</si>
  <si>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</si>
  <si>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</si>
  <si>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</si>
  <si>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</si>
  <si>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</si>
  <si>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</si>
  <si>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</si>
  <si>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</si>
  <si>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</si>
  <si>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</si>
  <si>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</si>
  <si>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</si>
  <si>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</si>
  <si>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</si>
  <si>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</si>
  <si>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</si>
  <si>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</si>
  <si>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</si>
  <si>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</si>
  <si>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</si>
  <si>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</si>
  <si>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</si>
  <si>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</si>
  <si>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</si>
  <si>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</si>
  <si>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</si>
  <si>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</si>
  <si>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</si>
  <si>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</si>
  <si>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</si>
  <si>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</si>
  <si>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</si>
  <si>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</si>
  <si>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</si>
  <si>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</si>
  <si>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</si>
  <si>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</si>
  <si>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</si>
  <si>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</si>
  <si>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</si>
  <si>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</si>
  <si>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</si>
  <si>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</si>
  <si>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</si>
  <si>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</si>
  <si>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</si>
  <si>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</si>
  <si>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</si>
  <si>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</si>
  <si>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</si>
  <si>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</si>
  <si>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</si>
  <si>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</si>
  <si>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</si>
  <si>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</si>
  <si>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</si>
  <si>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</si>
  <si>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</si>
  <si>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</si>
  <si>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</si>
  <si>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</si>
  <si>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</si>
  <si>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</si>
  <si>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</si>
  <si>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</si>
  <si>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</si>
  <si>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</si>
  <si>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</si>
  <si>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</si>
  <si>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</si>
  <si>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</si>
  <si>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</si>
  <si>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</si>
  <si>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</si>
  <si>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</si>
  <si>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</si>
  <si>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</si>
  <si>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</si>
  <si>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</si>
  <si>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</si>
  <si>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</si>
  <si>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</si>
  <si>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</si>
  <si>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</si>
  <si>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</si>
  <si>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</si>
  <si>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</si>
  <si>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</si>
  <si>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</si>
  <si>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</si>
  <si>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</si>
  <si>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</si>
  <si>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</si>
  <si>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</si>
  <si>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</si>
  <si>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</si>
  <si>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</si>
  <si>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</si>
  <si>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</si>
  <si>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</si>
  <si>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</si>
  <si>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</si>
  <si>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</si>
  <si>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</si>
  <si>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</si>
  <si>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</si>
  <si>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</si>
  <si>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</si>
  <si>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</si>
  <si>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</si>
  <si>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</si>
  <si>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</si>
  <si>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</si>
  <si>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</si>
  <si>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</si>
  <si>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</si>
  <si>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</si>
  <si>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</si>
  <si>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</si>
  <si>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</si>
  <si>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</si>
  <si>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</si>
  <si>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</si>
  <si>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</si>
  <si>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</si>
  <si>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</si>
  <si>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</si>
  <si>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</si>
  <si>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</si>
  <si>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</si>
  <si>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</si>
  <si>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</si>
  <si>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</si>
  <si>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</si>
  <si>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</si>
  <si>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</si>
  <si>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</si>
  <si>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</si>
  <si>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</si>
  <si>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</si>
  <si>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</si>
  <si>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</si>
  <si>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</si>
  <si>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</si>
  <si>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</si>
  <si>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</si>
  <si>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</si>
  <si>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</si>
  <si>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</si>
  <si>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</si>
  <si>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</si>
  <si>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</si>
  <si>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</si>
  <si>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</si>
  <si>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</si>
  <si>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</si>
  <si>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</si>
  <si>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</si>
  <si>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</si>
  <si>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</si>
  <si>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</si>
  <si>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</si>
  <si>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</si>
  <si>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</si>
  <si>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</si>
  <si>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</si>
  <si>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</si>
  <si>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</si>
  <si>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</si>
  <si>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</si>
  <si>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</si>
  <si>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</si>
  <si>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</si>
  <si>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</si>
  <si>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</si>
  <si>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</si>
  <si>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</si>
  <si>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</si>
  <si>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</si>
  <si>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</si>
  <si>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</si>
  <si>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</si>
  <si>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</si>
  <si>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</si>
  <si>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</si>
  <si>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</si>
  <si>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</si>
  <si>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</si>
  <si>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</si>
  <si>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</si>
  <si>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</si>
  <si>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</si>
  <si>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</si>
  <si>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</si>
  <si>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</si>
  <si>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</si>
  <si>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</si>
  <si>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</si>
  <si>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</si>
  <si>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</si>
  <si>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</si>
  <si>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</si>
  <si>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</si>
  <si>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</si>
  <si>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</si>
  <si>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</si>
  <si>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</si>
  <si>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</si>
  <si>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</si>
  <si>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</si>
  <si>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</si>
  <si>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</si>
  <si>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</si>
  <si>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</si>
  <si>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</si>
  <si>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</si>
  <si>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</si>
  <si>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</si>
  <si>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</si>
  <si>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</si>
  <si>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</si>
  <si>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</si>
  <si>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</si>
  <si>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</si>
  <si>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</si>
  <si>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</si>
  <si>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</si>
  <si>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</si>
  <si>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</si>
  <si>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</si>
  <si>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</si>
  <si>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</si>
  <si>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</si>
  <si>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</si>
  <si>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</si>
  <si>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</si>
  <si>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</si>
  <si>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</si>
  <si>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</si>
  <si>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</si>
  <si>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</si>
  <si>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</si>
  <si>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</si>
  <si>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</si>
  <si>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</si>
  <si>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</si>
  <si>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</si>
  <si>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</si>
  <si>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</si>
  <si>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</si>
  <si>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</si>
  <si>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</si>
  <si>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</si>
  <si>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</si>
  <si>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</si>
  <si>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</si>
  <si>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</si>
  <si>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</si>
  <si>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</si>
  <si>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</si>
  <si>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</si>
  <si>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</si>
  <si>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</si>
  <si>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</si>
  <si>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</si>
  <si>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</si>
  <si>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</si>
  <si>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</si>
  <si>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</si>
  <si>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</si>
  <si>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</si>
  <si>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</si>
  <si>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</si>
  <si>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</si>
  <si>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</si>
  <si>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</si>
  <si>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</si>
  <si>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</si>
  <si>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</si>
  <si>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</si>
  <si>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</si>
  <si>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</si>
  <si>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</si>
  <si>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</si>
  <si>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</si>
  <si>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</si>
  <si>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</si>
  <si>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</si>
  <si>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</si>
  <si>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</si>
  <si>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</si>
  <si>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</si>
  <si>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</si>
  <si>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</si>
  <si>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</si>
  <si>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</si>
  <si>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</si>
  <si>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</si>
  <si>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</si>
  <si>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</si>
  <si>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</si>
  <si>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</si>
  <si>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</si>
  <si>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</si>
  <si>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</si>
  <si>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</si>
  <si>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</si>
  <si>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</si>
  <si>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</si>
  <si>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</si>
  <si>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</si>
  <si>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</si>
  <si>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</si>
  <si>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</si>
  <si>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</si>
  <si>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</si>
  <si>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</si>
  <si>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</si>
  <si>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</si>
  <si>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</si>
  <si>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</si>
  <si>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</si>
  <si>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</si>
  <si>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</si>
  <si>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</si>
  <si>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</si>
  <si>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</si>
  <si>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</si>
  <si>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</si>
  <si>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</si>
  <si>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</si>
  <si>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</si>
  <si>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</si>
  <si>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</si>
  <si>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</si>
  <si>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</si>
  <si>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</si>
  <si>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</si>
  <si>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</si>
  <si>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</si>
  <si>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</si>
  <si>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</si>
  <si>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</si>
  <si>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</si>
  <si>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</si>
  <si>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</si>
  <si>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</si>
  <si>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</si>
  <si>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</si>
  <si>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</si>
  <si>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</si>
  <si>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</si>
  <si>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</si>
  <si>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</si>
  <si>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</si>
  <si>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</si>
  <si>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</si>
  <si>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</si>
  <si>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</si>
  <si>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</si>
  <si>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</si>
  <si>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</si>
  <si>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</si>
  <si>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</si>
  <si>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</si>
  <si>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</si>
  <si>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</si>
  <si>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</si>
  <si>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</si>
  <si>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</si>
  <si>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</si>
  <si>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</si>
  <si>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</si>
  <si>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</si>
  <si>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</si>
  <si>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</si>
  <si>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</si>
  <si>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</si>
  <si>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</si>
  <si>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</si>
  <si>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</si>
  <si>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</si>
  <si>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</si>
  <si>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</si>
  <si>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</si>
  <si>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</si>
  <si>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</si>
  <si>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</si>
  <si>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</si>
  <si>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</si>
  <si>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</si>
  <si>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</si>
  <si>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</si>
  <si>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</si>
  <si>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</si>
  <si>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</si>
  <si>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</si>
  <si>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</si>
  <si>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</si>
  <si>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</si>
  <si>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</si>
  <si>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</si>
  <si>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</si>
  <si>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</si>
  <si>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</si>
  <si>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</si>
  <si>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</si>
  <si>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</si>
  <si>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</si>
  <si>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</si>
  <si>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</si>
  <si>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</si>
  <si>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</si>
  <si>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</si>
  <si>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</si>
  <si>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</si>
  <si>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</si>
  <si>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</si>
  <si>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</si>
  <si>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</si>
  <si>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</si>
  <si>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</si>
  <si>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</si>
  <si>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</si>
  <si>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</si>
  <si>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</si>
  <si>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</si>
  <si>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</si>
  <si>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</si>
  <si>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</si>
  <si>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</si>
  <si>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</si>
  <si>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</si>
  <si>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</si>
  <si>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</si>
  <si>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</si>
  <si>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</si>
  <si>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</si>
  <si>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</si>
  <si>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</si>
  <si>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</si>
  <si>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</si>
  <si>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</si>
  <si>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</si>
  <si>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</si>
  <si>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</si>
  <si>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</si>
  <si>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</si>
  <si>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</si>
  <si>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</si>
  <si>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</si>
  <si>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</si>
  <si>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</si>
  <si>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</si>
  <si>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</si>
  <si>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</si>
  <si>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</si>
  <si>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</si>
  <si>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</si>
  <si>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</si>
  <si>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</si>
  <si>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</si>
  <si>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</si>
  <si>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</si>
  <si>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</si>
  <si>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</si>
  <si>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</si>
  <si>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</si>
  <si>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</si>
  <si>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</si>
  <si>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</si>
  <si>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</si>
  <si>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</si>
  <si>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</si>
  <si>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</si>
  <si>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</si>
  <si>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</si>
  <si>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</si>
  <si>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</si>
  <si>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</si>
  <si>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</si>
  <si>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</si>
  <si>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</si>
  <si>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</si>
  <si>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</si>
  <si>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</si>
  <si>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</si>
  <si>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</si>
  <si>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</si>
  <si>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</si>
  <si>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</si>
  <si>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</si>
  <si>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</si>
  <si>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</si>
  <si>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</si>
  <si>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</si>
  <si>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</si>
  <si>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</si>
  <si>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</si>
  <si>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</si>
  <si>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</si>
  <si>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</si>
  <si>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</si>
  <si>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</si>
  <si>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</si>
  <si>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</si>
  <si>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</si>
  <si>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</si>
  <si>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</si>
  <si>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</si>
  <si>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</si>
  <si>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</si>
  <si>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</si>
  <si>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</si>
  <si>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</si>
  <si>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</si>
  <si>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</si>
  <si>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</si>
  <si>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</si>
  <si>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</si>
  <si>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</si>
  <si>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</si>
  <si>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</si>
  <si>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</si>
  <si>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</si>
  <si>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</si>
  <si>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</si>
  <si>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</si>
  <si>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</si>
  <si>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</si>
  <si>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</si>
  <si>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</si>
  <si>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</si>
  <si>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</si>
  <si>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</si>
  <si>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</si>
  <si>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</si>
  <si>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</si>
  <si>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</si>
  <si>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</si>
  <si>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</si>
  <si>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</si>
  <si>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</si>
  <si>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</si>
  <si>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</si>
  <si>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</si>
  <si>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</si>
  <si>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</si>
  <si>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</si>
  <si>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</si>
  <si>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</si>
  <si>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</si>
  <si>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</si>
  <si>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</si>
  <si>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</si>
  <si>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</si>
  <si>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</si>
  <si>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</si>
  <si>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</si>
  <si>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</si>
  <si>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</si>
  <si>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</si>
  <si>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</si>
  <si>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</si>
  <si>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</si>
  <si>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</si>
  <si>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</si>
  <si>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</si>
  <si>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</si>
  <si>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</si>
  <si>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</si>
  <si>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</si>
  <si>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</si>
  <si>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</si>
  <si>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</si>
  <si>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</si>
  <si>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</si>
  <si>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</si>
  <si>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</si>
  <si>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</si>
  <si>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</si>
  <si>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</si>
  <si>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</si>
  <si>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</si>
  <si>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</si>
  <si>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</si>
  <si>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</si>
  <si>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</si>
  <si>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</si>
  <si>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</si>
  <si>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</si>
  <si>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</si>
  <si>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</si>
  <si>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</si>
  <si>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</si>
  <si>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</si>
  <si>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</si>
  <si>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</si>
  <si>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</si>
  <si>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</si>
  <si>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</si>
  <si>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</si>
  <si>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</si>
  <si>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</si>
  <si>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</si>
  <si>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</si>
  <si>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</si>
  <si>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</si>
  <si>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</si>
  <si>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</si>
  <si>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</si>
  <si>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</si>
  <si>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</si>
  <si>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</si>
  <si>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</si>
  <si>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</si>
  <si>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</si>
  <si>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</si>
  <si>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</si>
  <si>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</si>
  <si>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</si>
  <si>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</si>
  <si>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</si>
  <si>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</si>
  <si>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</si>
  <si>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</si>
  <si>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</si>
  <si>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</si>
  <si>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</si>
  <si>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</si>
  <si>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</si>
  <si>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</si>
  <si>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</si>
  <si>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</si>
  <si>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</si>
  <si>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</si>
  <si>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</si>
  <si>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</si>
  <si>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</si>
  <si>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</si>
  <si>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</si>
  <si>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</si>
  <si>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</si>
  <si>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</si>
  <si>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</si>
  <si>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</si>
  <si>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</si>
  <si>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</si>
  <si>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</si>
  <si>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</si>
  <si>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</si>
  <si>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</si>
  <si>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</si>
  <si>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</si>
  <si>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</si>
  <si>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</si>
  <si>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</si>
  <si>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</si>
  <si>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</si>
  <si>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</si>
  <si>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</si>
  <si>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</si>
  <si>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</si>
  <si>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</si>
  <si>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</si>
  <si>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</si>
  <si>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</si>
  <si>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</si>
  <si>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</si>
  <si>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</si>
  <si>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</si>
  <si>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</si>
  <si>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</si>
  <si>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</si>
  <si>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</si>
  <si>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</si>
  <si>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</si>
  <si>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</si>
  <si>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</si>
  <si>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</si>
  <si>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</si>
  <si>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</si>
  <si>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</si>
  <si>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</si>
  <si>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</si>
  <si>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</si>
  <si>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</si>
  <si>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</si>
  <si>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</si>
  <si>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</si>
  <si>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</si>
  <si>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</si>
  <si>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</si>
  <si>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</si>
  <si>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</si>
  <si>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</si>
  <si>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</si>
  <si>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</si>
  <si>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</si>
  <si>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</si>
  <si>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</si>
  <si>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</si>
  <si>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</si>
  <si>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</si>
  <si>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</si>
  <si>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</si>
  <si>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</si>
  <si>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</si>
  <si>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</si>
  <si>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</si>
  <si>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</si>
  <si>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</si>
  <si>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</si>
  <si>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</si>
  <si>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</si>
  <si>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</si>
  <si>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</si>
  <si>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</si>
  <si>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</si>
  <si>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</si>
  <si>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</si>
  <si>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</si>
  <si>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</si>
  <si>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</si>
  <si>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</si>
  <si>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</si>
  <si>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</si>
  <si>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</si>
  <si>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</si>
  <si>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</si>
  <si>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</si>
  <si>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</si>
  <si>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</si>
  <si>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</si>
  <si>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</si>
  <si>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</si>
  <si>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</si>
  <si>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</si>
  <si>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</si>
  <si>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</si>
  <si>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</si>
  <si>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</si>
  <si>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</si>
  <si>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</si>
  <si>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</si>
  <si>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</si>
  <si>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</si>
  <si>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</si>
  <si>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</si>
  <si>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</si>
  <si>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</si>
  <si>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</si>
  <si>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</si>
  <si>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</si>
  <si>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</si>
  <si>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</si>
  <si>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</si>
  <si>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</si>
  <si>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</si>
  <si>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</si>
  <si>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</si>
  <si>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</si>
  <si>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</si>
  <si>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</si>
  <si>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</si>
  <si>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</si>
  <si>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</si>
  <si>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</si>
  <si>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</si>
  <si>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</si>
  <si>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</si>
  <si>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</si>
  <si>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</si>
  <si>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</si>
  <si>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</si>
  <si>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</si>
  <si>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</si>
  <si>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</si>
  <si>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</si>
  <si>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</si>
  <si>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</si>
  <si>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</si>
  <si>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</si>
  <si>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</si>
  <si>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</si>
  <si>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</si>
  <si>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</si>
  <si>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</si>
  <si>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</si>
  <si>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</si>
  <si>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</si>
  <si>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</si>
  <si>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</si>
  <si>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</si>
  <si>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</si>
  <si>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</si>
  <si>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</si>
  <si>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</si>
  <si>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</si>
  <si>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</si>
  <si>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</si>
  <si>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</si>
  <si>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</si>
  <si>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</si>
  <si>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</si>
  <si>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</si>
  <si>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</si>
  <si>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</si>
  <si>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</si>
  <si>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</si>
  <si>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</si>
  <si>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</si>
  <si>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</si>
  <si>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</si>
  <si>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</si>
  <si>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</si>
  <si>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</si>
  <si>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</si>
  <si>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</si>
  <si>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</si>
  <si>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</si>
  <si>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</si>
  <si>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</si>
  <si>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</si>
  <si>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</si>
  <si>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</si>
  <si>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</si>
  <si>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</si>
  <si>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</si>
  <si>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</si>
  <si>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</si>
  <si>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</si>
  <si>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</si>
  <si>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</si>
  <si>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</si>
  <si>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</si>
  <si>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</si>
  <si>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</si>
  <si>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</si>
  <si>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</si>
  <si>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</si>
  <si>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</si>
  <si>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</si>
  <si>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</si>
  <si>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</si>
  <si>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</si>
  <si>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</si>
  <si>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</si>
  <si>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</si>
  <si>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</si>
  <si>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</si>
  <si>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</si>
  <si>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</si>
  <si>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</si>
  <si>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</si>
  <si>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</si>
  <si>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</si>
  <si>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</si>
  <si>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</si>
  <si>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</si>
  <si>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</si>
  <si>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</si>
  <si>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</si>
  <si>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</si>
  <si>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</si>
  <si>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</si>
  <si>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</si>
  <si>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</si>
  <si>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</si>
  <si>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</si>
  <si>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</si>
  <si>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</si>
  <si>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</si>
  <si>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</si>
  <si>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</si>
  <si>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</si>
  <si>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</si>
  <si>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</si>
  <si>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</si>
  <si>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</si>
  <si>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</si>
  <si>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</si>
  <si>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</si>
  <si>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</si>
  <si>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</si>
  <si>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</si>
  <si>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</si>
  <si>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</si>
  <si>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</si>
  <si>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</si>
  <si>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</si>
  <si>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</si>
  <si>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</si>
  <si>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</si>
  <si>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</si>
  <si>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</si>
  <si>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</si>
  <si>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</si>
  <si>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</si>
  <si>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</si>
  <si>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</si>
  <si>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</si>
  <si>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</si>
  <si>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</si>
  <si>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</si>
  <si>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</si>
  <si>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</si>
  <si>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</si>
  <si>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</si>
  <si>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</si>
  <si>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</si>
  <si>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</si>
  <si>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</si>
  <si>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</si>
  <si>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</si>
  <si>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</si>
  <si>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</si>
  <si>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</si>
  <si>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</si>
  <si>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</si>
  <si>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</si>
  <si>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</si>
  <si>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</si>
  <si>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</si>
  <si>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</si>
  <si>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</si>
  <si>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</si>
  <si>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</si>
  <si>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</si>
  <si>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</si>
  <si>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</si>
  <si>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</si>
  <si>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</si>
  <si>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</si>
  <si>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</si>
  <si>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</si>
  <si>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</si>
  <si>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</si>
  <si>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</si>
  <si>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</si>
  <si>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</si>
  <si>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</si>
  <si>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</si>
  <si>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</si>
  <si>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</si>
  <si>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</si>
  <si>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</si>
  <si>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</si>
  <si>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</si>
  <si>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</si>
  <si>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</si>
  <si>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</si>
  <si>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</si>
  <si>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</si>
  <si>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</si>
  <si>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</si>
  <si>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</si>
  <si>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</si>
  <si>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</si>
  <si>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</si>
  <si>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</si>
  <si>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</si>
  <si>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</si>
  <si>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</si>
  <si>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</si>
  <si>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</si>
  <si>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</si>
  <si>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</si>
  <si>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</si>
  <si>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</si>
  <si>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</si>
  <si>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</si>
  <si>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</si>
  <si>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</si>
  <si>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</si>
  <si>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</si>
  <si>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</si>
  <si>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</si>
  <si>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</si>
  <si>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</si>
  <si>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</si>
  <si>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</si>
  <si>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</si>
  <si>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</si>
  <si>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</si>
  <si>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</si>
  <si>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</si>
  <si>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</si>
  <si>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</si>
  <si>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</si>
  <si>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</si>
  <si>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</si>
  <si>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</si>
  <si>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</si>
  <si>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</si>
  <si>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</si>
  <si>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</si>
  <si>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</si>
  <si>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</si>
  <si>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</si>
  <si>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</si>
  <si>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</si>
  <si>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</si>
  <si>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</si>
  <si>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</si>
  <si>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</si>
  <si>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</si>
  <si>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</si>
  <si>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</si>
  <si>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</si>
  <si>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</si>
  <si>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</si>
  <si>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</si>
  <si>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</si>
  <si>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</si>
  <si>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</si>
  <si>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</si>
  <si>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</si>
  <si>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</si>
  <si>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</si>
  <si>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</si>
  <si>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</si>
  <si>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</si>
  <si>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</si>
  <si>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</si>
  <si>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</si>
  <si>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</si>
  <si>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</si>
  <si>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</si>
  <si>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</si>
  <si>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</si>
  <si>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</si>
  <si>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</si>
  <si>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</si>
  <si>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</si>
  <si>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</si>
  <si>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</si>
  <si>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</si>
  <si>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</si>
  <si>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</si>
  <si>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</si>
  <si>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</si>
  <si>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</si>
  <si>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</si>
  <si>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</si>
  <si>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</si>
  <si>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</si>
  <si>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</si>
  <si>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</si>
  <si>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</si>
  <si>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</si>
  <si>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</si>
  <si>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</si>
  <si>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</si>
  <si>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</si>
  <si>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</si>
  <si>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</si>
  <si>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</si>
  <si>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</si>
  <si>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</si>
  <si>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</si>
  <si>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</si>
  <si>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</si>
  <si>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</si>
  <si>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</si>
  <si>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</si>
  <si>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</si>
  <si>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</si>
  <si>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</si>
  <si>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</si>
  <si>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</si>
  <si>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</si>
  <si>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</si>
  <si>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</si>
  <si>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</si>
  <si>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</si>
  <si>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</si>
  <si>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</si>
  <si>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</si>
  <si>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</si>
  <si>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</si>
  <si>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</si>
  <si>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</si>
  <si>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</si>
  <si>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</si>
  <si>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</si>
  <si>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</si>
  <si>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</si>
  <si>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</si>
  <si>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</si>
  <si>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</si>
  <si>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</si>
  <si>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</si>
  <si>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</si>
  <si>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</si>
  <si>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</si>
  <si>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</si>
  <si>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</si>
  <si>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</si>
  <si>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</si>
  <si>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</si>
  <si>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</si>
  <si>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</si>
  <si>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</si>
  <si>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</si>
  <si>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</si>
  <si>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</si>
  <si>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</si>
  <si>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</si>
  <si>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</si>
  <si>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</si>
  <si>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</si>
  <si>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</si>
  <si>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</si>
  <si>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</si>
  <si>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</si>
  <si>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</si>
  <si>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</si>
  <si>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</si>
  <si>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</si>
  <si>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</si>
  <si>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</si>
  <si>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</si>
  <si>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</si>
  <si>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</si>
  <si>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</si>
  <si>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</si>
  <si>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</si>
  <si>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</si>
  <si>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</si>
  <si>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</si>
  <si>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</si>
  <si>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</si>
  <si>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</si>
  <si>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</si>
  <si>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</si>
  <si>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</si>
  <si>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</si>
  <si>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</si>
  <si>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</si>
  <si>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</si>
  <si>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</si>
  <si>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</si>
  <si>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</si>
  <si>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</si>
  <si>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</si>
  <si>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</si>
  <si>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</si>
  <si>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</si>
  <si>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</si>
  <si>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</si>
  <si>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</si>
  <si>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</si>
  <si>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</si>
  <si>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</si>
  <si>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</si>
  <si>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</si>
  <si>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</si>
  <si>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</si>
  <si>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</si>
  <si>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</si>
  <si>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</si>
  <si>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</si>
  <si>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</si>
  <si>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</si>
  <si>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</si>
  <si>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</si>
  <si>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</si>
  <si>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</si>
  <si>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</si>
  <si>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</si>
  <si>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</si>
  <si>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</si>
  <si>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</si>
  <si>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</si>
  <si>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</si>
  <si>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</si>
  <si>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</si>
  <si>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</si>
  <si>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</si>
  <si>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</si>
  <si>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</si>
  <si>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</si>
  <si>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</si>
  <si>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</si>
  <si>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</si>
  <si>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</si>
  <si>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</si>
  <si>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</si>
  <si>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</si>
  <si>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</si>
  <si>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</si>
  <si>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</si>
  <si>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</si>
  <si>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</si>
  <si>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</si>
  <si>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</si>
  <si>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</si>
  <si>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</si>
  <si>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</si>
  <si>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</si>
  <si>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</si>
  <si>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</si>
  <si>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</si>
  <si>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</si>
  <si>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</si>
  <si>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</si>
  <si>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</si>
  <si>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</si>
  <si>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</si>
  <si>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</si>
  <si>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</si>
  <si>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</si>
  <si>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</si>
  <si>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</si>
  <si>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</si>
  <si>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</si>
  <si>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</si>
  <si>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</si>
  <si>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</si>
  <si>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</si>
  <si>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</si>
  <si>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</si>
  <si>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</si>
  <si>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</si>
  <si>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</si>
  <si>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</si>
  <si>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</si>
  <si>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</si>
  <si>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</si>
  <si>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</si>
  <si>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</si>
  <si>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</si>
  <si>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</si>
  <si>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</si>
  <si>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</si>
  <si>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</si>
  <si>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</si>
  <si>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</si>
  <si>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</si>
  <si>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</si>
  <si>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</si>
  <si>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</si>
  <si>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</si>
  <si>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</si>
  <si>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</si>
  <si>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</si>
  <si>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</si>
  <si>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</si>
  <si>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</si>
  <si>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</si>
  <si>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</si>
  <si>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</si>
  <si>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</si>
  <si>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</si>
  <si>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</si>
  <si>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</si>
  <si>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</si>
  <si>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</si>
  <si>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</si>
  <si>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</si>
  <si>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</si>
  <si>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</si>
  <si>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</si>
  <si>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</si>
  <si>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</si>
  <si>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</si>
  <si>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</si>
  <si>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</si>
  <si>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</si>
  <si>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</si>
  <si>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</si>
  <si>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</si>
  <si>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</si>
  <si>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</si>
  <si>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</si>
  <si>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</si>
  <si>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</si>
  <si>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</si>
  <si>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</si>
  <si>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</si>
  <si>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</si>
  <si>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</si>
  <si>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</si>
  <si>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</si>
  <si>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</si>
  <si>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</si>
  <si>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</si>
  <si>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</si>
  <si>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</si>
  <si>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</si>
  <si>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</si>
  <si>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</si>
  <si>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</si>
  <si>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</si>
  <si>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</si>
  <si>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</si>
  <si>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</si>
  <si>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</si>
  <si>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</si>
  <si>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</si>
  <si>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</si>
  <si>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</si>
  <si>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</si>
  <si>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</si>
  <si>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</si>
  <si>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</si>
  <si>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</si>
  <si>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</si>
  <si>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</si>
  <si>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</si>
  <si>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</si>
  <si>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</si>
  <si>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</si>
  <si>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</si>
  <si>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</si>
  <si>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</si>
  <si>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</si>
  <si>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</si>
  <si>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</si>
  <si>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</si>
  <si>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</si>
  <si>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</si>
  <si>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</si>
  <si>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</si>
  <si>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</si>
  <si>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</si>
  <si>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</si>
  <si>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</si>
  <si>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</si>
  <si>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</si>
  <si>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</si>
  <si>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</si>
  <si>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</si>
  <si>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</si>
  <si>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</si>
  <si>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</si>
  <si>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</si>
  <si>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</si>
  <si>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</si>
  <si>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</si>
  <si>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</si>
  <si>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</si>
  <si>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</si>
  <si>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</si>
  <si>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</si>
  <si>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</si>
  <si>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</si>
  <si>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</si>
  <si>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</si>
  <si>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</si>
  <si>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</si>
  <si>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</si>
  <si>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</si>
  <si>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</si>
  <si>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</si>
  <si>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</si>
  <si>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</si>
  <si>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</si>
  <si>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</si>
  <si>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</si>
  <si>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</si>
  <si>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</si>
  <si>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</si>
  <si>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</si>
  <si>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</si>
  <si>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</si>
  <si>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</si>
  <si>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</si>
  <si>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</si>
  <si>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</si>
  <si>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</si>
  <si>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</si>
  <si>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</si>
  <si>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</si>
  <si>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</si>
  <si>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</si>
  <si>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</si>
  <si>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</si>
  <si>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</si>
  <si>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</si>
  <si>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</si>
  <si>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</si>
  <si>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</si>
  <si>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</si>
  <si>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</si>
  <si>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</si>
  <si>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</si>
  <si>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</si>
  <si>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</si>
  <si>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</si>
  <si>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</si>
  <si>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</si>
  <si>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</si>
  <si>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</si>
  <si>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</si>
  <si>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</si>
  <si>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</si>
  <si>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</si>
  <si>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</si>
  <si>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</si>
  <si>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</si>
  <si>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</si>
  <si>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</si>
  <si>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</si>
  <si>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</si>
  <si>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</si>
  <si>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</si>
  <si>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</si>
  <si>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</si>
  <si>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</si>
  <si>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</si>
  <si>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</si>
  <si>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</si>
  <si>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</si>
  <si>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</si>
  <si>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</si>
  <si>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</si>
  <si>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</si>
  <si>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</si>
  <si>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</si>
  <si>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</si>
  <si>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</si>
  <si>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</si>
  <si>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</si>
  <si>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</si>
  <si>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</si>
  <si>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</si>
  <si>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</si>
  <si>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</si>
  <si>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</si>
  <si>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</si>
  <si>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</si>
  <si>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</si>
  <si>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</si>
  <si>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</si>
  <si>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</si>
  <si>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</si>
  <si>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</si>
  <si>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</si>
  <si>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</si>
  <si>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</si>
  <si>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</si>
  <si>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</si>
  <si>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</si>
  <si>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</si>
  <si>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</si>
  <si>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</si>
  <si>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</si>
  <si>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</si>
  <si>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</si>
  <si>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</si>
  <si>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</si>
  <si>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</si>
  <si>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</si>
  <si>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</si>
  <si>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</si>
  <si>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</si>
  <si>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</si>
  <si>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</si>
  <si>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</si>
  <si>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</si>
  <si>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</si>
  <si>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</si>
  <si>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</si>
  <si>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</si>
  <si>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</si>
  <si>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</si>
  <si>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</si>
  <si>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</si>
  <si>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</si>
  <si>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</si>
  <si>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</si>
  <si>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</si>
  <si>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</si>
  <si>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</si>
  <si>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</si>
  <si>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</si>
  <si>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</si>
  <si>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</si>
  <si>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</si>
  <si>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</si>
  <si>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</si>
  <si>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</si>
  <si>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</si>
  <si>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</si>
  <si>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</si>
  <si>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</si>
  <si>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</si>
  <si>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</si>
  <si>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</si>
  <si>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</si>
  <si>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</si>
  <si>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</si>
  <si>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</si>
  <si>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</si>
  <si>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</si>
  <si>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</si>
  <si>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</si>
  <si>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</si>
  <si>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</si>
  <si>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</si>
  <si>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</si>
  <si>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</si>
  <si>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</si>
  <si>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</si>
  <si>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</si>
  <si>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</si>
  <si>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</si>
  <si>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</si>
  <si>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</si>
  <si>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</si>
  <si>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</si>
  <si>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</si>
  <si>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</si>
  <si>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</si>
  <si>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</si>
  <si>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</si>
  <si>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</si>
  <si>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</si>
  <si>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</si>
  <si>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</si>
  <si>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</si>
  <si>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</si>
  <si>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</si>
  <si>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</si>
  <si>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</si>
  <si>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</si>
  <si>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</si>
  <si>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</si>
  <si>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</si>
  <si>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</si>
  <si>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</si>
  <si>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</si>
  <si>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</si>
  <si>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</si>
  <si>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</si>
  <si>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</si>
  <si>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</si>
  <si>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</si>
  <si>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</si>
  <si>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</si>
  <si>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</si>
  <si>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</si>
  <si>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</si>
  <si>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</si>
  <si>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</si>
  <si>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</si>
  <si>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</si>
  <si>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</si>
  <si>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</si>
  <si>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是</t>
  </si>
  <si>
    <t>住宅</t>
  </si>
  <si>
    <t>住宅</t>
    <phoneticPr fontId="7" type="noConversion"/>
  </si>
  <si>
    <t>《房屋所有权证》</t>
  </si>
  <si>
    <t>复印件</t>
  </si>
  <si>
    <t>叶凌</t>
  </si>
  <si>
    <t>杨红英</t>
  </si>
  <si>
    <t>北京市</t>
  </si>
  <si>
    <t>自然人</t>
  </si>
  <si>
    <t>与房产证证载一致</t>
  </si>
  <si>
    <t>住宅</t>
    <phoneticPr fontId="7" type="noConversion"/>
  </si>
  <si>
    <t>Ⅹ-房1</t>
  </si>
  <si>
    <t>房屋所有权证</t>
  </si>
  <si>
    <t>《房屋他项权利证书》</t>
    <phoneticPr fontId="7" type="noConversion"/>
  </si>
  <si>
    <t>北京燕鸿融资担保有限责任公司</t>
    <phoneticPr fontId="7" type="noConversion"/>
  </si>
  <si>
    <t>楼面单价</t>
  </si>
  <si>
    <t>无租约</t>
  </si>
  <si>
    <t>非生产用房</t>
  </si>
  <si>
    <t>设定收益年期(n)</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</si>
  <si>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</si>
  <si>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</si>
  <si>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</si>
  <si>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</si>
  <si>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</si>
  <si>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</si>
  <si>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</si>
  <si>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</si>
  <si>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</si>
  <si>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</si>
  <si>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</si>
  <si>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</si>
  <si>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</si>
  <si>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</si>
  <si>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</si>
  <si>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</si>
  <si>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</si>
  <si>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</si>
  <si>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收益法</t>
  </si>
  <si>
    <t>估价对象1（结果表）</t>
  </si>
  <si>
    <t>估价对象</t>
  </si>
  <si>
    <t>售价</t>
  </si>
  <si>
    <t>正常</t>
  </si>
  <si>
    <t>住宅</t>
    <phoneticPr fontId="20" type="noConversion"/>
  </si>
  <si>
    <t>七通一平</t>
    <phoneticPr fontId="20" type="noConversion"/>
  </si>
  <si>
    <t>估价对象所在区域公共配套设施较好</t>
  </si>
  <si>
    <t>估价对象所在区域公共配套设施较好</t>
    <phoneticPr fontId="35" type="noConversion"/>
  </si>
  <si>
    <t>南北</t>
    <phoneticPr fontId="20" type="noConversion"/>
  </si>
  <si>
    <t>楼层</t>
    <phoneticPr fontId="20" type="noConversion"/>
  </si>
  <si>
    <t>一般</t>
    <phoneticPr fontId="20" type="noConversion"/>
  </si>
  <si>
    <t>七通一平</t>
    <phoneticPr fontId="20" type="noConversion"/>
  </si>
  <si>
    <t>平层</t>
    <phoneticPr fontId="20" type="noConversion"/>
  </si>
  <si>
    <t>精装修</t>
    <phoneticPr fontId="20" type="noConversion"/>
  </si>
  <si>
    <t>普通装修</t>
    <phoneticPr fontId="20" type="noConversion"/>
  </si>
  <si>
    <t>平层</t>
    <phoneticPr fontId="20" type="noConversion"/>
  </si>
  <si>
    <t>普通装修</t>
    <phoneticPr fontId="20" type="noConversion"/>
  </si>
  <si>
    <t>房山区阎村镇云栖苑1号楼8层2单元801</t>
    <phoneticPr fontId="7" type="noConversion"/>
  </si>
  <si>
    <t>三室二厅二卫一厨二阳台一储物间</t>
    <phoneticPr fontId="7" type="noConversion"/>
  </si>
  <si>
    <t>元</t>
  </si>
  <si>
    <t>否</t>
  </si>
  <si>
    <t>钢混</t>
  </si>
  <si>
    <t>10</t>
    <phoneticPr fontId="4" type="noConversion"/>
  </si>
  <si>
    <t>绿城百合云栖苑1号楼2-801</t>
    <phoneticPr fontId="4" type="noConversion"/>
  </si>
  <si>
    <t>绿城百合公寓天风苑</t>
    <phoneticPr fontId="4" type="noConversion"/>
  </si>
  <si>
    <t>绿城百合公寓玉泉苑</t>
    <phoneticPr fontId="4" type="noConversion"/>
  </si>
  <si>
    <t>绿城百合公寓云栖苑</t>
    <phoneticPr fontId="4" type="noConversion"/>
  </si>
  <si>
    <t>周边有天恒乐活城、燕化星城等社区，综合评价居住社区成熟度较好</t>
    <phoneticPr fontId="35" type="noConversion"/>
  </si>
  <si>
    <t>估价对象位于阎村商圈，周边商业氛围较好，人流量较大，商业繁华度较好</t>
    <phoneticPr fontId="20" type="noConversion"/>
  </si>
  <si>
    <t>估价对象紧邻京周路，有901快车、839等多条公交线路及地铁燕房线燕山线通过，交通便捷度良好</t>
    <phoneticPr fontId="35" type="noConversion"/>
  </si>
  <si>
    <t>自然环境有大石河水系（距离4公里）；人文环境有北京理工大学（房山分校）；综合评价环境状况较好</t>
  </si>
  <si>
    <t>自然环境有大石河水系（距离4公里）；人文环境有北京理工大学（房山分校）；综合评价环境状况较好</t>
    <phoneticPr fontId="35" type="noConversion"/>
  </si>
  <si>
    <t>高层板楼</t>
    <phoneticPr fontId="20" type="noConversion"/>
  </si>
  <si>
    <t>钢混</t>
    <phoneticPr fontId="20" type="noConversion"/>
  </si>
  <si>
    <t>物业管理</t>
  </si>
  <si>
    <r>
      <rPr>
        <sz val="11"/>
        <rFont val="宋体"/>
        <family val="3"/>
        <charset val="134"/>
      </rPr>
      <t>高楼层</t>
    </r>
    <r>
      <rPr>
        <sz val="11"/>
        <rFont val="Arial"/>
        <family val="2"/>
      </rPr>
      <t>/11</t>
    </r>
    <phoneticPr fontId="20" type="noConversion"/>
  </si>
  <si>
    <r>
      <rPr>
        <sz val="11"/>
        <rFont val="宋体"/>
        <family val="3"/>
        <charset val="134"/>
      </rPr>
      <t>高楼层</t>
    </r>
    <r>
      <rPr>
        <sz val="11"/>
        <rFont val="Arial"/>
        <family val="2"/>
      </rPr>
      <t>/16</t>
    </r>
    <phoneticPr fontId="20" type="noConversion"/>
  </si>
  <si>
    <r>
      <rPr>
        <sz val="11"/>
        <rFont val="宋体"/>
        <family val="3"/>
        <charset val="134"/>
      </rPr>
      <t>低楼层</t>
    </r>
    <r>
      <rPr>
        <sz val="11"/>
        <rFont val="Arial"/>
        <family val="2"/>
      </rPr>
      <t>/12</t>
    </r>
    <phoneticPr fontId="20" type="noConversion"/>
  </si>
  <si>
    <t>精装修</t>
    <phoneticPr fontId="20" type="noConversion"/>
  </si>
  <si>
    <t>50-60（含）</t>
  </si>
  <si>
    <t>周边有天恒乐活城、燕化星城等社区，综合评价居住社区成熟度较好</t>
  </si>
  <si>
    <t>估价对象紧邻京周路，有901快车、839等多条公交线路及地铁燕房线燕山线通过，交通便捷度良好</t>
  </si>
  <si>
    <t>七通</t>
  </si>
  <si>
    <r>
      <t>8(</t>
    </r>
    <r>
      <rPr>
        <sz val="11"/>
        <rFont val="宋体"/>
        <family val="3"/>
        <charset val="134"/>
      </rPr>
      <t>高楼层</t>
    </r>
    <r>
      <rPr>
        <sz val="11"/>
        <rFont val="Arial"/>
        <family val="2"/>
      </rPr>
      <t>)/11</t>
    </r>
    <phoneticPr fontId="20" type="noConversion"/>
  </si>
  <si>
    <r>
      <t>8(</t>
    </r>
    <r>
      <rPr>
        <sz val="11"/>
        <rFont val="宋体"/>
        <family val="3"/>
        <charset val="134"/>
      </rPr>
      <t>高楼层</t>
    </r>
    <r>
      <rPr>
        <sz val="11"/>
        <rFont val="Arial"/>
        <family val="2"/>
      </rPr>
      <t>)/11</t>
    </r>
    <phoneticPr fontId="20" type="noConversion"/>
  </si>
  <si>
    <t>建成年代</t>
    <phoneticPr fontId="20" type="noConversion"/>
  </si>
  <si>
    <t>板塔结合</t>
    <phoneticPr fontId="20" type="noConversion"/>
  </si>
  <si>
    <t>塔楼</t>
    <phoneticPr fontId="20" type="noConversion"/>
  </si>
  <si>
    <t>高层板楼</t>
    <phoneticPr fontId="20" type="noConversion"/>
  </si>
  <si>
    <t>板塔结合</t>
    <phoneticPr fontId="20" type="noConversion"/>
  </si>
  <si>
    <t>塔楼</t>
    <phoneticPr fontId="20" type="noConversion"/>
  </si>
  <si>
    <t>60</t>
    <phoneticPr fontId="4" type="noConversion"/>
  </si>
  <si>
    <t>60-70（含）</t>
  </si>
  <si>
    <t>城市主干道——京周路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</si>
</sst>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3" xfId="0" applyFont="1" applyFill="1" applyBorder="1" applyAlignment="1" applyProtection="1">
      <alignment horizontal="right" vertical="center" wrapText="1"/>
      <protection locked="0"/>
    </xf>
    <xf numFmtId="0" fontId="75" fillId="0" borderId="1" xfId="0" applyFont="1" applyBorder="1" applyAlignment="1" applyProtection="1">
      <alignment vertical="center" wrapText="1"/>
      <protection locked="0"/>
    </xf>
    <xf numFmtId="0" fontId="75" fillId="0" borderId="7" xfId="0" applyFont="1" applyBorder="1" applyAlignment="1" applyProtection="1">
      <alignment vertical="center" wrapText="1"/>
      <protection locked="0"/>
    </xf>
    <xf numFmtId="0" fontId="75" fillId="0" borderId="6" xfId="0" applyFont="1" applyFill="1" applyBorder="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245" fillId="0" borderId="1" xfId="0" applyNumberFormat="1" applyFont="1" applyFill="1" applyBorder="1" applyAlignment="1" applyProtection="1">
      <alignment horizontal="center" vertical="center" wrapText="1" shrinkToFit="1"/>
      <protection locked="0"/>
    </xf>
    <xf numFmtId="49" fontId="39" fillId="6" borderId="7" xfId="0" applyNumberFormat="1" applyFont="1" applyFill="1" applyBorder="1" applyAlignment="1" applyProtection="1">
      <alignment horizontal="center" vertical="center" wrapText="1"/>
      <protection locked="0"/>
    </xf>
    <xf numFmtId="49" fontId="92" fillId="6" borderId="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12</xdr:col>
      <xdr:colOff>532305</xdr:colOff>
      <xdr:row>41</xdr:row>
      <xdr:rowOff>28336</xdr:rowOff>
    </xdr:to>
    <xdr:pic>
      <xdr:nvPicPr>
        <xdr:cNvPr id="6" name="图片 5"/>
        <xdr:cNvPicPr>
          <a:picLocks noChangeAspect="1"/>
        </xdr:cNvPicPr>
      </xdr:nvPicPr>
      <xdr:blipFill>
        <a:blip xmlns:r="http://schemas.openxmlformats.org/officeDocument/2006/relationships" r:embed="rId1" cstate="print"/>
        <a:stretch>
          <a:fillRect/>
        </a:stretch>
      </xdr:blipFill>
      <xdr:spPr>
        <a:xfrm>
          <a:off x="0" y="5143500"/>
          <a:ext cx="8761905" cy="1914286"/>
        </a:xfrm>
        <a:prstGeom prst="rect">
          <a:avLst/>
        </a:prstGeom>
      </xdr:spPr>
    </xdr:pic>
    <xdr:clientData/>
  </xdr:twoCellAnchor>
  <xdr:twoCellAnchor editAs="oneCell">
    <xdr:from>
      <xdr:col>0</xdr:col>
      <xdr:colOff>0</xdr:colOff>
      <xdr:row>0</xdr:row>
      <xdr:rowOff>0</xdr:rowOff>
    </xdr:from>
    <xdr:to>
      <xdr:col>12</xdr:col>
      <xdr:colOff>513258</xdr:colOff>
      <xdr:row>19</xdr:row>
      <xdr:rowOff>123403</xdr:rowOff>
    </xdr:to>
    <xdr:pic>
      <xdr:nvPicPr>
        <xdr:cNvPr id="8" name="图片 7"/>
        <xdr:cNvPicPr>
          <a:picLocks noChangeAspect="1"/>
        </xdr:cNvPicPr>
      </xdr:nvPicPr>
      <xdr:blipFill>
        <a:blip xmlns:r="http://schemas.openxmlformats.org/officeDocument/2006/relationships" r:embed="rId2" cstate="print"/>
        <a:stretch>
          <a:fillRect/>
        </a:stretch>
      </xdr:blipFill>
      <xdr:spPr>
        <a:xfrm>
          <a:off x="0" y="0"/>
          <a:ext cx="8742858" cy="3380953"/>
        </a:xfrm>
        <a:prstGeom prst="rect">
          <a:avLst/>
        </a:prstGeom>
      </xdr:spPr>
    </xdr:pic>
    <xdr:clientData/>
  </xdr:twoCellAnchor>
  <xdr:twoCellAnchor editAs="oneCell">
    <xdr:from>
      <xdr:col>0</xdr:col>
      <xdr:colOff>0</xdr:colOff>
      <xdr:row>20</xdr:row>
      <xdr:rowOff>0</xdr:rowOff>
    </xdr:from>
    <xdr:to>
      <xdr:col>12</xdr:col>
      <xdr:colOff>341829</xdr:colOff>
      <xdr:row>30</xdr:row>
      <xdr:rowOff>66453</xdr:rowOff>
    </xdr:to>
    <xdr:pic>
      <xdr:nvPicPr>
        <xdr:cNvPr id="9" name="图片 8"/>
        <xdr:cNvPicPr>
          <a:picLocks noChangeAspect="1"/>
        </xdr:cNvPicPr>
      </xdr:nvPicPr>
      <xdr:blipFill>
        <a:blip xmlns:r="http://schemas.openxmlformats.org/officeDocument/2006/relationships" r:embed="rId3" cstate="print"/>
        <a:stretch>
          <a:fillRect/>
        </a:stretch>
      </xdr:blipFill>
      <xdr:spPr>
        <a:xfrm>
          <a:off x="0" y="3429000"/>
          <a:ext cx="8571429" cy="17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636982</xdr:colOff>
      <xdr:row>27</xdr:row>
      <xdr:rowOff>75610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552382" cy="4723810"/>
        </a:xfrm>
        <a:prstGeom prst="rect">
          <a:avLst/>
        </a:prstGeom>
      </xdr:spPr>
    </xdr:pic>
    <xdr:clientData/>
  </xdr:twoCellAnchor>
  <xdr:twoCellAnchor editAs="oneCell">
    <xdr:from>
      <xdr:col>0</xdr:col>
      <xdr:colOff>0</xdr:colOff>
      <xdr:row>28</xdr:row>
      <xdr:rowOff>0</xdr:rowOff>
    </xdr:from>
    <xdr:to>
      <xdr:col>14</xdr:col>
      <xdr:colOff>360705</xdr:colOff>
      <xdr:row>57</xdr:row>
      <xdr:rowOff>37473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800600"/>
          <a:ext cx="9961905" cy="5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叶凌（注册号:1119970111）、杨红英（注册号:1120070085)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估价对象为北京市房地产，为所有。根据《房屋所有权证》[]，估价对象建筑面积为140.46平方米，（分摊）出让国有建设用地使用权面积为平方米。估价对象用途为住宅。</v>
      </c>
    </row>
    <row r="8" spans="1:2">
      <c r="A8" s="1702" t="s">
        <v>1115</v>
      </c>
      <c r="B8" s="1689" t="str">
        <f>'预评函-1'!A8</f>
        <v>为估价委托人了解估价对象房地产市场价值提供参考依据。</v>
      </c>
    </row>
    <row r="9" spans="1:2">
      <c r="A9" s="1702" t="s">
        <v>1116</v>
      </c>
      <c r="B9" s="1689" t="str">
        <f>'预评函-1'!A10</f>
        <v>2018年5月10日（评估专业人员实地查勘之日）</v>
      </c>
    </row>
    <row r="10" spans="1:2">
      <c r="A10" s="1702" t="s">
        <v>1117</v>
      </c>
      <c r="B10" s="1689" t="str">
        <f>'预评函-1'!A13</f>
        <v>本次估价的“房地产价值”是指在正常市场情况下，在价值时点2018年5月10日，估价对象规划用途为住宅，假定未设立法定优先受偿款下的房地产市场价值。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140.46</v>
      </c>
    </row>
    <row r="19" spans="1:2">
      <c r="A19" s="1702" t="s">
        <v>1126</v>
      </c>
      <c r="B19" s="1689">
        <f ca="1">'预评函-2（1）'!D7</f>
        <v>4194697</v>
      </c>
    </row>
    <row r="20" spans="1:2">
      <c r="A20" s="1702" t="s">
        <v>1164</v>
      </c>
      <c r="B20" s="1689" t="str">
        <f>'预评函-2（1）'!C7</f>
        <v>总价（元）</v>
      </c>
    </row>
    <row r="21" spans="1:2">
      <c r="A21" s="1702" t="s">
        <v>1127</v>
      </c>
      <c r="B21" s="1689">
        <f ca="1">'预评函-2（1）'!D9</f>
        <v>29864</v>
      </c>
    </row>
    <row r="22" spans="1:2">
      <c r="A22" s="1702" t="s">
        <v>1128</v>
      </c>
      <c r="B22" s="1689" t="str">
        <f ca="1">'预评函-2（1）'!D8</f>
        <v>肆佰壹拾玖万肆仟陆佰玖拾柒元整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4194697</v>
      </c>
    </row>
    <row r="30" spans="1:2">
      <c r="A30" s="1702" t="s">
        <v>1134</v>
      </c>
      <c r="B30" s="1689" t="str">
        <f ca="1">'预评函-2（1）'!D16</f>
        <v>肆佰壹拾玖万肆仟陆佰玖拾柒元整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2957245</v>
      </c>
    </row>
    <row r="38" spans="1:2">
      <c r="A38" s="1702" t="s">
        <v>1142</v>
      </c>
      <c r="B38" s="1689">
        <f ca="1">'预评函-2（2）'!E4</f>
        <v>21054</v>
      </c>
    </row>
    <row r="39" spans="1:2">
      <c r="A39" s="1702" t="s">
        <v>1143</v>
      </c>
      <c r="B39" s="1689" t="str">
        <f ca="1">'预评函-2（2）'!D5</f>
        <v>贰佰玖拾伍万柒仟贰佰肆拾伍元整</v>
      </c>
    </row>
    <row r="40" spans="1:2">
      <c r="A40" s="1702" t="s">
        <v>1144</v>
      </c>
      <c r="B40" s="1689">
        <f ca="1">'预评函-2（2）'!F4</f>
        <v>1237453</v>
      </c>
    </row>
    <row r="41" spans="1:2">
      <c r="A41" s="1702" t="s">
        <v>1145</v>
      </c>
      <c r="B41" s="1689">
        <f ca="1">'预评函-2（2）'!G4</f>
        <v>8810</v>
      </c>
    </row>
    <row r="42" spans="1:2" s="1699" customFormat="1" ht="15.75" thickBot="1">
      <c r="A42" s="1703" t="s">
        <v>1146</v>
      </c>
      <c r="B42" s="1691" t="str">
        <f ca="1">'预评函-2（2）'!F5</f>
        <v>壹佰贰拾叁万柒仟肆佰伍拾叁元整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29864</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13" sqref="E13"/>
    </sheetView>
  </sheetViews>
  <sheetFormatPr defaultColWidth="10" defaultRowHeight="12.75"/>
  <cols>
    <col min="1" max="1" width="18.625" style="1071" customWidth="1"/>
    <col min="2" max="2" width="15" style="1071" customWidth="1"/>
    <col min="3" max="3" width="14.125" style="1071" customWidth="1"/>
    <col min="4" max="4" width="13.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43230</v>
      </c>
      <c r="C2" s="1999" t="s">
        <v>1547</v>
      </c>
      <c r="D2" s="1088">
        <v>43230</v>
      </c>
      <c r="E2" s="1064"/>
      <c r="F2" s="1064"/>
      <c r="G2" s="1683"/>
      <c r="H2" s="1020"/>
    </row>
    <row r="3" spans="1:10" ht="13.5" thickBot="1">
      <c r="A3" s="2000" t="s">
        <v>1548</v>
      </c>
      <c r="B3" s="2001" t="s">
        <v>2818</v>
      </c>
      <c r="C3" s="1065">
        <f ca="1">SUMIF(注册房地产估价师,B3,估价师及机构信息!B3:B24)</f>
        <v>1119970111</v>
      </c>
      <c r="D3" s="2001" t="s">
        <v>2819</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2820</v>
      </c>
      <c r="C6" s="2015"/>
      <c r="D6" s="2016" t="s">
        <v>1555</v>
      </c>
      <c r="E6" s="1022"/>
      <c r="F6" s="1021"/>
      <c r="G6" s="1074"/>
      <c r="I6" s="1070" t="str">
        <f>IF(COUNTIF(B5,"*上海银行*"),"上海银行","")</f>
        <v/>
      </c>
    </row>
    <row r="7" spans="1:10" ht="13.5" thickBot="1">
      <c r="A7" s="2000" t="s">
        <v>1556</v>
      </c>
      <c r="B7" s="2017" t="s">
        <v>2821</v>
      </c>
      <c r="C7" s="2018" t="str">
        <f>IF(B7="自然人","姓名","名称")</f>
        <v>姓名</v>
      </c>
      <c r="D7" s="2019"/>
      <c r="E7" s="1068"/>
      <c r="F7" s="1067"/>
      <c r="G7" s="1684"/>
    </row>
    <row r="8" spans="1:10" ht="22.5" customHeight="1" thickTop="1">
      <c r="A8" s="2824" t="s">
        <v>1557</v>
      </c>
      <c r="B8" s="2020" t="s">
        <v>1558</v>
      </c>
      <c r="C8" s="2837" t="s">
        <v>2868</v>
      </c>
      <c r="D8" s="2838"/>
      <c r="E8" s="2021" t="s">
        <v>1559</v>
      </c>
      <c r="F8" s="2022" t="s">
        <v>1560</v>
      </c>
      <c r="G8" s="690">
        <f>C6</f>
        <v>0</v>
      </c>
    </row>
    <row r="9" spans="1:10" ht="25.5">
      <c r="A9" s="2824"/>
      <c r="B9" s="344" t="s">
        <v>1561</v>
      </c>
      <c r="C9" s="2731" t="s">
        <v>2823</v>
      </c>
      <c r="D9" s="2023" t="s">
        <v>2822</v>
      </c>
      <c r="E9" s="1010" t="s">
        <v>1562</v>
      </c>
      <c r="F9" s="996" t="s">
        <v>491</v>
      </c>
      <c r="G9" s="1012"/>
    </row>
    <row r="10" spans="1:10" ht="22.5" customHeight="1" thickBot="1">
      <c r="A10" s="2824"/>
      <c r="B10" s="344" t="s">
        <v>1563</v>
      </c>
      <c r="C10" s="2839" t="s">
        <v>2869</v>
      </c>
      <c r="D10" s="2840"/>
      <c r="E10" s="2024" t="s">
        <v>1564</v>
      </c>
      <c r="F10" s="1013" t="s">
        <v>2824</v>
      </c>
      <c r="G10" s="1014"/>
    </row>
    <row r="11" spans="1:10" ht="13.5" thickBot="1">
      <c r="A11" s="2824"/>
      <c r="B11" s="2025" t="s">
        <v>1565</v>
      </c>
      <c r="C11" s="2841"/>
      <c r="D11" s="2842"/>
      <c r="E11" s="1022"/>
      <c r="F11" s="1021"/>
      <c r="G11" s="1074"/>
    </row>
    <row r="12" spans="1:10" ht="24.75" thickBot="1">
      <c r="A12" s="2828" t="s">
        <v>1566</v>
      </c>
      <c r="B12" s="2026" t="s">
        <v>1567</v>
      </c>
      <c r="C12" s="1016">
        <v>140.46</v>
      </c>
      <c r="D12" s="2026" t="s">
        <v>1568</v>
      </c>
      <c r="E12" s="2027" t="s">
        <v>2825</v>
      </c>
      <c r="F12" s="2028" t="s">
        <v>1570</v>
      </c>
      <c r="G12" s="1074"/>
    </row>
    <row r="13" spans="1:10" ht="21" customHeight="1" thickBot="1">
      <c r="A13" s="2829"/>
      <c r="B13" s="2029" t="s">
        <v>1571</v>
      </c>
      <c r="C13" s="1017"/>
      <c r="D13" s="2029" t="s">
        <v>1572</v>
      </c>
      <c r="E13" s="2030" t="s">
        <v>1569</v>
      </c>
      <c r="F13" s="1021"/>
      <c r="G13" s="1074"/>
      <c r="I13" s="2847" t="s">
        <v>1573</v>
      </c>
      <c r="J13" s="2031"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32"/>
      <c r="B14" s="2033" t="s">
        <v>1574</v>
      </c>
      <c r="C14" s="2730" t="s">
        <v>2815</v>
      </c>
      <c r="D14" s="1021"/>
      <c r="E14" s="1021"/>
      <c r="F14" s="1021"/>
      <c r="G14" s="1074"/>
      <c r="I14" s="284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上述抵押权设定日期为2016年3月3日，权利人为北京燕鸿融资担保有限责任公司，权利范围为，权利价值为1000000。</v>
      </c>
    </row>
    <row r="15" spans="1:10" ht="13.5" thickBot="1">
      <c r="A15" s="2034"/>
      <c r="B15" s="2035" t="s">
        <v>1575</v>
      </c>
      <c r="C15" s="1069"/>
      <c r="D15" s="1067"/>
      <c r="E15" s="1067"/>
      <c r="F15" s="1067"/>
      <c r="G15" s="1684"/>
      <c r="I15" s="284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6" t="s">
        <v>1577</v>
      </c>
      <c r="C16" s="2037" t="s">
        <v>2813</v>
      </c>
      <c r="D16" s="2038" t="s">
        <v>1578</v>
      </c>
      <c r="E16" s="2039" t="s">
        <v>2813</v>
      </c>
      <c r="F16" s="2040" t="str">
        <f>IF(AND(C16="是",E16="否"),"是否提供他项权证或相关说明","")</f>
        <v/>
      </c>
      <c r="G16" s="2039"/>
      <c r="I16" s="1071"/>
      <c r="J16" s="1020"/>
    </row>
    <row r="17" spans="1:15" ht="13.5" customHeight="1">
      <c r="A17" s="2041" t="s">
        <v>1579</v>
      </c>
      <c r="B17" s="2843" t="s">
        <v>1580</v>
      </c>
      <c r="C17" s="2844"/>
      <c r="D17" s="2845" t="s">
        <v>1581</v>
      </c>
      <c r="E17" s="2846"/>
      <c r="F17" s="2042" t="s">
        <v>1582</v>
      </c>
      <c r="G17" s="2043"/>
      <c r="J17" s="1020"/>
    </row>
    <row r="18" spans="1:15" ht="24">
      <c r="A18" s="2041"/>
      <c r="B18" s="2044" t="s">
        <v>2816</v>
      </c>
      <c r="C18" s="2012" t="s">
        <v>2817</v>
      </c>
      <c r="D18" s="2732" t="s">
        <v>2826</v>
      </c>
      <c r="E18" s="2045" t="s">
        <v>1583</v>
      </c>
      <c r="F18" s="2046"/>
      <c r="G18" s="1868"/>
      <c r="H18" s="1020"/>
      <c r="J18" s="1020"/>
    </row>
    <row r="19" spans="1:15" ht="21.75" customHeight="1" thickBot="1">
      <c r="A19" s="2041"/>
      <c r="B19" s="2047"/>
      <c r="C19" s="2030"/>
      <c r="D19" s="2048"/>
      <c r="E19" s="1021"/>
      <c r="F19" s="1021"/>
      <c r="G19" s="1868"/>
    </row>
    <row r="20" spans="1:15">
      <c r="A20" s="2049" t="s">
        <v>1584</v>
      </c>
      <c r="B20" s="2050" t="s">
        <v>1585</v>
      </c>
      <c r="C20" s="2051">
        <v>42432</v>
      </c>
      <c r="D20" s="2052" t="s">
        <v>1585</v>
      </c>
      <c r="E20" s="2051">
        <v>42509</v>
      </c>
      <c r="F20" s="1021"/>
      <c r="G20" s="1868"/>
    </row>
    <row r="21" spans="1:15" ht="24">
      <c r="A21" s="2053"/>
      <c r="B21" s="2054" t="s">
        <v>1586</v>
      </c>
      <c r="C21" s="2733" t="s">
        <v>2827</v>
      </c>
      <c r="D21" s="2041" t="s">
        <v>1586</v>
      </c>
      <c r="E21" s="2733" t="s">
        <v>2827</v>
      </c>
      <c r="F21" s="1021"/>
      <c r="G21" s="1868"/>
    </row>
    <row r="22" spans="1:15">
      <c r="A22" s="2053"/>
      <c r="B22" s="2056" t="s">
        <v>1587</v>
      </c>
      <c r="C22" s="2057"/>
      <c r="D22" s="2056" t="s">
        <v>1587</v>
      </c>
      <c r="E22" s="2055"/>
      <c r="F22" s="1021"/>
      <c r="G22" s="1868"/>
    </row>
    <row r="23" spans="1:15" s="1866" customFormat="1" ht="21" thickBot="1">
      <c r="A23" s="2058"/>
      <c r="B23" s="2059" t="s">
        <v>1588</v>
      </c>
      <c r="C23" s="2060">
        <v>1000000</v>
      </c>
      <c r="D23" s="2059" t="s">
        <v>1589</v>
      </c>
      <c r="E23" s="2060">
        <v>15000000</v>
      </c>
      <c r="F23" s="1021"/>
      <c r="G23" s="1868"/>
      <c r="H23" s="2061"/>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2" t="s">
        <v>1591</v>
      </c>
      <c r="C25" s="995"/>
      <c r="D25" s="1015"/>
      <c r="E25" s="1018" t="s">
        <v>1592</v>
      </c>
      <c r="F25" s="995"/>
      <c r="G25" s="2063" t="s">
        <v>1593</v>
      </c>
      <c r="L25" s="1082"/>
      <c r="M25" s="1082"/>
      <c r="O25" s="1083"/>
    </row>
    <row r="26" spans="1:15" s="1081" customFormat="1" ht="13.5" thickBot="1">
      <c r="A26" s="995"/>
      <c r="B26" s="1089"/>
      <c r="C26" s="995"/>
      <c r="D26" s="1015"/>
      <c r="E26" s="1089"/>
      <c r="F26" s="995"/>
      <c r="G26" s="1685"/>
      <c r="L26" s="1082"/>
      <c r="M26" s="1082"/>
      <c r="O26" s="1083"/>
    </row>
    <row r="27" spans="1:15">
      <c r="A27" s="1007" t="s">
        <v>1594</v>
      </c>
      <c r="B27" s="1004"/>
      <c r="C27" s="2831" t="s">
        <v>1594</v>
      </c>
      <c r="D27" s="2832"/>
      <c r="E27" s="1004"/>
      <c r="F27" s="1011" t="s">
        <v>1594</v>
      </c>
      <c r="G27" s="1004"/>
      <c r="I27" s="1071"/>
      <c r="K27" s="1071"/>
    </row>
    <row r="28" spans="1:15">
      <c r="A28" s="1008" t="s">
        <v>1595</v>
      </c>
      <c r="B28" s="978"/>
      <c r="C28" s="2833" t="s">
        <v>1596</v>
      </c>
      <c r="D28" s="2834"/>
      <c r="E28" s="978"/>
      <c r="F28" s="1894" t="s">
        <v>1596</v>
      </c>
      <c r="G28" s="978"/>
      <c r="I28" s="1071"/>
      <c r="K28" s="1071"/>
    </row>
    <row r="29" spans="1:15">
      <c r="A29" s="1008" t="s">
        <v>1597</v>
      </c>
      <c r="B29" s="978"/>
      <c r="C29" s="2833" t="s">
        <v>1597</v>
      </c>
      <c r="D29" s="2834"/>
      <c r="E29" s="978"/>
      <c r="F29" s="1894" t="s">
        <v>1598</v>
      </c>
      <c r="G29" s="978"/>
      <c r="I29" s="1071"/>
      <c r="K29" s="1071"/>
    </row>
    <row r="30" spans="1:15">
      <c r="A30" s="1008" t="s">
        <v>1599</v>
      </c>
      <c r="B30" s="978"/>
      <c r="C30" s="2853" t="s">
        <v>1600</v>
      </c>
      <c r="D30" s="2064"/>
      <c r="E30" s="1023" t="str">
        <f>E31&amp;" "&amp;E32&amp;" "&amp;E33&amp;" "&amp;E34</f>
        <v xml:space="preserve">   </v>
      </c>
      <c r="F30" s="1894" t="s">
        <v>1601</v>
      </c>
      <c r="G30" s="978"/>
    </row>
    <row r="31" spans="1:15">
      <c r="A31" s="1008" t="s">
        <v>1602</v>
      </c>
      <c r="B31" s="978"/>
      <c r="C31" s="2854"/>
      <c r="D31" s="1893" t="s">
        <v>1603</v>
      </c>
      <c r="E31" s="978"/>
      <c r="F31" s="1894" t="s">
        <v>1604</v>
      </c>
      <c r="G31" s="978"/>
    </row>
    <row r="32" spans="1:15" ht="24.75" thickBot="1">
      <c r="A32" s="1009" t="s">
        <v>1605</v>
      </c>
      <c r="B32" s="1005"/>
      <c r="C32" s="2854"/>
      <c r="D32" s="1893" t="s">
        <v>1606</v>
      </c>
      <c r="E32" s="978"/>
      <c r="F32" s="1894" t="s">
        <v>1607</v>
      </c>
      <c r="G32" s="978"/>
    </row>
    <row r="33" spans="1:7">
      <c r="A33" s="1007" t="s">
        <v>1608</v>
      </c>
      <c r="B33" s="1004"/>
      <c r="C33" s="2854"/>
      <c r="D33" s="1893" t="s">
        <v>1609</v>
      </c>
      <c r="E33" s="978"/>
      <c r="F33" s="1894" t="s">
        <v>1610</v>
      </c>
      <c r="G33" s="978"/>
    </row>
    <row r="34" spans="1:7" ht="13.5" thickBot="1">
      <c r="A34" s="1008" t="s">
        <v>1611</v>
      </c>
      <c r="B34" s="978"/>
      <c r="C34" s="2855"/>
      <c r="D34" s="1893" t="s">
        <v>1612</v>
      </c>
      <c r="E34" s="978"/>
      <c r="F34" s="1895" t="s">
        <v>1613</v>
      </c>
      <c r="G34" s="1006"/>
    </row>
    <row r="35" spans="1:7">
      <c r="A35" s="1008" t="s">
        <v>1567</v>
      </c>
      <c r="B35" s="978"/>
      <c r="C35" s="2833" t="s">
        <v>1614</v>
      </c>
      <c r="D35" s="2834"/>
      <c r="E35" s="978"/>
      <c r="F35" s="1019" t="s">
        <v>1615</v>
      </c>
      <c r="G35" s="1004"/>
    </row>
    <row r="36" spans="1:7" ht="13.5" thickBot="1">
      <c r="A36" s="1008" t="s">
        <v>1616</v>
      </c>
      <c r="B36" s="978"/>
      <c r="C36" s="2835" t="s">
        <v>1617</v>
      </c>
      <c r="D36" s="2836"/>
      <c r="E36" s="1005"/>
      <c r="F36" s="1891" t="s">
        <v>1618</v>
      </c>
      <c r="G36" s="978"/>
    </row>
    <row r="37" spans="1:7" ht="13.5" thickBot="1">
      <c r="A37" s="1008" t="s">
        <v>1619</v>
      </c>
      <c r="B37" s="978"/>
      <c r="C37" s="2825" t="s">
        <v>1620</v>
      </c>
      <c r="D37" s="2065" t="s">
        <v>1604</v>
      </c>
      <c r="E37" s="1004"/>
      <c r="F37" s="1895" t="s">
        <v>1621</v>
      </c>
      <c r="G37" s="1005"/>
    </row>
    <row r="38" spans="1:7">
      <c r="A38" s="1008" t="s">
        <v>1622</v>
      </c>
      <c r="B38" s="978"/>
      <c r="C38" s="2826"/>
      <c r="D38" s="1893" t="s">
        <v>1611</v>
      </c>
      <c r="E38" s="978"/>
      <c r="F38" s="1011" t="s">
        <v>1623</v>
      </c>
      <c r="G38" s="1004"/>
    </row>
    <row r="39" spans="1:7">
      <c r="A39" s="1008" t="s">
        <v>1624</v>
      </c>
      <c r="B39" s="978"/>
      <c r="C39" s="2826" t="s">
        <v>1625</v>
      </c>
      <c r="D39" s="1893" t="s">
        <v>1567</v>
      </c>
      <c r="E39" s="978"/>
      <c r="F39" s="1894" t="s">
        <v>1626</v>
      </c>
      <c r="G39" s="978"/>
    </row>
    <row r="40" spans="1:7" ht="24.75" customHeight="1" thickBot="1">
      <c r="A40" s="1009" t="s">
        <v>1627</v>
      </c>
      <c r="B40" s="1005"/>
      <c r="C40" s="2827"/>
      <c r="D40" s="1896" t="s">
        <v>1571</v>
      </c>
      <c r="E40" s="1005"/>
      <c r="F40" s="1895" t="s">
        <v>1628</v>
      </c>
      <c r="G40" s="1005"/>
    </row>
    <row r="41" spans="1:7">
      <c r="A41" s="1010" t="s">
        <v>1629</v>
      </c>
      <c r="B41" s="1060"/>
      <c r="C41" s="2848" t="s">
        <v>1629</v>
      </c>
      <c r="D41" s="2849"/>
      <c r="E41" s="1060"/>
      <c r="F41" s="1011" t="s">
        <v>1630</v>
      </c>
      <c r="G41" s="1060"/>
    </row>
    <row r="42" spans="1:7">
      <c r="A42" s="1057" t="s">
        <v>1631</v>
      </c>
      <c r="B42" s="1061"/>
      <c r="C42" s="2066"/>
      <c r="D42" s="2067"/>
      <c r="E42" s="1061"/>
      <c r="F42" s="1059"/>
      <c r="G42" s="1061"/>
    </row>
    <row r="43" spans="1:7">
      <c r="A43" s="94" t="s">
        <v>1585</v>
      </c>
      <c r="B43" s="1058"/>
      <c r="C43" s="2066"/>
      <c r="D43" s="2068" t="s">
        <v>1585</v>
      </c>
      <c r="E43" s="1058"/>
      <c r="F43" s="94" t="s">
        <v>1585</v>
      </c>
      <c r="G43" s="1058"/>
    </row>
    <row r="44" spans="1:7">
      <c r="A44" s="94" t="s">
        <v>1586</v>
      </c>
      <c r="B44" s="1058"/>
      <c r="C44" s="2066"/>
      <c r="D44" s="2054" t="s">
        <v>1586</v>
      </c>
      <c r="E44" s="1058"/>
      <c r="F44" s="94" t="s">
        <v>1586</v>
      </c>
      <c r="G44" s="1058"/>
    </row>
    <row r="45" spans="1:7">
      <c r="A45" s="94" t="s">
        <v>1587</v>
      </c>
      <c r="B45" s="1058"/>
      <c r="C45" s="2066"/>
      <c r="D45" s="2054" t="s">
        <v>1587</v>
      </c>
      <c r="E45" s="1058"/>
      <c r="F45" s="94" t="s">
        <v>1587</v>
      </c>
      <c r="G45" s="1058"/>
    </row>
    <row r="46" spans="1:7">
      <c r="A46" s="94" t="s">
        <v>1588</v>
      </c>
      <c r="B46" s="1058"/>
      <c r="C46" s="2066"/>
      <c r="D46" s="2054" t="s">
        <v>1588</v>
      </c>
      <c r="E46" s="1058"/>
      <c r="F46" s="94" t="s">
        <v>1588</v>
      </c>
      <c r="G46" s="1058"/>
    </row>
    <row r="47" spans="1:7">
      <c r="A47" s="1057"/>
      <c r="B47" s="1058"/>
      <c r="C47" s="2066"/>
      <c r="D47" s="2067"/>
      <c r="E47" s="1058"/>
      <c r="F47" s="1059"/>
      <c r="G47" s="1058"/>
    </row>
    <row r="48" spans="1:7" ht="13.5" thickBot="1">
      <c r="A48" s="1009" t="s">
        <v>1632</v>
      </c>
      <c r="B48" s="1005"/>
      <c r="C48" s="2850" t="s">
        <v>1632</v>
      </c>
      <c r="D48" s="2851"/>
      <c r="E48" s="1055"/>
      <c r="F48" s="1895" t="s">
        <v>1633</v>
      </c>
      <c r="G48" s="1005"/>
    </row>
    <row r="49" spans="1:15">
      <c r="A49" s="1008" t="s">
        <v>1634</v>
      </c>
      <c r="B49" s="1054"/>
      <c r="C49" s="2825" t="s">
        <v>1635</v>
      </c>
      <c r="D49" s="2852"/>
      <c r="E49" s="1056"/>
      <c r="F49" s="1084"/>
      <c r="G49" s="1085"/>
    </row>
    <row r="50" spans="1:15" ht="13.5" thickBot="1">
      <c r="A50" s="1008" t="s">
        <v>1636</v>
      </c>
      <c r="B50" s="1054"/>
      <c r="C50" s="2827" t="s">
        <v>1637</v>
      </c>
      <c r="D50" s="2830"/>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6" t="s">
        <v>0</v>
      </c>
      <c r="B1" s="2856" t="s">
        <v>2</v>
      </c>
      <c r="C1" s="2856" t="s">
        <v>3</v>
      </c>
      <c r="D1" s="2857" t="s">
        <v>67</v>
      </c>
      <c r="E1" s="2857" t="s">
        <v>68</v>
      </c>
      <c r="F1" s="2857"/>
      <c r="G1" s="2857"/>
      <c r="H1" s="2857"/>
      <c r="I1" s="2857"/>
      <c r="J1" s="2857"/>
      <c r="K1" s="2857"/>
      <c r="L1" s="2857"/>
      <c r="M1" s="2857"/>
    </row>
    <row r="2" spans="1:13" ht="27" customHeight="1">
      <c r="A2" s="2856"/>
      <c r="B2" s="2856"/>
      <c r="C2" s="2856"/>
      <c r="D2" s="2857"/>
      <c r="E2" s="2857" t="s">
        <v>51</v>
      </c>
      <c r="F2" s="2857" t="s">
        <v>52</v>
      </c>
      <c r="G2" s="2857"/>
      <c r="H2" s="2857"/>
      <c r="I2" s="2857"/>
      <c r="J2" s="2857" t="s">
        <v>53</v>
      </c>
      <c r="K2" s="2857"/>
      <c r="L2" s="2857"/>
      <c r="M2" s="2857"/>
    </row>
    <row r="3" spans="1:13" ht="28.5">
      <c r="A3" s="2856"/>
      <c r="B3" s="2856"/>
      <c r="C3" s="2856"/>
      <c r="D3" s="2857"/>
      <c r="E3" s="285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7" t="s">
        <v>69</v>
      </c>
      <c r="B9" s="2857"/>
      <c r="C9" s="285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1639</v>
      </c>
      <c r="B1" s="1237"/>
      <c r="C1" s="1237"/>
      <c r="D1" s="1853"/>
      <c r="E1" s="1853"/>
      <c r="AE1" s="1237"/>
      <c r="AF1" s="1237"/>
      <c r="AG1" s="1237"/>
      <c r="AH1" s="1237"/>
      <c r="AI1" s="1237"/>
      <c r="AJ1" s="1237"/>
      <c r="AK1" s="1237"/>
      <c r="AL1" s="1237"/>
      <c r="AM1" s="1237"/>
      <c r="AN1" s="1237"/>
      <c r="AO1" s="1237"/>
    </row>
    <row r="2" spans="1:41" s="2074" customFormat="1" ht="15.75" thickBot="1">
      <c r="A2" s="2071" t="s">
        <v>1640</v>
      </c>
      <c r="B2" s="1209">
        <f>项目基本情况!D2</f>
        <v>43230</v>
      </c>
      <c r="C2" s="1855"/>
      <c r="D2" s="2858" t="s">
        <v>1641</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1642</v>
      </c>
      <c r="B3" s="2075" t="s">
        <v>2870</v>
      </c>
      <c r="C3" s="1855"/>
      <c r="D3" s="2859"/>
      <c r="E3" s="1188" t="s">
        <v>2871</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1643</v>
      </c>
      <c r="B4" s="2075" t="s">
        <v>2828</v>
      </c>
      <c r="C4" s="1855"/>
      <c r="D4" s="2859"/>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1644</v>
      </c>
      <c r="B5" s="1318">
        <f>项目基本情况!C12</f>
        <v>140.46</v>
      </c>
      <c r="C5" s="1855"/>
      <c r="D5" s="2077" t="s">
        <v>1645</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1646</v>
      </c>
      <c r="B6" s="1319">
        <f>项目基本情况!C13</f>
        <v>0</v>
      </c>
      <c r="C6" s="1855"/>
      <c r="D6" s="2077" t="s">
        <v>1647</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1648</v>
      </c>
      <c r="B10" s="2082" t="s">
        <v>2814</v>
      </c>
      <c r="C10" s="1855"/>
      <c r="D10" s="2071" t="s">
        <v>1649</v>
      </c>
      <c r="E10" s="2083"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1652</v>
      </c>
      <c r="B11" s="990">
        <v>70</v>
      </c>
      <c r="C11" s="1855"/>
      <c r="D11" s="2085" t="s">
        <v>1653</v>
      </c>
      <c r="E11" s="34">
        <v>160</v>
      </c>
      <c r="F11" s="1854" t="s">
        <v>1654</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1655</v>
      </c>
      <c r="B12" s="2089"/>
      <c r="C12" s="1855"/>
      <c r="D12" s="2090" t="s">
        <v>1656</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1657</v>
      </c>
      <c r="B13" s="991">
        <f>IF(B12="",B11-(YEAR($B$2)-B26+B23),ROUNDDOWN(MIN((B12-$B$2)/365,B11),2))</f>
        <v>58.5</v>
      </c>
      <c r="C13" s="2092"/>
      <c r="D13" s="2093" t="s">
        <v>1658</v>
      </c>
      <c r="E13" s="39"/>
      <c r="F13" s="1849" t="s">
        <v>1659</v>
      </c>
      <c r="G13" s="1855"/>
      <c r="H13" s="2860" t="s">
        <v>2832</v>
      </c>
      <c r="I13" s="2861"/>
      <c r="J13" s="2734"/>
      <c r="K13" s="2735"/>
      <c r="L13" s="2735"/>
      <c r="M13" s="2736"/>
      <c r="N13" s="2736"/>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24">
      <c r="A14" s="2088" t="s">
        <v>1660</v>
      </c>
      <c r="B14" s="992">
        <f>IF(ISERROR(ROUND(POWER(1+B15,B11-B13)*(POWER(1+B15,B13)-1)/(POWER(1+B15,B11)-1),3)),0,ROUND(POWER(1+B15,B11-B13)*(POWER(1+B15,B13)-1)/(POWER(1+B15,B11)-1),3))</f>
        <v>0.96099999999999997</v>
      </c>
      <c r="C14" s="1855"/>
      <c r="D14" s="2094" t="s">
        <v>1661</v>
      </c>
      <c r="E14" s="709">
        <v>200</v>
      </c>
      <c r="F14" s="1848"/>
      <c r="G14" s="1855"/>
      <c r="H14" s="2737" t="s">
        <v>2833</v>
      </c>
      <c r="I14" s="2738">
        <v>0</v>
      </c>
      <c r="J14" s="2734"/>
      <c r="K14" s="2739"/>
      <c r="L14" s="2739"/>
      <c r="M14" s="2736"/>
      <c r="N14" s="2736"/>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24">
      <c r="A15" s="2088" t="s">
        <v>1662</v>
      </c>
      <c r="B15" s="30">
        <v>0.04</v>
      </c>
      <c r="C15" s="1855"/>
      <c r="D15" s="2090" t="s">
        <v>1663</v>
      </c>
      <c r="E15" s="38">
        <f>E14-E16</f>
        <v>200</v>
      </c>
      <c r="F15" s="1850"/>
      <c r="G15" s="1855"/>
      <c r="H15" s="2737" t="s">
        <v>2834</v>
      </c>
      <c r="I15" s="2740" t="s">
        <v>2873</v>
      </c>
      <c r="J15" s="2734"/>
      <c r="K15" s="2739"/>
      <c r="L15" s="2741"/>
      <c r="M15" s="2736"/>
      <c r="N15" s="2736"/>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24.75" thickBot="1">
      <c r="A16" s="2088" t="s">
        <v>1664</v>
      </c>
      <c r="B16" s="30">
        <v>0.04</v>
      </c>
      <c r="C16" s="1855"/>
      <c r="D16" s="2095" t="s">
        <v>1665</v>
      </c>
      <c r="E16" s="710"/>
      <c r="F16" s="1851"/>
      <c r="G16" s="1855"/>
      <c r="H16" s="2737" t="s">
        <v>2835</v>
      </c>
      <c r="I16" s="2771" t="s">
        <v>2902</v>
      </c>
      <c r="J16" s="2734"/>
      <c r="K16" s="2739"/>
      <c r="L16" s="2739"/>
      <c r="M16" s="2736"/>
      <c r="N16" s="2736"/>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1666</v>
      </c>
      <c r="B17" s="997"/>
      <c r="C17" s="1855"/>
      <c r="D17" s="2081" t="s">
        <v>1667</v>
      </c>
      <c r="E17" s="985">
        <v>2700</v>
      </c>
      <c r="F17" s="1237"/>
      <c r="G17" s="1855"/>
      <c r="H17" s="2737" t="s">
        <v>2836</v>
      </c>
      <c r="I17" s="2742">
        <f>ROUND(1-(1-I14)*I15/I16,2)</f>
        <v>0.83</v>
      </c>
      <c r="J17" s="2734"/>
      <c r="K17" s="2739"/>
      <c r="L17" s="2739"/>
      <c r="M17" s="2736"/>
      <c r="N17" s="2736"/>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379242</v>
      </c>
      <c r="F18" s="1320">
        <f>ROUND(E5*E17*IF(B25=0,1,E20),0)</f>
        <v>0</v>
      </c>
      <c r="G18" s="1855"/>
      <c r="H18" s="2743" t="s">
        <v>2838</v>
      </c>
      <c r="I18" s="2744">
        <v>0.5</v>
      </c>
      <c r="J18" s="2734"/>
      <c r="K18" s="2739"/>
      <c r="L18" s="2739"/>
      <c r="M18" s="2736"/>
      <c r="N18" s="2736"/>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customHeight="1" thickBot="1">
      <c r="A19" s="25" t="s">
        <v>1668</v>
      </c>
      <c r="B19" s="1855"/>
      <c r="C19" s="1855"/>
      <c r="D19" s="2097" t="str">
        <f>IF(B25=0,"——","续建建安")</f>
        <v>——</v>
      </c>
      <c r="E19" s="986" t="str">
        <f>IF(B25=0,"——",ROUND(B5*E17*(1-E20),0))</f>
        <v>——</v>
      </c>
      <c r="F19" s="1320" t="str">
        <f>IF(B25=0,"——",ROUND(E5*E17*(1-E20),0))</f>
        <v>——</v>
      </c>
      <c r="G19" s="1855"/>
      <c r="H19" s="2862" t="s">
        <v>2839</v>
      </c>
      <c r="I19" s="2863"/>
      <c r="J19" s="2863"/>
      <c r="K19" s="2863"/>
      <c r="L19" s="2864"/>
      <c r="M19" s="2736"/>
      <c r="N19" s="2736"/>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1669</v>
      </c>
      <c r="B20" s="31">
        <v>0</v>
      </c>
      <c r="C20" s="1855"/>
      <c r="D20" s="2099" t="str">
        <f>IF(B25=0,"成新率","工程进度")</f>
        <v>成新率</v>
      </c>
      <c r="E20" s="987">
        <f>N22</f>
        <v>0.87</v>
      </c>
      <c r="F20" s="1237"/>
      <c r="G20" s="1855"/>
      <c r="H20" s="2745" t="s">
        <v>2840</v>
      </c>
      <c r="I20" s="2746" t="s">
        <v>2841</v>
      </c>
      <c r="J20" s="2746" t="s">
        <v>2842</v>
      </c>
      <c r="K20" s="2746" t="s">
        <v>2843</v>
      </c>
      <c r="L20" s="2746" t="s">
        <v>2844</v>
      </c>
      <c r="M20" s="2736"/>
      <c r="N20" s="2736"/>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1670</v>
      </c>
      <c r="B21" s="32">
        <v>1.5</v>
      </c>
      <c r="C21" s="1855"/>
      <c r="D21" s="2090" t="s">
        <v>1671</v>
      </c>
      <c r="E21" s="711">
        <v>0.03</v>
      </c>
      <c r="F21" s="1852" t="s">
        <v>1672</v>
      </c>
      <c r="G21" s="1855"/>
      <c r="H21" s="2745" t="s">
        <v>2845</v>
      </c>
      <c r="I21" s="2746">
        <v>100</v>
      </c>
      <c r="J21" s="2747" t="s">
        <v>2846</v>
      </c>
      <c r="K21" s="2746">
        <v>90</v>
      </c>
      <c r="L21" s="2748">
        <v>0.3</v>
      </c>
      <c r="M21" s="2736"/>
      <c r="N21" s="2736"/>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1673</v>
      </c>
      <c r="B22" s="1454">
        <v>1.5</v>
      </c>
      <c r="C22" s="1855"/>
      <c r="D22" s="2090" t="s">
        <v>1674</v>
      </c>
      <c r="E22" s="40">
        <v>0.04</v>
      </c>
      <c r="F22" s="1852" t="s">
        <v>1675</v>
      </c>
      <c r="G22" s="1855"/>
      <c r="H22" s="2745" t="s">
        <v>2847</v>
      </c>
      <c r="I22" s="2746">
        <v>100</v>
      </c>
      <c r="J22" s="2747" t="s">
        <v>2846</v>
      </c>
      <c r="K22" s="2746">
        <v>90</v>
      </c>
      <c r="L22" s="2748">
        <v>0.5</v>
      </c>
      <c r="M22" s="2736"/>
      <c r="N22" s="2749">
        <f>ROUND(I17*I18+K24*I24,2)</f>
        <v>0.87</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1676</v>
      </c>
      <c r="B23" s="33">
        <f>B20+B21</f>
        <v>1.5</v>
      </c>
      <c r="C23" s="1855"/>
      <c r="D23" s="2090" t="s">
        <v>1677</v>
      </c>
      <c r="E23" s="37">
        <v>200</v>
      </c>
      <c r="F23" s="1852" t="s">
        <v>1678</v>
      </c>
      <c r="G23" s="1855"/>
      <c r="H23" s="2745" t="s">
        <v>2848</v>
      </c>
      <c r="I23" s="2746">
        <v>100</v>
      </c>
      <c r="J23" s="2747" t="s">
        <v>2846</v>
      </c>
      <c r="K23" s="2746">
        <v>90</v>
      </c>
      <c r="L23" s="2748">
        <f>1-L21-L22</f>
        <v>0.19999999999999996</v>
      </c>
      <c r="M23" s="2736"/>
      <c r="N23" s="2736"/>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1679</v>
      </c>
      <c r="B24" s="1742">
        <f>B20+B22</f>
        <v>1.5</v>
      </c>
      <c r="C24" s="1855"/>
      <c r="D24" s="2095" t="s">
        <v>1680</v>
      </c>
      <c r="E24" s="1818">
        <v>1.4999999999999999E-2</v>
      </c>
      <c r="F24" s="1852" t="s">
        <v>1681</v>
      </c>
      <c r="G24" s="1855"/>
      <c r="H24" s="2750" t="s">
        <v>2837</v>
      </c>
      <c r="I24" s="2751">
        <f>1-I18</f>
        <v>0.5</v>
      </c>
      <c r="J24" s="2746" t="s">
        <v>2836</v>
      </c>
      <c r="K24" s="2752">
        <f>ROUND((K21*L21+K22*L22+K23*L23)/100,2)</f>
        <v>0.9</v>
      </c>
      <c r="L24" s="2753"/>
      <c r="M24" s="2736"/>
      <c r="N24" s="2736"/>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1682</v>
      </c>
      <c r="B25" s="1453">
        <f>B21-B22</f>
        <v>0</v>
      </c>
      <c r="C25" s="1237"/>
      <c r="D25" s="2085" t="s">
        <v>1683</v>
      </c>
      <c r="E25" s="711">
        <v>0.01</v>
      </c>
      <c r="F25" s="1852" t="s">
        <v>1684</v>
      </c>
      <c r="I25" s="1853"/>
      <c r="AE25" s="1237"/>
      <c r="AF25" s="1237"/>
      <c r="AG25" s="1237"/>
      <c r="AH25" s="1237"/>
      <c r="AI25" s="1237"/>
      <c r="AJ25" s="1237"/>
      <c r="AK25" s="1237"/>
      <c r="AL25" s="1237"/>
      <c r="AM25" s="1237"/>
      <c r="AN25" s="1237"/>
      <c r="AO25" s="1237"/>
    </row>
    <row r="26" spans="1:41" ht="15.75" thickBot="1">
      <c r="A26" s="2104" t="s">
        <v>1685</v>
      </c>
      <c r="B26" s="1094">
        <v>2008</v>
      </c>
      <c r="C26" s="1855"/>
      <c r="D26" s="2090" t="s">
        <v>1686</v>
      </c>
      <c r="E26" s="40">
        <v>0.01</v>
      </c>
      <c r="F26" s="1852" t="s">
        <v>1684</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1687</v>
      </c>
      <c r="E27" s="352">
        <f ca="1">存贷款利率!G1</f>
        <v>4.7500000000000001E-2</v>
      </c>
      <c r="F27" s="1852" t="s">
        <v>1688</v>
      </c>
      <c r="G27" s="2073"/>
      <c r="H27" s="2073"/>
      <c r="K27" s="1855"/>
      <c r="N27" s="1855"/>
      <c r="AE27" s="1237"/>
      <c r="AF27" s="1237"/>
      <c r="AG27" s="1237"/>
      <c r="AH27" s="1237"/>
      <c r="AI27" s="1237"/>
      <c r="AJ27" s="1237"/>
      <c r="AK27" s="1237"/>
      <c r="AL27" s="1237"/>
      <c r="AM27" s="1237"/>
      <c r="AN27" s="1237"/>
      <c r="AO27" s="1237"/>
    </row>
    <row r="28" spans="1:41" ht="15" thickBot="1">
      <c r="A28" s="2105" t="s">
        <v>1689</v>
      </c>
      <c r="B28" s="2106" t="s">
        <v>2829</v>
      </c>
      <c r="C28" s="1237"/>
      <c r="D28" s="2107" t="s">
        <v>1690</v>
      </c>
      <c r="E28" s="989">
        <v>0.2</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4000</v>
      </c>
      <c r="C29" s="1237"/>
      <c r="D29" s="2094" t="s">
        <v>1691</v>
      </c>
      <c r="E29" s="988">
        <f>E30+E31</f>
        <v>5.5000000000000007E-2</v>
      </c>
      <c r="F29" s="1849"/>
      <c r="G29" s="2073"/>
      <c r="H29" s="2073"/>
      <c r="K29" s="1855"/>
      <c r="N29" s="1855"/>
      <c r="AE29" s="1237"/>
      <c r="AF29" s="1237"/>
      <c r="AG29" s="1237"/>
      <c r="AH29" s="1237"/>
      <c r="AI29" s="1237"/>
      <c r="AJ29" s="1237"/>
      <c r="AK29" s="1237"/>
      <c r="AL29" s="1237"/>
      <c r="AM29" s="1237"/>
      <c r="AN29" s="1237"/>
      <c r="AO29" s="1237"/>
    </row>
    <row r="30" spans="1:41" ht="14.25">
      <c r="A30" s="2088" t="s">
        <v>1692</v>
      </c>
      <c r="B30" s="1419">
        <f ca="1">存贷款利率!I1</f>
        <v>1.4999999999999999E-2</v>
      </c>
      <c r="C30" s="1237"/>
      <c r="D30" s="2108" t="s">
        <v>1693</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1694</v>
      </c>
      <c r="B31" s="30">
        <v>3.5000000000000003E-2</v>
      </c>
      <c r="C31" s="1237"/>
      <c r="D31" s="2108" t="s">
        <v>1695</v>
      </c>
      <c r="E31" s="42">
        <f>E30*(E32+E33+E34)+E35</f>
        <v>5.000000000000001E-3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1696</v>
      </c>
      <c r="B32" s="30">
        <v>0.08</v>
      </c>
      <c r="C32" s="1237"/>
      <c r="D32" s="2109" t="s">
        <v>1697</v>
      </c>
      <c r="E32" s="43">
        <v>0.05</v>
      </c>
      <c r="F32" s="1847" t="s">
        <v>1698</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1699</v>
      </c>
      <c r="B33" s="1380">
        <f>收益法!J54</f>
        <v>50</v>
      </c>
      <c r="C33" s="1237"/>
      <c r="D33" s="2109" t="s">
        <v>1700</v>
      </c>
      <c r="E33" s="41">
        <v>0.03</v>
      </c>
      <c r="F33" s="1846" t="s">
        <v>1701</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1702</v>
      </c>
      <c r="E34" s="41">
        <v>0.02</v>
      </c>
      <c r="F34" s="1846" t="s">
        <v>1703</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1704</v>
      </c>
      <c r="B35" s="994"/>
      <c r="C35" s="1237"/>
      <c r="D35" s="2113" t="s">
        <v>1705</v>
      </c>
      <c r="E35" s="44"/>
      <c r="F35" s="1854" t="s">
        <v>1706</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1707</v>
      </c>
      <c r="E36" s="45">
        <v>0.03</v>
      </c>
      <c r="F36" s="1850" t="s">
        <v>1708</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1709</v>
      </c>
      <c r="E37" s="41">
        <v>5.0000000000000001E-4</v>
      </c>
      <c r="F37" s="1850" t="s">
        <v>1710</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1711</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1712</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1713</v>
      </c>
      <c r="E40" s="48">
        <f>SUMIF(D42:D51,E41,E42:E51)</f>
        <v>0</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1714</v>
      </c>
      <c r="B41" s="1000">
        <v>1</v>
      </c>
      <c r="C41" s="1237"/>
      <c r="D41" s="2090" t="s">
        <v>1715</v>
      </c>
      <c r="E41" s="2118"/>
      <c r="F41" s="1848" t="s">
        <v>1716</v>
      </c>
      <c r="G41" s="2119" t="s">
        <v>1717</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1718</v>
      </c>
      <c r="B42" s="993">
        <v>12</v>
      </c>
      <c r="C42" s="1237"/>
      <c r="D42" s="2120" t="s">
        <v>1719</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1720</v>
      </c>
      <c r="B43" s="29"/>
      <c r="C43" s="1237"/>
      <c r="D43" s="2120" t="s">
        <v>1721</v>
      </c>
      <c r="E43" s="29"/>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1722</v>
      </c>
      <c r="B44" s="1001">
        <v>0.01</v>
      </c>
      <c r="C44" s="1237" t="s">
        <v>970</v>
      </c>
      <c r="D44" s="2120" t="s">
        <v>1723</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1724</v>
      </c>
      <c r="B45" s="1002">
        <v>1E-3</v>
      </c>
      <c r="C45" s="1237" t="s">
        <v>971</v>
      </c>
      <c r="D45" s="2120"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1726</v>
      </c>
      <c r="B46" s="1003">
        <v>0.01</v>
      </c>
      <c r="C46" s="1237" t="s">
        <v>972</v>
      </c>
      <c r="D46" s="2120"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1731</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6" sqref="K16"/>
    </sheetView>
  </sheetViews>
  <sheetFormatPr defaultRowHeight="14.25"/>
  <cols>
    <col min="1" max="1" width="9.5" style="2139"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8"/>
    <col min="30" max="16384" width="9" style="2139"/>
  </cols>
  <sheetData>
    <row r="1" spans="1:29" s="2131" customFormat="1" ht="19.5" thickBot="1">
      <c r="A1" s="2865" t="s">
        <v>1732</v>
      </c>
      <c r="B1" s="2866"/>
      <c r="C1" s="2866"/>
      <c r="D1" s="2866"/>
      <c r="E1" s="2866"/>
      <c r="F1" s="2866"/>
      <c r="G1" s="2866"/>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1733</v>
      </c>
      <c r="D2" s="2135"/>
      <c r="E2" s="2136"/>
      <c r="F2" s="2137"/>
      <c r="G2" s="2134" t="s">
        <v>1734</v>
      </c>
      <c r="H2" s="2138"/>
      <c r="I2" s="2138"/>
      <c r="J2" s="2138"/>
      <c r="K2" s="2138"/>
      <c r="L2" s="2138"/>
      <c r="M2" s="2138"/>
      <c r="N2" s="2138"/>
      <c r="O2" s="2138"/>
      <c r="P2" s="2138"/>
      <c r="Q2" s="2138"/>
      <c r="R2" s="2138"/>
    </row>
    <row r="3" spans="1:29" ht="42.75">
      <c r="A3" s="395" t="s">
        <v>1735</v>
      </c>
      <c r="B3" s="2140" t="s">
        <v>1736</v>
      </c>
      <c r="C3" s="2755" t="s">
        <v>2878</v>
      </c>
      <c r="D3" s="2141"/>
      <c r="E3" s="411" t="s">
        <v>1735</v>
      </c>
      <c r="F3" s="2142" t="s">
        <v>1737</v>
      </c>
      <c r="G3" s="2143" t="s">
        <v>1738</v>
      </c>
      <c r="H3" s="2138"/>
      <c r="I3" s="2138"/>
      <c r="J3" s="2138"/>
      <c r="K3" s="2138"/>
      <c r="L3" s="2138"/>
      <c r="M3" s="2138"/>
      <c r="N3" s="2138"/>
      <c r="O3" s="2138"/>
      <c r="P3" s="2138"/>
      <c r="Q3" s="2138"/>
      <c r="R3" s="2138"/>
    </row>
    <row r="4" spans="1:29" ht="40.5">
      <c r="A4" s="411"/>
      <c r="B4" s="1887" t="s">
        <v>1739</v>
      </c>
      <c r="C4" s="2756" t="s">
        <v>2879</v>
      </c>
      <c r="D4" s="2141"/>
      <c r="E4" s="2145"/>
      <c r="F4" s="2146" t="s">
        <v>1740</v>
      </c>
      <c r="G4" s="2147" t="s">
        <v>1741</v>
      </c>
      <c r="H4" s="2138"/>
      <c r="I4" s="2138"/>
      <c r="J4" s="2138"/>
      <c r="K4" s="2138"/>
      <c r="L4" s="2138"/>
      <c r="M4" s="2138"/>
      <c r="N4" s="2138"/>
      <c r="O4" s="2138"/>
      <c r="P4" s="2138"/>
      <c r="Q4" s="2138"/>
      <c r="R4" s="2138"/>
    </row>
    <row r="5" spans="1:29" ht="41.25">
      <c r="A5" s="411"/>
      <c r="B5" s="1887" t="s">
        <v>1742</v>
      </c>
      <c r="C5" s="2144" t="s">
        <v>1743</v>
      </c>
      <c r="D5" s="2141"/>
      <c r="E5" s="2145"/>
      <c r="F5" s="1887" t="s">
        <v>1744</v>
      </c>
      <c r="G5" s="2147" t="s">
        <v>1745</v>
      </c>
      <c r="H5" s="2138"/>
      <c r="I5" s="2138"/>
      <c r="J5" s="2138"/>
      <c r="K5" s="2138"/>
      <c r="L5" s="2138"/>
      <c r="M5" s="2138"/>
      <c r="N5" s="2138"/>
      <c r="O5" s="2138"/>
      <c r="P5" s="2138"/>
      <c r="Q5" s="2138"/>
      <c r="R5" s="2138"/>
    </row>
    <row r="6" spans="1:29" ht="54">
      <c r="A6" s="411"/>
      <c r="B6" s="1887" t="s">
        <v>1746</v>
      </c>
      <c r="C6" s="2757" t="s">
        <v>2880</v>
      </c>
      <c r="D6" s="2141"/>
      <c r="E6" s="2145"/>
      <c r="F6" s="1887" t="s">
        <v>1747</v>
      </c>
      <c r="G6" s="2147" t="s">
        <v>1748</v>
      </c>
      <c r="H6" s="2138"/>
      <c r="I6" s="2138"/>
      <c r="J6" s="2138"/>
      <c r="K6" s="2138"/>
      <c r="L6" s="2138"/>
      <c r="M6" s="2138"/>
      <c r="N6" s="2138"/>
      <c r="O6" s="2138"/>
      <c r="P6" s="2138"/>
      <c r="Q6" s="2138"/>
      <c r="R6" s="2138"/>
    </row>
    <row r="7" spans="1:29" ht="41.25" thickBot="1">
      <c r="A7" s="411"/>
      <c r="B7" s="1887" t="s">
        <v>1744</v>
      </c>
      <c r="C7" s="2757" t="s">
        <v>2858</v>
      </c>
      <c r="D7" s="2148"/>
      <c r="E7" s="2149"/>
      <c r="F7" s="2150" t="s">
        <v>1749</v>
      </c>
      <c r="G7" s="2151" t="s">
        <v>1750</v>
      </c>
      <c r="H7" s="2138"/>
      <c r="I7" s="2138"/>
      <c r="J7" s="2138"/>
      <c r="K7" s="2138"/>
      <c r="L7" s="2138"/>
      <c r="M7" s="2138"/>
      <c r="N7" s="2138"/>
      <c r="O7" s="2138"/>
      <c r="P7" s="2138"/>
      <c r="Q7" s="2138"/>
      <c r="R7" s="2138"/>
    </row>
    <row r="8" spans="1:29" ht="15">
      <c r="A8" s="411"/>
      <c r="B8" s="1887" t="s">
        <v>1747</v>
      </c>
      <c r="C8" s="2757" t="s">
        <v>2856</v>
      </c>
      <c r="D8" s="2148"/>
      <c r="E8" s="2148"/>
      <c r="F8" s="1246"/>
      <c r="G8" s="1246"/>
      <c r="H8" s="2138"/>
      <c r="I8" s="2138"/>
      <c r="J8" s="2138"/>
      <c r="K8" s="2138"/>
      <c r="L8" s="2138"/>
      <c r="M8" s="2138"/>
      <c r="N8" s="2138"/>
      <c r="O8" s="2138"/>
      <c r="P8" s="2138"/>
      <c r="Q8" s="2138"/>
      <c r="R8" s="2138"/>
    </row>
    <row r="9" spans="1:29" ht="54">
      <c r="A9" s="411"/>
      <c r="B9" s="1887" t="s">
        <v>1751</v>
      </c>
      <c r="C9" s="2756" t="s">
        <v>2882</v>
      </c>
      <c r="D9" s="2141"/>
      <c r="E9" s="2148"/>
      <c r="F9" s="1246"/>
      <c r="G9" s="1246"/>
      <c r="H9" s="2138"/>
      <c r="I9" s="2138"/>
      <c r="J9" s="2138"/>
      <c r="K9" s="2138"/>
      <c r="L9" s="2138"/>
      <c r="M9" s="2138"/>
      <c r="N9" s="2138"/>
      <c r="O9" s="2138"/>
      <c r="P9" s="2138"/>
      <c r="Q9" s="2138"/>
      <c r="R9" s="2138"/>
    </row>
    <row r="10" spans="1:29" s="35" customFormat="1" ht="15.75" thickBot="1">
      <c r="A10" s="2152"/>
      <c r="B10" s="2153" t="s">
        <v>1752</v>
      </c>
      <c r="C10" s="2154"/>
      <c r="D10" s="2141"/>
      <c r="E10" s="2141"/>
      <c r="F10" s="1246"/>
      <c r="G10" s="1246"/>
      <c r="H10" s="2155"/>
      <c r="I10" s="2156"/>
      <c r="J10" s="2157"/>
      <c r="K10" s="2155"/>
      <c r="L10" s="2156"/>
      <c r="M10" s="2157"/>
      <c r="N10" s="2155"/>
      <c r="O10" s="2156"/>
      <c r="P10" s="2157"/>
      <c r="Q10" s="2155"/>
      <c r="R10" s="2156"/>
      <c r="S10" s="2138"/>
      <c r="T10" s="2138"/>
      <c r="U10" s="2138"/>
      <c r="V10" s="2138"/>
      <c r="W10" s="2138"/>
      <c r="X10" s="2138"/>
      <c r="Y10" s="2138"/>
      <c r="Z10" s="2138"/>
      <c r="AA10" s="2138"/>
      <c r="AB10" s="2138"/>
      <c r="AC10" s="2138"/>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8"/>
      <c r="T11" s="2138"/>
      <c r="U11" s="2138"/>
      <c r="V11" s="2138"/>
      <c r="W11" s="2138"/>
      <c r="X11" s="2138"/>
      <c r="Y11" s="2138"/>
      <c r="Z11" s="2138"/>
      <c r="AA11" s="2138"/>
      <c r="AB11" s="2138"/>
      <c r="AC11" s="2138"/>
    </row>
    <row r="12" spans="1:29" s="2131" customFormat="1" ht="18">
      <c r="A12" s="2158"/>
      <c r="B12" s="2148"/>
      <c r="C12" s="2141"/>
      <c r="D12" s="2159"/>
      <c r="E12" s="2141"/>
      <c r="F12" s="2148"/>
      <c r="G12" s="1266"/>
      <c r="H12" s="2160"/>
      <c r="I12" s="2161"/>
      <c r="J12" s="2160"/>
      <c r="K12" s="2160"/>
      <c r="L12" s="2162"/>
      <c r="M12" s="2160"/>
      <c r="N12" s="2163"/>
      <c r="O12" s="2164"/>
      <c r="P12" s="2163"/>
      <c r="Q12" s="2163"/>
      <c r="R12" s="2129"/>
      <c r="S12" s="2130"/>
      <c r="T12" s="2130"/>
      <c r="U12" s="2130"/>
      <c r="V12" s="2130"/>
      <c r="W12" s="2130"/>
      <c r="X12" s="2130"/>
      <c r="Y12" s="2130"/>
      <c r="Z12" s="2130"/>
      <c r="AA12" s="2130"/>
      <c r="AB12" s="2130"/>
      <c r="AC12" s="2130"/>
    </row>
    <row r="13" spans="1:29" ht="19.5" thickBot="1">
      <c r="A13" s="2165" t="s">
        <v>1753</v>
      </c>
      <c r="B13" s="2159"/>
      <c r="C13" s="2159"/>
      <c r="D13" s="2135"/>
      <c r="E13" s="2159"/>
      <c r="F13" s="2159"/>
      <c r="G13" s="2159"/>
    </row>
    <row r="14" spans="1:29" ht="15.75" thickBot="1">
      <c r="A14" s="2169"/>
      <c r="B14" s="2170"/>
      <c r="C14" s="2171" t="s">
        <v>1754</v>
      </c>
      <c r="D14" s="2141"/>
      <c r="E14" s="2172"/>
      <c r="F14" s="2172"/>
      <c r="G14" s="2134" t="s">
        <v>1755</v>
      </c>
    </row>
    <row r="15" spans="1:29" ht="42.75">
      <c r="A15" s="25" t="s">
        <v>1756</v>
      </c>
      <c r="B15" s="2173" t="s">
        <v>1736</v>
      </c>
      <c r="C15" s="2174" t="str">
        <f>C3</f>
        <v>周边有天恒乐活城、燕化星城等社区，综合评价居住社区成熟度较好</v>
      </c>
      <c r="D15" s="2141"/>
      <c r="E15" s="2175" t="s">
        <v>1757</v>
      </c>
      <c r="F15" s="2173" t="s">
        <v>1758</v>
      </c>
      <c r="G15" s="51" t="str">
        <f>G3</f>
        <v>估价对象位于XX开发区，园区建设成熟度XX，产业集聚程度XX</v>
      </c>
    </row>
    <row r="16" spans="1:29" ht="42.75">
      <c r="A16" s="629"/>
      <c r="B16" s="1493" t="s">
        <v>1739</v>
      </c>
      <c r="C16" s="2176" t="str">
        <f>C4</f>
        <v>估价对象位于阎村商圈，周边商业氛围较好，人流量较大，商业繁华度较好</v>
      </c>
      <c r="D16" s="2141"/>
      <c r="E16" s="2177"/>
      <c r="F16" s="2178" t="s">
        <v>1740</v>
      </c>
      <c r="G16" s="52" t="str">
        <f>G4</f>
        <v>估价对象周边道路状况、公共交通通达情况、停车便捷程度，综合评价交通便捷度较好</v>
      </c>
    </row>
    <row r="17" spans="1:18" ht="42.75">
      <c r="A17" s="629"/>
      <c r="B17" s="1493" t="s">
        <v>1742</v>
      </c>
      <c r="C17" s="2176" t="str">
        <f>C5</f>
        <v>估价对象位于XX商圈，周边办公楼项目较多，入驻率高，办公集聚程度较好</v>
      </c>
      <c r="D17" s="2148"/>
      <c r="E17" s="2177"/>
      <c r="F17" s="2178" t="s">
        <v>1759</v>
      </c>
      <c r="G17" s="2179"/>
    </row>
    <row r="18" spans="1:18" ht="57">
      <c r="A18" s="629"/>
      <c r="B18" s="2178" t="s">
        <v>1746</v>
      </c>
      <c r="C18" s="52" t="str">
        <f>C6</f>
        <v>估价对象紧邻京周路，有901快车、839等多条公交线路及地铁燕房线燕山线通过，交通便捷度良好</v>
      </c>
      <c r="D18" s="2148"/>
      <c r="E18" s="2177"/>
      <c r="F18" s="2178" t="s">
        <v>1749</v>
      </c>
      <c r="G18" s="52" t="str">
        <f>G7</f>
        <v>该园区内是否有污染型企业，绿化情况，卫生条件，整体环境状况判断</v>
      </c>
    </row>
    <row r="19" spans="1:18" ht="28.5">
      <c r="A19" s="629"/>
      <c r="B19" s="2178" t="s">
        <v>1760</v>
      </c>
      <c r="C19" s="2179"/>
      <c r="D19" s="2141"/>
      <c r="E19" s="2177"/>
      <c r="F19" s="1887" t="s">
        <v>1744</v>
      </c>
      <c r="G19" s="52" t="str">
        <f>G5</f>
        <v>估价对象所在区域公共配套设施齐备情况</v>
      </c>
    </row>
    <row r="20" spans="1:18" ht="57">
      <c r="A20" s="629"/>
      <c r="B20" s="2178" t="s">
        <v>1761</v>
      </c>
      <c r="C20" s="2176" t="str">
        <f>C9</f>
        <v>自然环境有大石河水系（距离4公里）；人文环境有北京理工大学（房山分校）；综合评价环境状况较好</v>
      </c>
      <c r="D20" s="2148"/>
      <c r="E20" s="2177"/>
      <c r="F20" s="1887" t="s">
        <v>1762</v>
      </c>
      <c r="G20" s="52" t="str">
        <f>G6</f>
        <v>估价对象所在区域基础设施水平</v>
      </c>
    </row>
    <row r="21" spans="1:18" ht="28.5">
      <c r="A21" s="629"/>
      <c r="B21" s="1887" t="s">
        <v>1744</v>
      </c>
      <c r="C21" s="52" t="str">
        <f>C7</f>
        <v>估价对象所在区域公共配套设施较好</v>
      </c>
      <c r="D21" s="2141"/>
      <c r="E21" s="2177"/>
      <c r="F21" s="2178" t="s">
        <v>1763</v>
      </c>
      <c r="G21" s="2180"/>
    </row>
    <row r="22" spans="1:18" ht="15">
      <c r="A22" s="629"/>
      <c r="B22" s="1887" t="s">
        <v>1747</v>
      </c>
      <c r="C22" s="52" t="str">
        <f>C8</f>
        <v>七通一平</v>
      </c>
      <c r="D22" s="2141"/>
      <c r="E22" s="2177"/>
      <c r="F22" s="2178" t="s">
        <v>1752</v>
      </c>
      <c r="G22" s="2181"/>
    </row>
    <row r="23" spans="1:18" s="2138" customFormat="1" ht="15.75" thickBot="1">
      <c r="A23" s="629"/>
      <c r="B23" s="2178" t="s">
        <v>1763</v>
      </c>
      <c r="C23" s="2180"/>
      <c r="D23" s="2166"/>
      <c r="E23" s="2182"/>
      <c r="F23" s="2183" t="s">
        <v>1764</v>
      </c>
      <c r="G23" s="2184"/>
      <c r="H23" s="2166"/>
      <c r="I23" s="2167"/>
      <c r="J23" s="2166"/>
      <c r="K23" s="2166"/>
      <c r="L23" s="2167"/>
      <c r="M23" s="2166"/>
      <c r="N23" s="2166"/>
      <c r="O23" s="2167"/>
      <c r="P23" s="2166"/>
      <c r="Q23" s="2166"/>
      <c r="R23" s="2168"/>
    </row>
    <row r="24" spans="1:18" s="2138" customFormat="1" ht="15.75" thickBot="1">
      <c r="A24" s="2185"/>
      <c r="B24" s="2183" t="s">
        <v>1765</v>
      </c>
      <c r="C24" s="53">
        <f>C10</f>
        <v>0</v>
      </c>
      <c r="D24" s="2166"/>
      <c r="E24" s="2186"/>
      <c r="F24" s="2186"/>
      <c r="G24" s="2187"/>
      <c r="H24" s="2166"/>
      <c r="I24" s="2167"/>
      <c r="J24" s="2166"/>
      <c r="K24" s="2166"/>
      <c r="L24" s="2167"/>
      <c r="M24" s="2166"/>
      <c r="N24" s="2166"/>
      <c r="O24" s="2167"/>
      <c r="P24" s="2166"/>
      <c r="Q24" s="2166"/>
      <c r="R24" s="2168"/>
    </row>
    <row r="25" spans="1:18" s="2138" customFormat="1">
      <c r="B25" s="2166"/>
      <c r="C25" s="2166"/>
      <c r="D25" s="2166"/>
      <c r="H25" s="2166"/>
      <c r="I25" s="2167"/>
      <c r="J25" s="2166"/>
      <c r="K25" s="2166"/>
      <c r="L25" s="2167"/>
      <c r="M25" s="2166"/>
      <c r="N25" s="2166"/>
      <c r="O25" s="2167"/>
      <c r="P25" s="2166"/>
      <c r="Q25" s="2166"/>
      <c r="R25" s="2168"/>
    </row>
    <row r="26" spans="1:18" s="2138" customFormat="1">
      <c r="B26" s="2166"/>
      <c r="C26" s="2166"/>
      <c r="D26" s="2166"/>
      <c r="H26" s="2166"/>
      <c r="I26" s="2167"/>
      <c r="J26" s="2166"/>
      <c r="K26" s="2166"/>
      <c r="L26" s="2167"/>
      <c r="M26" s="2166"/>
      <c r="N26" s="2166"/>
      <c r="O26" s="2167"/>
      <c r="P26" s="2166"/>
      <c r="Q26" s="2166"/>
      <c r="R26" s="2168"/>
    </row>
    <row r="27" spans="1:18" s="2138" customFormat="1">
      <c r="B27" s="2166"/>
      <c r="C27" s="2166"/>
      <c r="D27" s="2166"/>
      <c r="H27" s="2166"/>
      <c r="I27" s="2167"/>
      <c r="J27" s="2166"/>
      <c r="K27" s="2166"/>
      <c r="L27" s="2167"/>
      <c r="M27" s="2166"/>
      <c r="N27" s="2166"/>
      <c r="O27" s="2167"/>
      <c r="P27" s="2166"/>
      <c r="Q27" s="2166"/>
      <c r="R27" s="2168"/>
    </row>
    <row r="28" spans="1:18" s="2138" customFormat="1">
      <c r="B28" s="2166"/>
      <c r="C28" s="2166"/>
      <c r="D28" s="2166"/>
      <c r="H28" s="2166"/>
      <c r="I28" s="2167"/>
      <c r="J28" s="2166"/>
      <c r="K28" s="2166"/>
      <c r="L28" s="2167"/>
      <c r="M28" s="2166"/>
      <c r="N28" s="2166"/>
      <c r="O28" s="2167"/>
      <c r="P28" s="2166"/>
      <c r="Q28" s="2166"/>
      <c r="R28" s="2168"/>
    </row>
    <row r="29" spans="1:18" s="2138" customFormat="1">
      <c r="B29" s="2166"/>
      <c r="C29" s="2166"/>
      <c r="D29" s="2166"/>
      <c r="H29" s="2166"/>
      <c r="I29" s="2167"/>
      <c r="J29" s="2166"/>
      <c r="K29" s="2166"/>
      <c r="L29" s="2167"/>
      <c r="M29" s="2166"/>
      <c r="N29" s="2166"/>
      <c r="O29" s="2167"/>
      <c r="P29" s="2166"/>
      <c r="Q29" s="2166"/>
      <c r="R29" s="2168"/>
    </row>
    <row r="30" spans="1:18" s="2138" customFormat="1">
      <c r="B30" s="2166"/>
      <c r="C30" s="2166"/>
      <c r="D30" s="2166"/>
      <c r="H30" s="2166"/>
      <c r="I30" s="2167"/>
      <c r="J30" s="2166"/>
      <c r="K30" s="2166"/>
      <c r="L30" s="2167"/>
      <c r="M30" s="2166"/>
      <c r="N30" s="2166"/>
      <c r="O30" s="2167"/>
      <c r="P30" s="2166"/>
      <c r="Q30" s="2166"/>
      <c r="R30" s="2168"/>
    </row>
    <row r="31" spans="1:18" s="2138" customFormat="1">
      <c r="B31" s="2166"/>
      <c r="C31" s="2166"/>
      <c r="D31" s="2166"/>
      <c r="H31" s="2166"/>
      <c r="I31" s="2167"/>
      <c r="J31" s="2166"/>
      <c r="K31" s="2166"/>
      <c r="L31" s="2167"/>
      <c r="M31" s="2166"/>
      <c r="N31" s="2166"/>
      <c r="O31" s="2167"/>
      <c r="P31" s="2166"/>
      <c r="Q31" s="2166"/>
      <c r="R31" s="2168"/>
    </row>
    <row r="32" spans="1:18" s="2138" customFormat="1">
      <c r="B32" s="2166"/>
      <c r="C32" s="2166"/>
      <c r="D32" s="2166"/>
      <c r="H32" s="2166"/>
      <c r="I32" s="2167"/>
      <c r="J32" s="2166"/>
      <c r="K32" s="2166"/>
      <c r="L32" s="2167"/>
      <c r="M32" s="2166"/>
      <c r="N32" s="2166"/>
      <c r="O32" s="2167"/>
      <c r="P32" s="2166"/>
      <c r="Q32" s="2166"/>
      <c r="R32" s="2168"/>
    </row>
    <row r="33" spans="2:18" s="2138" customFormat="1">
      <c r="B33" s="2166"/>
      <c r="C33" s="2166"/>
      <c r="D33" s="2166"/>
      <c r="H33" s="2166"/>
      <c r="I33" s="2167"/>
      <c r="J33" s="2166"/>
      <c r="K33" s="2166"/>
      <c r="L33" s="2167"/>
      <c r="M33" s="2166"/>
      <c r="N33" s="2166"/>
      <c r="O33" s="2167"/>
      <c r="P33" s="2166"/>
      <c r="Q33" s="2166"/>
      <c r="R33" s="2168"/>
    </row>
    <row r="34" spans="2:18" s="2138" customFormat="1">
      <c r="B34" s="2166"/>
      <c r="C34" s="2166"/>
      <c r="D34" s="2166"/>
      <c r="H34" s="2166"/>
      <c r="I34" s="2167"/>
      <c r="J34" s="2166"/>
      <c r="K34" s="2166"/>
      <c r="L34" s="2167"/>
      <c r="M34" s="2166"/>
      <c r="N34" s="2166"/>
      <c r="O34" s="2167"/>
      <c r="P34" s="2166"/>
      <c r="Q34" s="2166"/>
      <c r="R34" s="2168"/>
    </row>
    <row r="35" spans="2:18" s="2138" customFormat="1">
      <c r="B35" s="2166"/>
      <c r="C35" s="2166"/>
      <c r="D35" s="2166"/>
      <c r="H35" s="2166"/>
      <c r="I35" s="2167"/>
      <c r="J35" s="2166"/>
      <c r="K35" s="2166"/>
      <c r="L35" s="2167"/>
      <c r="M35" s="2166"/>
      <c r="N35" s="2166"/>
      <c r="O35" s="2167"/>
      <c r="P35" s="2166"/>
      <c r="Q35" s="2166"/>
      <c r="R35" s="2168"/>
    </row>
    <row r="36" spans="2:18" s="2138" customFormat="1">
      <c r="B36" s="2166"/>
      <c r="C36" s="2166"/>
      <c r="D36" s="2166"/>
      <c r="H36" s="2166"/>
      <c r="I36" s="2167"/>
      <c r="J36" s="2166"/>
      <c r="K36" s="2166"/>
      <c r="L36" s="2167"/>
      <c r="M36" s="2166"/>
      <c r="N36" s="2166"/>
      <c r="O36" s="2167"/>
      <c r="P36" s="2166"/>
      <c r="Q36" s="2166"/>
      <c r="R36" s="2168"/>
    </row>
    <row r="37" spans="2:18" s="2138" customFormat="1">
      <c r="B37" s="2166"/>
      <c r="C37" s="2166"/>
      <c r="D37" s="2166"/>
      <c r="H37" s="2166"/>
      <c r="I37" s="2167"/>
      <c r="J37" s="2166"/>
      <c r="K37" s="2166"/>
      <c r="L37" s="2167"/>
      <c r="M37" s="2166"/>
      <c r="N37" s="2166"/>
      <c r="O37" s="2167"/>
      <c r="P37" s="2166"/>
      <c r="Q37" s="2166"/>
      <c r="R37" s="2168"/>
    </row>
    <row r="38" spans="2:18" s="2138" customFormat="1">
      <c r="B38" s="2166"/>
      <c r="C38" s="2166"/>
      <c r="D38" s="2166"/>
      <c r="E38" s="2166"/>
      <c r="F38" s="2166"/>
      <c r="G38" s="2167"/>
      <c r="H38" s="2166"/>
      <c r="I38" s="2167"/>
      <c r="J38" s="2166"/>
      <c r="K38" s="2166"/>
      <c r="L38" s="2167"/>
      <c r="M38" s="2166"/>
      <c r="N38" s="2166"/>
      <c r="O38" s="2167"/>
      <c r="P38" s="2166"/>
      <c r="Q38" s="2166"/>
      <c r="R38" s="2168"/>
    </row>
    <row r="39" spans="2:18" s="2138" customFormat="1">
      <c r="B39" s="2166"/>
      <c r="C39" s="2166"/>
      <c r="D39" s="2166"/>
      <c r="E39" s="2166"/>
      <c r="F39" s="2166"/>
      <c r="G39" s="2167"/>
      <c r="H39" s="2166"/>
      <c r="I39" s="2167"/>
      <c r="J39" s="2166"/>
      <c r="K39" s="2166"/>
      <c r="L39" s="2167"/>
      <c r="M39" s="2166"/>
      <c r="N39" s="2166"/>
      <c r="O39" s="2167"/>
      <c r="P39" s="2166"/>
      <c r="Q39" s="2166"/>
      <c r="R39" s="2168"/>
    </row>
    <row r="40" spans="2:18" s="2138" customFormat="1">
      <c r="B40" s="2166"/>
      <c r="C40" s="2166"/>
      <c r="D40" s="2166"/>
      <c r="E40" s="2166"/>
      <c r="F40" s="2166"/>
      <c r="G40" s="2167"/>
      <c r="H40" s="2166"/>
      <c r="I40" s="2167"/>
      <c r="J40" s="2166"/>
      <c r="K40" s="2166"/>
      <c r="L40" s="2167"/>
      <c r="M40" s="2166"/>
      <c r="N40" s="2166"/>
      <c r="O40" s="2167"/>
      <c r="P40" s="2166"/>
      <c r="Q40" s="2166"/>
      <c r="R40" s="2168"/>
    </row>
    <row r="41" spans="2:18" s="2138" customFormat="1">
      <c r="B41" s="2166"/>
      <c r="C41" s="2166"/>
      <c r="D41" s="2166"/>
      <c r="E41" s="2166"/>
      <c r="F41" s="2166"/>
      <c r="G41" s="2167"/>
      <c r="H41" s="2166"/>
      <c r="I41" s="2167"/>
      <c r="J41" s="2166"/>
      <c r="K41" s="2166"/>
      <c r="L41" s="2167"/>
      <c r="M41" s="2166"/>
      <c r="N41" s="2166"/>
      <c r="O41" s="2167"/>
      <c r="P41" s="2166"/>
      <c r="Q41" s="2166"/>
      <c r="R41" s="2168"/>
    </row>
    <row r="42" spans="2:18" s="2138" customFormat="1">
      <c r="B42" s="2166"/>
      <c r="C42" s="2166"/>
      <c r="D42" s="2166"/>
      <c r="E42" s="2166"/>
      <c r="F42" s="2166"/>
      <c r="G42" s="2167"/>
      <c r="H42" s="2166"/>
      <c r="I42" s="2167"/>
      <c r="J42" s="2166"/>
      <c r="K42" s="2166"/>
      <c r="L42" s="2167"/>
      <c r="M42" s="2166"/>
      <c r="N42" s="2166"/>
      <c r="O42" s="2167"/>
      <c r="P42" s="2166"/>
      <c r="Q42" s="2166"/>
      <c r="R42" s="2168"/>
    </row>
    <row r="43" spans="2:18" s="2138" customFormat="1">
      <c r="B43" s="2166"/>
      <c r="C43" s="2166"/>
      <c r="D43" s="2166"/>
      <c r="E43" s="2166"/>
      <c r="F43" s="2166"/>
      <c r="G43" s="2167"/>
      <c r="H43" s="2166"/>
      <c r="I43" s="2167"/>
      <c r="J43" s="2166"/>
      <c r="K43" s="2166"/>
      <c r="L43" s="2167"/>
      <c r="M43" s="2166"/>
      <c r="N43" s="2166"/>
      <c r="O43" s="2167"/>
      <c r="P43" s="2166"/>
      <c r="Q43" s="2166"/>
      <c r="R43" s="2168"/>
    </row>
    <row r="44" spans="2:18" s="2138" customFormat="1">
      <c r="B44" s="2166"/>
      <c r="C44" s="2166"/>
      <c r="D44" s="2166"/>
      <c r="E44" s="2166"/>
      <c r="F44" s="2166"/>
      <c r="G44" s="2167"/>
      <c r="H44" s="2166"/>
      <c r="I44" s="2167"/>
      <c r="J44" s="2166"/>
      <c r="K44" s="2166"/>
      <c r="L44" s="2167"/>
      <c r="M44" s="2166"/>
      <c r="N44" s="2166"/>
      <c r="O44" s="2167"/>
      <c r="P44" s="2166"/>
      <c r="Q44" s="2166"/>
      <c r="R44" s="2168"/>
    </row>
    <row r="45" spans="2:18" s="2138" customFormat="1">
      <c r="B45" s="2166"/>
      <c r="C45" s="2166"/>
      <c r="D45" s="2166"/>
      <c r="E45" s="2166"/>
      <c r="F45" s="2166"/>
      <c r="G45" s="2167"/>
      <c r="H45" s="2166"/>
      <c r="I45" s="2167"/>
      <c r="J45" s="2166"/>
      <c r="K45" s="2166"/>
      <c r="L45" s="2167"/>
      <c r="M45" s="2166"/>
      <c r="N45" s="2166"/>
      <c r="O45" s="2167"/>
      <c r="P45" s="2166"/>
      <c r="Q45" s="2166"/>
      <c r="R45" s="2168"/>
    </row>
    <row r="46" spans="2:18" s="2138" customFormat="1">
      <c r="B46" s="2166"/>
      <c r="C46" s="2166"/>
      <c r="D46" s="2166"/>
      <c r="E46" s="2166"/>
      <c r="F46" s="2166"/>
      <c r="G46" s="2167"/>
      <c r="H46" s="2166"/>
      <c r="I46" s="2167"/>
      <c r="J46" s="2166"/>
      <c r="K46" s="2166"/>
      <c r="L46" s="2167"/>
      <c r="M46" s="2166"/>
      <c r="N46" s="2166"/>
      <c r="O46" s="2167"/>
      <c r="P46" s="2166"/>
      <c r="Q46" s="2166"/>
      <c r="R46" s="2168"/>
    </row>
    <row r="47" spans="2:18" s="2138" customFormat="1">
      <c r="B47" s="2166"/>
      <c r="C47" s="2166"/>
      <c r="D47" s="2166"/>
      <c r="E47" s="2166"/>
      <c r="F47" s="2166"/>
      <c r="G47" s="2167"/>
      <c r="H47" s="2166"/>
      <c r="I47" s="2167"/>
      <c r="J47" s="2166"/>
      <c r="K47" s="2166"/>
      <c r="L47" s="2167"/>
      <c r="M47" s="2166"/>
      <c r="N47" s="2166"/>
      <c r="O47" s="2167"/>
      <c r="P47" s="2166"/>
      <c r="Q47" s="2166"/>
      <c r="R47" s="2168"/>
    </row>
    <row r="48" spans="2:18" s="2138" customFormat="1">
      <c r="B48" s="2166"/>
      <c r="C48" s="2166"/>
      <c r="D48" s="2166"/>
      <c r="E48" s="2166"/>
      <c r="F48" s="2166"/>
      <c r="G48" s="2167"/>
      <c r="H48" s="2166"/>
      <c r="I48" s="2167"/>
      <c r="J48" s="2166"/>
      <c r="K48" s="2166"/>
      <c r="L48" s="2167"/>
      <c r="M48" s="2166"/>
      <c r="N48" s="2166"/>
      <c r="O48" s="2167"/>
      <c r="P48" s="2166"/>
      <c r="Q48" s="2166"/>
      <c r="R48" s="2168"/>
    </row>
    <row r="49" spans="2:18" s="2138" customFormat="1">
      <c r="B49" s="2166"/>
      <c r="C49" s="2166"/>
      <c r="D49" s="2166"/>
      <c r="E49" s="2166"/>
      <c r="F49" s="2166"/>
      <c r="G49" s="2167"/>
      <c r="H49" s="2166"/>
      <c r="I49" s="2167"/>
      <c r="J49" s="2166"/>
      <c r="K49" s="2166"/>
      <c r="L49" s="2167"/>
      <c r="M49" s="2166"/>
      <c r="N49" s="2166"/>
      <c r="O49" s="2167"/>
      <c r="P49" s="2166"/>
      <c r="Q49" s="2166"/>
      <c r="R49" s="2168"/>
    </row>
    <row r="50" spans="2:18" s="2138" customFormat="1">
      <c r="B50" s="2166"/>
      <c r="C50" s="2166"/>
      <c r="D50" s="2166"/>
      <c r="E50" s="2166"/>
      <c r="F50" s="2166"/>
      <c r="G50" s="2167"/>
      <c r="H50" s="2166"/>
      <c r="I50" s="2167"/>
      <c r="J50" s="2166"/>
      <c r="K50" s="2166"/>
      <c r="L50" s="2167"/>
      <c r="M50" s="2166"/>
      <c r="N50" s="2166"/>
      <c r="O50" s="2167"/>
      <c r="P50" s="2166"/>
      <c r="Q50" s="2166"/>
      <c r="R50" s="2168"/>
    </row>
    <row r="51" spans="2:18" s="2138" customFormat="1">
      <c r="B51" s="2166"/>
      <c r="C51" s="2166"/>
      <c r="D51" s="2166"/>
      <c r="E51" s="2166"/>
      <c r="F51" s="2166"/>
      <c r="G51" s="2167"/>
      <c r="H51" s="2166"/>
      <c r="I51" s="2167"/>
      <c r="J51" s="2166"/>
      <c r="K51" s="2166"/>
      <c r="L51" s="2167"/>
      <c r="M51" s="2166"/>
      <c r="N51" s="2166"/>
      <c r="O51" s="2167"/>
      <c r="P51" s="2166"/>
      <c r="Q51" s="2166"/>
      <c r="R51" s="2168"/>
    </row>
    <row r="52" spans="2:18" s="2138" customFormat="1">
      <c r="B52" s="2166"/>
      <c r="C52" s="2166"/>
      <c r="D52" s="2166"/>
      <c r="E52" s="2166"/>
      <c r="F52" s="2166"/>
      <c r="G52" s="2167"/>
      <c r="H52" s="2166"/>
      <c r="I52" s="2167"/>
      <c r="J52" s="2166"/>
      <c r="K52" s="2166"/>
      <c r="L52" s="2167"/>
      <c r="M52" s="2166"/>
      <c r="N52" s="2166"/>
      <c r="O52" s="2167"/>
      <c r="P52" s="2166"/>
      <c r="Q52" s="2166"/>
      <c r="R52" s="2168"/>
    </row>
    <row r="53" spans="2:18" s="2138" customFormat="1">
      <c r="B53" s="2166"/>
      <c r="C53" s="2166"/>
      <c r="D53" s="2166"/>
      <c r="E53" s="2166"/>
      <c r="F53" s="2166"/>
      <c r="G53" s="2167"/>
      <c r="H53" s="2166"/>
      <c r="I53" s="2167"/>
      <c r="J53" s="2166"/>
      <c r="K53" s="2166"/>
      <c r="L53" s="2167"/>
      <c r="M53" s="2166"/>
      <c r="N53" s="2166"/>
      <c r="O53" s="2167"/>
      <c r="P53" s="2166"/>
      <c r="Q53" s="2166"/>
      <c r="R53" s="2168"/>
    </row>
    <row r="54" spans="2:18" s="2138" customFormat="1">
      <c r="B54" s="2166"/>
      <c r="C54" s="2166"/>
      <c r="D54" s="2166"/>
      <c r="E54" s="2166"/>
      <c r="F54" s="2166"/>
      <c r="G54" s="2167"/>
      <c r="H54" s="2166"/>
      <c r="I54" s="2167"/>
      <c r="J54" s="2166"/>
      <c r="K54" s="2166"/>
      <c r="L54" s="2167"/>
      <c r="M54" s="2166"/>
      <c r="N54" s="2166"/>
      <c r="O54" s="2167"/>
      <c r="P54" s="2166"/>
      <c r="Q54" s="2166"/>
      <c r="R54" s="2168"/>
    </row>
    <row r="55" spans="2:18" s="2138" customFormat="1">
      <c r="B55" s="2166"/>
      <c r="C55" s="2166"/>
      <c r="D55" s="2166"/>
      <c r="E55" s="2166"/>
      <c r="F55" s="2166"/>
      <c r="G55" s="2167"/>
      <c r="H55" s="2166"/>
      <c r="I55" s="2167"/>
      <c r="J55" s="2166"/>
      <c r="K55" s="2166"/>
      <c r="L55" s="2167"/>
      <c r="M55" s="2166"/>
      <c r="N55" s="2166"/>
      <c r="O55" s="2167"/>
      <c r="P55" s="2166"/>
      <c r="Q55" s="2166"/>
      <c r="R55" s="2168"/>
    </row>
    <row r="56" spans="2:18" s="2138" customFormat="1">
      <c r="B56" s="2166"/>
      <c r="C56" s="2166"/>
      <c r="D56" s="2166"/>
      <c r="E56" s="2166"/>
      <c r="F56" s="2166"/>
      <c r="G56" s="2167"/>
      <c r="H56" s="2166"/>
      <c r="I56" s="2167"/>
      <c r="J56" s="2166"/>
      <c r="K56" s="2166"/>
      <c r="L56" s="2167"/>
      <c r="M56" s="2166"/>
      <c r="N56" s="2166"/>
      <c r="O56" s="2167"/>
      <c r="P56" s="2166"/>
      <c r="Q56" s="2166"/>
      <c r="R56" s="2168"/>
    </row>
    <row r="57" spans="2:18" s="2138" customFormat="1">
      <c r="B57" s="2166"/>
      <c r="C57" s="2166"/>
      <c r="D57" s="2166"/>
      <c r="E57" s="2166"/>
      <c r="F57" s="2166"/>
      <c r="G57" s="2167"/>
      <c r="H57" s="2166"/>
      <c r="I57" s="2167"/>
      <c r="J57" s="2166"/>
      <c r="K57" s="2166"/>
      <c r="L57" s="2167"/>
      <c r="M57" s="2166"/>
      <c r="N57" s="2166"/>
      <c r="O57" s="2167"/>
      <c r="P57" s="2166"/>
      <c r="Q57" s="2166"/>
      <c r="R57" s="2168"/>
    </row>
    <row r="58" spans="2:18" s="2138" customFormat="1">
      <c r="B58" s="2166"/>
      <c r="C58" s="2166"/>
      <c r="D58" s="2166"/>
      <c r="E58" s="2166"/>
      <c r="F58" s="2166"/>
      <c r="G58" s="2167"/>
      <c r="H58" s="2166"/>
      <c r="I58" s="2167"/>
      <c r="J58" s="2166"/>
      <c r="K58" s="2166"/>
      <c r="L58" s="2167"/>
      <c r="M58" s="2166"/>
      <c r="N58" s="2166"/>
      <c r="O58" s="2167"/>
      <c r="P58" s="2166"/>
      <c r="Q58" s="2166"/>
      <c r="R58" s="2168"/>
    </row>
    <row r="59" spans="2:18" s="2138" customFormat="1">
      <c r="B59" s="2166"/>
      <c r="C59" s="2166"/>
      <c r="D59" s="2166"/>
      <c r="E59" s="2166"/>
      <c r="F59" s="2166"/>
      <c r="G59" s="2167"/>
      <c r="H59" s="2166"/>
      <c r="I59" s="2167"/>
      <c r="J59" s="2166"/>
      <c r="K59" s="2166"/>
      <c r="L59" s="2167"/>
      <c r="M59" s="2166"/>
      <c r="N59" s="2166"/>
      <c r="O59" s="2167"/>
      <c r="P59" s="2166"/>
      <c r="Q59" s="2166"/>
      <c r="R59" s="2168"/>
    </row>
    <row r="60" spans="2:18" s="2138" customFormat="1">
      <c r="B60" s="2166"/>
      <c r="C60" s="2166"/>
      <c r="D60" s="2166"/>
      <c r="E60" s="2166"/>
      <c r="F60" s="2166"/>
      <c r="G60" s="2167"/>
      <c r="H60" s="2166"/>
      <c r="I60" s="2167"/>
      <c r="J60" s="2166"/>
      <c r="K60" s="2166"/>
      <c r="L60" s="2167"/>
      <c r="M60" s="2166"/>
      <c r="N60" s="2166"/>
      <c r="O60" s="2167"/>
      <c r="P60" s="2166"/>
      <c r="Q60" s="2166"/>
      <c r="R60" s="2168"/>
    </row>
    <row r="61" spans="2:18" s="2138" customFormat="1">
      <c r="B61" s="2166"/>
      <c r="C61" s="2166"/>
      <c r="D61" s="2166"/>
      <c r="E61" s="2166"/>
      <c r="F61" s="2166"/>
      <c r="G61" s="2167"/>
      <c r="H61" s="2166"/>
      <c r="I61" s="2167"/>
      <c r="J61" s="2166"/>
      <c r="K61" s="2166"/>
      <c r="L61" s="2167"/>
      <c r="M61" s="2166"/>
      <c r="N61" s="2166"/>
      <c r="O61" s="2167"/>
      <c r="P61" s="2166"/>
      <c r="Q61" s="2166"/>
      <c r="R61" s="2168"/>
    </row>
    <row r="62" spans="2:18" s="2138" customFormat="1">
      <c r="B62" s="2166"/>
      <c r="C62" s="2166"/>
      <c r="D62" s="2166"/>
      <c r="E62" s="2166"/>
      <c r="F62" s="2166"/>
      <c r="G62" s="2167"/>
      <c r="H62" s="2166"/>
      <c r="I62" s="2167"/>
      <c r="J62" s="2166"/>
      <c r="K62" s="2166"/>
      <c r="L62" s="2167"/>
      <c r="M62" s="2166"/>
      <c r="N62" s="2166"/>
      <c r="O62" s="2167"/>
      <c r="P62" s="2166"/>
      <c r="Q62" s="2166"/>
      <c r="R62" s="2168"/>
    </row>
    <row r="63" spans="2:18" s="2138" customFormat="1">
      <c r="B63" s="2166"/>
      <c r="C63" s="2166"/>
      <c r="D63" s="2166"/>
      <c r="E63" s="2166"/>
      <c r="F63" s="2166"/>
      <c r="G63" s="2167"/>
      <c r="H63" s="2166"/>
      <c r="I63" s="2167"/>
      <c r="J63" s="2166"/>
      <c r="K63" s="2166"/>
      <c r="L63" s="2167"/>
      <c r="M63" s="2166"/>
      <c r="N63" s="2166"/>
      <c r="O63" s="2167"/>
      <c r="P63" s="2166"/>
      <c r="Q63" s="2166"/>
      <c r="R63" s="2168"/>
    </row>
    <row r="64" spans="2:18" s="2138" customFormat="1">
      <c r="B64" s="2166"/>
      <c r="C64" s="2166"/>
      <c r="D64" s="2166"/>
      <c r="E64" s="2166"/>
      <c r="F64" s="2166"/>
      <c r="G64" s="2167"/>
      <c r="H64" s="2166"/>
      <c r="I64" s="2167"/>
      <c r="J64" s="2166"/>
      <c r="K64" s="2166"/>
      <c r="L64" s="2167"/>
      <c r="M64" s="2166"/>
      <c r="N64" s="2166"/>
      <c r="O64" s="2167"/>
      <c r="P64" s="2166"/>
      <c r="Q64" s="2166"/>
      <c r="R64" s="2168"/>
    </row>
    <row r="65" spans="2:18" s="2138" customFormat="1">
      <c r="B65" s="2166"/>
      <c r="C65" s="2166"/>
      <c r="D65" s="2166"/>
      <c r="E65" s="2166"/>
      <c r="F65" s="2166"/>
      <c r="G65" s="2167"/>
      <c r="H65" s="2166"/>
      <c r="I65" s="2167"/>
      <c r="J65" s="2166"/>
      <c r="K65" s="2166"/>
      <c r="L65" s="2167"/>
      <c r="M65" s="2166"/>
      <c r="N65" s="2166"/>
      <c r="O65" s="2167"/>
      <c r="P65" s="2166"/>
      <c r="Q65" s="2166"/>
      <c r="R65" s="2168"/>
    </row>
    <row r="66" spans="2:18" s="2138" customFormat="1">
      <c r="B66" s="2166"/>
      <c r="C66" s="2166"/>
      <c r="D66" s="2166"/>
      <c r="E66" s="2166"/>
      <c r="F66" s="2166"/>
      <c r="G66" s="2167"/>
      <c r="H66" s="2166"/>
      <c r="I66" s="2167"/>
      <c r="J66" s="2166"/>
      <c r="K66" s="2166"/>
      <c r="L66" s="2167"/>
      <c r="M66" s="2166"/>
      <c r="N66" s="2166"/>
      <c r="O66" s="2167"/>
      <c r="P66" s="2166"/>
      <c r="Q66" s="2166"/>
      <c r="R66" s="2168"/>
    </row>
    <row r="67" spans="2:18" s="2138" customFormat="1">
      <c r="B67" s="2166"/>
      <c r="C67" s="2166"/>
      <c r="D67" s="2166"/>
      <c r="E67" s="2166"/>
      <c r="F67" s="2166"/>
      <c r="G67" s="2167"/>
      <c r="H67" s="2166"/>
      <c r="I67" s="2167"/>
      <c r="J67" s="2166"/>
      <c r="K67" s="2166"/>
      <c r="L67" s="2167"/>
      <c r="M67" s="2166"/>
      <c r="N67" s="2166"/>
      <c r="O67" s="2167"/>
      <c r="P67" s="2166"/>
      <c r="Q67" s="2166"/>
      <c r="R67" s="2168"/>
    </row>
    <row r="68" spans="2:18" s="2138" customFormat="1">
      <c r="B68" s="2166"/>
      <c r="C68" s="2166"/>
      <c r="D68" s="2166"/>
      <c r="E68" s="2166"/>
      <c r="F68" s="2166"/>
      <c r="G68" s="2167"/>
      <c r="H68" s="2166"/>
      <c r="I68" s="2167"/>
      <c r="J68" s="2166"/>
      <c r="K68" s="2166"/>
      <c r="L68" s="2167"/>
      <c r="M68" s="2166"/>
      <c r="N68" s="2166"/>
      <c r="O68" s="2167"/>
      <c r="P68" s="2166"/>
      <c r="Q68" s="2166"/>
      <c r="R68" s="2168"/>
    </row>
    <row r="69" spans="2:18" s="2138" customFormat="1">
      <c r="B69" s="2166"/>
      <c r="C69" s="2166"/>
      <c r="D69" s="2166"/>
      <c r="E69" s="2166"/>
      <c r="F69" s="2166"/>
      <c r="G69" s="2167"/>
      <c r="H69" s="2166"/>
      <c r="I69" s="2167"/>
      <c r="J69" s="2166"/>
      <c r="K69" s="2166"/>
      <c r="L69" s="2167"/>
      <c r="M69" s="2166"/>
      <c r="N69" s="2166"/>
      <c r="O69" s="2167"/>
      <c r="P69" s="2166"/>
      <c r="Q69" s="2166"/>
      <c r="R69" s="2168"/>
    </row>
    <row r="70" spans="2:18" s="2138" customFormat="1">
      <c r="B70" s="2166"/>
      <c r="C70" s="2166"/>
      <c r="D70" s="2166"/>
      <c r="E70" s="2166"/>
      <c r="F70" s="2166"/>
      <c r="G70" s="2167"/>
      <c r="H70" s="2166"/>
      <c r="I70" s="2167"/>
      <c r="J70" s="2166"/>
      <c r="K70" s="2166"/>
      <c r="L70" s="2167"/>
      <c r="M70" s="2166"/>
      <c r="N70" s="2166"/>
      <c r="O70" s="2167"/>
      <c r="P70" s="2166"/>
      <c r="Q70" s="2166"/>
      <c r="R70" s="2168"/>
    </row>
    <row r="71" spans="2:18" s="2138" customFormat="1">
      <c r="B71" s="2166"/>
      <c r="C71" s="2166"/>
      <c r="D71" s="2166"/>
      <c r="E71" s="2166"/>
      <c r="F71" s="2166"/>
      <c r="G71" s="2167"/>
      <c r="H71" s="2166"/>
      <c r="I71" s="2167"/>
      <c r="J71" s="2166"/>
      <c r="K71" s="2166"/>
      <c r="L71" s="2167"/>
      <c r="M71" s="2166"/>
      <c r="N71" s="2166"/>
      <c r="O71" s="2167"/>
      <c r="P71" s="2166"/>
      <c r="Q71" s="2166"/>
      <c r="R71" s="2168"/>
    </row>
    <row r="72" spans="2:18" s="2138" customFormat="1">
      <c r="B72" s="2166"/>
      <c r="C72" s="2166"/>
      <c r="D72" s="2166"/>
      <c r="E72" s="2166"/>
      <c r="F72" s="2166"/>
      <c r="G72" s="2167"/>
      <c r="H72" s="2166"/>
      <c r="I72" s="2167"/>
      <c r="J72" s="2166"/>
      <c r="K72" s="2166"/>
      <c r="L72" s="2167"/>
      <c r="M72" s="2166"/>
      <c r="N72" s="2166"/>
      <c r="O72" s="2167"/>
      <c r="P72" s="2166"/>
      <c r="Q72" s="2166"/>
      <c r="R72" s="2168"/>
    </row>
    <row r="73" spans="2:18" s="2138" customFormat="1">
      <c r="B73" s="2166"/>
      <c r="C73" s="2166"/>
      <c r="D73" s="2166"/>
      <c r="E73" s="2166"/>
      <c r="F73" s="2166"/>
      <c r="G73" s="2167"/>
      <c r="H73" s="2166"/>
      <c r="I73" s="2167"/>
      <c r="J73" s="2166"/>
      <c r="K73" s="2166"/>
      <c r="L73" s="2167"/>
      <c r="M73" s="2166"/>
      <c r="N73" s="2166"/>
      <c r="O73" s="2167"/>
      <c r="P73" s="2166"/>
      <c r="Q73" s="2166"/>
      <c r="R73" s="2168"/>
    </row>
    <row r="74" spans="2:18" s="2138" customFormat="1">
      <c r="B74" s="2166"/>
      <c r="C74" s="2166"/>
      <c r="D74" s="2166"/>
      <c r="E74" s="2166"/>
      <c r="F74" s="2166"/>
      <c r="G74" s="2167"/>
      <c r="H74" s="2166"/>
      <c r="I74" s="2167"/>
      <c r="J74" s="2166"/>
      <c r="K74" s="2166"/>
      <c r="L74" s="2167"/>
      <c r="M74" s="2166"/>
      <c r="N74" s="2166"/>
      <c r="O74" s="2167"/>
      <c r="P74" s="2166"/>
      <c r="Q74" s="2166"/>
      <c r="R74" s="2168"/>
    </row>
    <row r="75" spans="2:18" s="2138" customFormat="1">
      <c r="B75" s="2166"/>
      <c r="C75" s="2166"/>
      <c r="D75" s="2166"/>
      <c r="E75" s="2166"/>
      <c r="F75" s="2166"/>
      <c r="G75" s="2167"/>
      <c r="H75" s="2166"/>
      <c r="I75" s="2167"/>
      <c r="J75" s="2166"/>
      <c r="K75" s="2166"/>
      <c r="L75" s="2167"/>
      <c r="M75" s="2166"/>
      <c r="N75" s="2166"/>
      <c r="O75" s="2167"/>
      <c r="P75" s="2166"/>
      <c r="Q75" s="2166"/>
      <c r="R75" s="2168"/>
    </row>
    <row r="76" spans="2:18" s="2138" customFormat="1">
      <c r="B76" s="2166"/>
      <c r="C76" s="2166"/>
      <c r="D76" s="2166"/>
      <c r="E76" s="2166"/>
      <c r="F76" s="2166"/>
      <c r="G76" s="2167"/>
      <c r="H76" s="2166"/>
      <c r="I76" s="2167"/>
      <c r="J76" s="2166"/>
      <c r="K76" s="2166"/>
      <c r="L76" s="2167"/>
      <c r="M76" s="2166"/>
      <c r="N76" s="2166"/>
      <c r="O76" s="2167"/>
      <c r="P76" s="2166"/>
      <c r="Q76" s="2166"/>
      <c r="R76" s="2168"/>
    </row>
    <row r="77" spans="2:18" s="2138" customFormat="1">
      <c r="B77" s="2166"/>
      <c r="C77" s="2166"/>
      <c r="D77" s="2166"/>
      <c r="E77" s="2166"/>
      <c r="F77" s="2166"/>
      <c r="G77" s="2167"/>
      <c r="H77" s="2166"/>
      <c r="I77" s="2167"/>
      <c r="J77" s="2166"/>
      <c r="K77" s="2166"/>
      <c r="L77" s="2167"/>
      <c r="M77" s="2166"/>
      <c r="N77" s="2166"/>
      <c r="O77" s="2167"/>
      <c r="P77" s="2166"/>
      <c r="Q77" s="2166"/>
      <c r="R77" s="2168"/>
    </row>
    <row r="78" spans="2:18" s="2138" customFormat="1">
      <c r="B78" s="2166"/>
      <c r="C78" s="2166"/>
      <c r="D78" s="2166"/>
      <c r="E78" s="2166"/>
      <c r="F78" s="2166"/>
      <c r="G78" s="2167"/>
      <c r="H78" s="2166"/>
      <c r="I78" s="2167"/>
      <c r="J78" s="2166"/>
      <c r="K78" s="2166"/>
      <c r="L78" s="2167"/>
      <c r="M78" s="2166"/>
      <c r="N78" s="2166"/>
      <c r="O78" s="2167"/>
      <c r="P78" s="2166"/>
      <c r="Q78" s="2166"/>
      <c r="R78" s="2168"/>
    </row>
    <row r="79" spans="2:18" s="2138" customFormat="1">
      <c r="B79" s="2166"/>
      <c r="C79" s="2166"/>
      <c r="D79" s="2166"/>
      <c r="E79" s="2166"/>
      <c r="F79" s="2166"/>
      <c r="G79" s="2167"/>
      <c r="H79" s="2166"/>
      <c r="I79" s="2167"/>
      <c r="J79" s="2166"/>
      <c r="K79" s="2166"/>
      <c r="L79" s="2167"/>
      <c r="M79" s="2166"/>
      <c r="N79" s="2166"/>
      <c r="O79" s="2167"/>
      <c r="P79" s="2166"/>
      <c r="Q79" s="2166"/>
      <c r="R79" s="2168"/>
    </row>
    <row r="80" spans="2:18" s="2138" customFormat="1">
      <c r="B80" s="2166"/>
      <c r="C80" s="2166"/>
      <c r="D80" s="2166"/>
      <c r="E80" s="2166"/>
      <c r="F80" s="2166"/>
      <c r="G80" s="2167"/>
      <c r="H80" s="2166"/>
      <c r="I80" s="2167"/>
      <c r="J80" s="2166"/>
      <c r="K80" s="2166"/>
      <c r="L80" s="2167"/>
      <c r="M80" s="2166"/>
      <c r="N80" s="2166"/>
      <c r="O80" s="2167"/>
      <c r="P80" s="2166"/>
      <c r="Q80" s="2166"/>
      <c r="R80" s="2168"/>
    </row>
    <row r="81" spans="2:18" s="2138" customFormat="1">
      <c r="B81" s="2166"/>
      <c r="C81" s="2166"/>
      <c r="D81" s="2166"/>
      <c r="E81" s="2166"/>
      <c r="F81" s="2166"/>
      <c r="G81" s="2167"/>
      <c r="H81" s="2166"/>
      <c r="I81" s="2167"/>
      <c r="J81" s="2166"/>
      <c r="K81" s="2166"/>
      <c r="L81" s="2167"/>
      <c r="M81" s="2166"/>
      <c r="N81" s="2166"/>
      <c r="O81" s="2167"/>
      <c r="P81" s="2166"/>
      <c r="Q81" s="2166"/>
      <c r="R81" s="2168"/>
    </row>
    <row r="82" spans="2:18" s="2138" customFormat="1">
      <c r="B82" s="2166"/>
      <c r="C82" s="2166"/>
      <c r="D82" s="2166"/>
      <c r="E82" s="2166"/>
      <c r="F82" s="2166"/>
      <c r="G82" s="2167"/>
      <c r="H82" s="2166"/>
      <c r="I82" s="2167"/>
      <c r="J82" s="2166"/>
      <c r="K82" s="2166"/>
      <c r="L82" s="2167"/>
      <c r="M82" s="2166"/>
      <c r="N82" s="2166"/>
      <c r="O82" s="2167"/>
      <c r="P82" s="2166"/>
      <c r="Q82" s="2166"/>
      <c r="R82" s="2168"/>
    </row>
    <row r="83" spans="2:18" s="2138" customFormat="1">
      <c r="B83" s="2166"/>
      <c r="C83" s="2166"/>
      <c r="D83" s="2166"/>
      <c r="E83" s="2166"/>
      <c r="F83" s="2166"/>
      <c r="G83" s="2167"/>
      <c r="H83" s="2166"/>
      <c r="I83" s="2167"/>
      <c r="J83" s="2166"/>
      <c r="K83" s="2166"/>
      <c r="L83" s="2167"/>
      <c r="M83" s="2166"/>
      <c r="N83" s="2166"/>
      <c r="O83" s="2167"/>
      <c r="P83" s="2166"/>
      <c r="Q83" s="2166"/>
      <c r="R83" s="2168"/>
    </row>
    <row r="84" spans="2:18" s="2138" customFormat="1">
      <c r="B84" s="2166"/>
      <c r="C84" s="2166"/>
      <c r="D84" s="2166"/>
      <c r="E84" s="2166"/>
      <c r="F84" s="2166"/>
      <c r="G84" s="2167"/>
      <c r="H84" s="2166"/>
      <c r="I84" s="2167"/>
      <c r="J84" s="2166"/>
      <c r="K84" s="2166"/>
      <c r="L84" s="2167"/>
      <c r="M84" s="2166"/>
      <c r="N84" s="2166"/>
      <c r="O84" s="2167"/>
      <c r="P84" s="2166"/>
      <c r="Q84" s="2166"/>
      <c r="R84" s="2168"/>
    </row>
    <row r="85" spans="2:18" s="2138" customFormat="1">
      <c r="B85" s="2166"/>
      <c r="C85" s="2166"/>
      <c r="D85" s="2166"/>
      <c r="E85" s="2166"/>
      <c r="F85" s="2166"/>
      <c r="G85" s="2167"/>
      <c r="H85" s="2166"/>
      <c r="I85" s="2167"/>
      <c r="J85" s="2166"/>
      <c r="K85" s="2166"/>
      <c r="L85" s="2167"/>
      <c r="M85" s="2166"/>
      <c r="N85" s="2166"/>
      <c r="O85" s="2167"/>
      <c r="P85" s="2166"/>
      <c r="Q85" s="2166"/>
      <c r="R85" s="2168"/>
    </row>
    <row r="86" spans="2:18" s="2138" customFormat="1">
      <c r="B86" s="2166"/>
      <c r="C86" s="2166"/>
      <c r="D86" s="2166"/>
      <c r="E86" s="2166"/>
      <c r="F86" s="2166"/>
      <c r="G86" s="2167"/>
      <c r="H86" s="2166"/>
      <c r="I86" s="2167"/>
      <c r="J86" s="2166"/>
      <c r="K86" s="2166"/>
      <c r="L86" s="2167"/>
      <c r="M86" s="2166"/>
      <c r="N86" s="2166"/>
      <c r="O86" s="2167"/>
      <c r="P86" s="2166"/>
      <c r="Q86" s="2166"/>
      <c r="R86" s="2168"/>
    </row>
    <row r="87" spans="2:18" s="2138" customFormat="1">
      <c r="B87" s="2166"/>
      <c r="C87" s="2166"/>
      <c r="D87" s="2166"/>
      <c r="E87" s="2166"/>
      <c r="F87" s="2166"/>
      <c r="G87" s="2167"/>
      <c r="H87" s="2166"/>
      <c r="I87" s="2167"/>
      <c r="J87" s="2166"/>
      <c r="K87" s="2166"/>
      <c r="L87" s="2167"/>
      <c r="M87" s="2166"/>
      <c r="N87" s="2166"/>
      <c r="O87" s="2167"/>
      <c r="P87" s="2166"/>
      <c r="Q87" s="2166"/>
      <c r="R87" s="2168"/>
    </row>
    <row r="88" spans="2:18" s="2138" customFormat="1">
      <c r="B88" s="2166"/>
      <c r="C88" s="2166"/>
      <c r="D88" s="2166"/>
      <c r="E88" s="2166"/>
      <c r="F88" s="2166"/>
      <c r="G88" s="2167"/>
      <c r="H88" s="2166"/>
      <c r="I88" s="2167"/>
      <c r="J88" s="2166"/>
      <c r="K88" s="2166"/>
      <c r="L88" s="2167"/>
      <c r="M88" s="2166"/>
      <c r="N88" s="2166"/>
      <c r="O88" s="2167"/>
      <c r="P88" s="2166"/>
      <c r="Q88" s="2166"/>
      <c r="R88" s="2168"/>
    </row>
    <row r="89" spans="2:18" s="2138" customFormat="1">
      <c r="B89" s="2166"/>
      <c r="C89" s="2166"/>
      <c r="D89" s="2166"/>
      <c r="E89" s="2166"/>
      <c r="F89" s="2166"/>
      <c r="G89" s="2167"/>
      <c r="H89" s="2166"/>
      <c r="I89" s="2167"/>
      <c r="J89" s="2166"/>
      <c r="K89" s="2166"/>
      <c r="L89" s="2167"/>
      <c r="M89" s="2166"/>
      <c r="N89" s="2166"/>
      <c r="O89" s="2167"/>
      <c r="P89" s="2166"/>
      <c r="Q89" s="2166"/>
      <c r="R89" s="2168"/>
    </row>
    <row r="90" spans="2:18" s="2138" customFormat="1">
      <c r="B90" s="2166"/>
      <c r="C90" s="2166"/>
      <c r="D90" s="2166"/>
      <c r="E90" s="2166"/>
      <c r="F90" s="2166"/>
      <c r="G90" s="2167"/>
      <c r="H90" s="2166"/>
      <c r="I90" s="2167"/>
      <c r="J90" s="2166"/>
      <c r="K90" s="2166"/>
      <c r="L90" s="2167"/>
      <c r="M90" s="2166"/>
      <c r="N90" s="2166"/>
      <c r="O90" s="2167"/>
      <c r="P90" s="2166"/>
      <c r="Q90" s="2166"/>
      <c r="R90" s="2168"/>
    </row>
    <row r="91" spans="2:18" s="2138" customFormat="1">
      <c r="B91" s="2166"/>
      <c r="C91" s="2166"/>
      <c r="D91" s="2166"/>
      <c r="E91" s="2166"/>
      <c r="F91" s="2166"/>
      <c r="G91" s="2167"/>
      <c r="H91" s="2166"/>
      <c r="I91" s="2167"/>
      <c r="J91" s="2166"/>
      <c r="K91" s="2166"/>
      <c r="L91" s="2167"/>
      <c r="M91" s="2166"/>
      <c r="N91" s="2166"/>
      <c r="O91" s="2167"/>
      <c r="P91" s="2166"/>
      <c r="Q91" s="2166"/>
      <c r="R91" s="2168"/>
    </row>
    <row r="92" spans="2:18" s="2138" customFormat="1">
      <c r="B92" s="2166"/>
      <c r="C92" s="2166"/>
      <c r="D92" s="2166"/>
      <c r="E92" s="2166"/>
      <c r="F92" s="2166"/>
      <c r="G92" s="2167"/>
      <c r="H92" s="2166"/>
      <c r="I92" s="2167"/>
      <c r="J92" s="2166"/>
      <c r="K92" s="2166"/>
      <c r="L92" s="2167"/>
      <c r="M92" s="2166"/>
      <c r="N92" s="2166"/>
      <c r="O92" s="2167"/>
      <c r="P92" s="2166"/>
      <c r="Q92" s="2166"/>
      <c r="R92" s="2168"/>
    </row>
    <row r="93" spans="2:18" s="2138" customFormat="1">
      <c r="B93" s="2166"/>
      <c r="C93" s="2166"/>
      <c r="D93" s="2166"/>
      <c r="E93" s="2166"/>
      <c r="F93" s="2166"/>
      <c r="G93" s="2167"/>
      <c r="H93" s="2166"/>
      <c r="I93" s="2167"/>
      <c r="J93" s="2166"/>
      <c r="K93" s="2166"/>
      <c r="L93" s="2167"/>
      <c r="M93" s="2166"/>
      <c r="N93" s="2166"/>
      <c r="O93" s="2167"/>
      <c r="P93" s="2166"/>
      <c r="Q93" s="2166"/>
      <c r="R93" s="2168"/>
    </row>
    <row r="94" spans="2:18" s="2138" customFormat="1">
      <c r="B94" s="2166"/>
      <c r="C94" s="2166"/>
      <c r="D94" s="2166"/>
      <c r="E94" s="2166"/>
      <c r="F94" s="2166"/>
      <c r="G94" s="2167"/>
      <c r="H94" s="2166"/>
      <c r="I94" s="2167"/>
      <c r="J94" s="2166"/>
      <c r="K94" s="2166"/>
      <c r="L94" s="2167"/>
      <c r="M94" s="2166"/>
      <c r="N94" s="2166"/>
      <c r="O94" s="2167"/>
      <c r="P94" s="2166"/>
      <c r="Q94" s="2166"/>
      <c r="R94" s="2168"/>
    </row>
    <row r="95" spans="2:18" s="2138" customFormat="1">
      <c r="B95" s="2166"/>
      <c r="C95" s="2166"/>
      <c r="D95" s="2166"/>
      <c r="E95" s="2166"/>
      <c r="F95" s="2166"/>
      <c r="G95" s="2167"/>
      <c r="H95" s="2166"/>
      <c r="I95" s="2167"/>
      <c r="J95" s="2166"/>
      <c r="K95" s="2166"/>
      <c r="L95" s="2167"/>
      <c r="M95" s="2166"/>
      <c r="N95" s="2166"/>
      <c r="O95" s="2167"/>
      <c r="P95" s="2166"/>
      <c r="Q95" s="2166"/>
      <c r="R95" s="2168"/>
    </row>
    <row r="96" spans="2:18" s="2138" customFormat="1">
      <c r="B96" s="2166"/>
      <c r="C96" s="2166"/>
      <c r="D96" s="2166"/>
      <c r="E96" s="2166"/>
      <c r="F96" s="2166"/>
      <c r="G96" s="2167"/>
      <c r="H96" s="2166"/>
      <c r="I96" s="2167"/>
      <c r="J96" s="2166"/>
      <c r="K96" s="2166"/>
      <c r="L96" s="2167"/>
      <c r="M96" s="2166"/>
      <c r="N96" s="2166"/>
      <c r="O96" s="2167"/>
      <c r="P96" s="2166"/>
      <c r="Q96" s="2166"/>
      <c r="R96" s="2168"/>
    </row>
    <row r="97" spans="2:18" s="2138" customFormat="1">
      <c r="B97" s="2166"/>
      <c r="C97" s="2166"/>
      <c r="D97" s="2166"/>
      <c r="E97" s="2166"/>
      <c r="F97" s="2166"/>
      <c r="G97" s="2167"/>
      <c r="H97" s="2166"/>
      <c r="I97" s="2167"/>
      <c r="J97" s="2166"/>
      <c r="K97" s="2166"/>
      <c r="L97" s="2167"/>
      <c r="M97" s="2166"/>
      <c r="N97" s="2166"/>
      <c r="O97" s="2167"/>
      <c r="P97" s="2166"/>
      <c r="Q97" s="2166"/>
      <c r="R97" s="2168"/>
    </row>
    <row r="98" spans="2:18" s="2138" customFormat="1">
      <c r="B98" s="2166"/>
      <c r="C98" s="2166"/>
      <c r="D98" s="2166"/>
      <c r="E98" s="2166"/>
      <c r="F98" s="2166"/>
      <c r="G98" s="2167"/>
      <c r="H98" s="2166"/>
      <c r="I98" s="2167"/>
      <c r="J98" s="2166"/>
      <c r="K98" s="2166"/>
      <c r="L98" s="2167"/>
      <c r="M98" s="2166"/>
      <c r="N98" s="2166"/>
      <c r="O98" s="2167"/>
      <c r="P98" s="2166"/>
      <c r="Q98" s="2166"/>
      <c r="R98" s="2168"/>
    </row>
    <row r="99" spans="2:18" s="2138" customFormat="1">
      <c r="B99" s="2166"/>
      <c r="C99" s="2166"/>
      <c r="D99" s="2166"/>
      <c r="E99" s="2166"/>
      <c r="F99" s="2166"/>
      <c r="G99" s="2167"/>
      <c r="H99" s="2166"/>
      <c r="I99" s="2167"/>
      <c r="J99" s="2166"/>
      <c r="K99" s="2166"/>
      <c r="L99" s="2167"/>
      <c r="M99" s="2166"/>
      <c r="N99" s="2166"/>
      <c r="O99" s="2167"/>
      <c r="P99" s="2166"/>
      <c r="Q99" s="2166"/>
      <c r="R99" s="2168"/>
    </row>
    <row r="100" spans="2:18" s="2138" customFormat="1">
      <c r="B100" s="2166"/>
      <c r="C100" s="2166"/>
      <c r="D100" s="2166"/>
      <c r="E100" s="2166"/>
      <c r="F100" s="2166"/>
      <c r="G100" s="2167"/>
      <c r="H100" s="2166"/>
      <c r="I100" s="2167"/>
      <c r="J100" s="2166"/>
      <c r="K100" s="2166"/>
      <c r="L100" s="2167"/>
      <c r="M100" s="2166"/>
      <c r="N100" s="2166"/>
      <c r="O100" s="2167"/>
      <c r="P100" s="2166"/>
      <c r="Q100" s="2166"/>
      <c r="R100" s="2168"/>
    </row>
    <row r="101" spans="2:18" s="2138" customFormat="1">
      <c r="B101" s="2166"/>
      <c r="C101" s="2166"/>
      <c r="D101" s="2166"/>
      <c r="E101" s="2166"/>
      <c r="F101" s="2166"/>
      <c r="G101" s="2167"/>
      <c r="H101" s="2166"/>
      <c r="I101" s="2167"/>
      <c r="J101" s="2166"/>
      <c r="K101" s="2166"/>
      <c r="L101" s="2167"/>
      <c r="M101" s="2166"/>
      <c r="N101" s="2166"/>
      <c r="O101" s="2167"/>
      <c r="P101" s="2166"/>
      <c r="Q101" s="2166"/>
      <c r="R101" s="2168"/>
    </row>
    <row r="102" spans="2:18" s="2138" customFormat="1">
      <c r="B102" s="2166"/>
      <c r="C102" s="2166"/>
      <c r="D102" s="2166"/>
      <c r="E102" s="2166"/>
      <c r="F102" s="2166"/>
      <c r="G102" s="2167"/>
      <c r="H102" s="2166"/>
      <c r="I102" s="2167"/>
      <c r="J102" s="2166"/>
      <c r="K102" s="2166"/>
      <c r="L102" s="2167"/>
      <c r="M102" s="2166"/>
      <c r="N102" s="2166"/>
      <c r="O102" s="2167"/>
      <c r="P102" s="2166"/>
      <c r="Q102" s="2166"/>
      <c r="R102" s="2168"/>
    </row>
    <row r="103" spans="2:18" s="2138" customFormat="1">
      <c r="B103" s="2166"/>
      <c r="C103" s="2166"/>
      <c r="D103" s="2166"/>
      <c r="E103" s="2166"/>
      <c r="F103" s="2166"/>
      <c r="G103" s="2167"/>
      <c r="H103" s="2166"/>
      <c r="I103" s="2167"/>
      <c r="J103" s="2166"/>
      <c r="K103" s="2166"/>
      <c r="L103" s="2167"/>
      <c r="M103" s="2166"/>
      <c r="N103" s="2166"/>
      <c r="O103" s="2167"/>
      <c r="P103" s="2166"/>
      <c r="Q103" s="2166"/>
      <c r="R103" s="2168"/>
    </row>
    <row r="104" spans="2:18" s="2138" customFormat="1">
      <c r="B104" s="2166"/>
      <c r="C104" s="2166"/>
      <c r="D104" s="2166"/>
      <c r="E104" s="2166"/>
      <c r="F104" s="2166"/>
      <c r="G104" s="2167"/>
      <c r="H104" s="2166"/>
      <c r="I104" s="2167"/>
      <c r="J104" s="2166"/>
      <c r="K104" s="2166"/>
      <c r="L104" s="2167"/>
      <c r="M104" s="2166"/>
      <c r="N104" s="2166"/>
      <c r="O104" s="2167"/>
      <c r="P104" s="2166"/>
      <c r="Q104" s="2166"/>
      <c r="R104" s="2168"/>
    </row>
    <row r="105" spans="2:18" s="2138" customFormat="1">
      <c r="B105" s="2166"/>
      <c r="C105" s="2166"/>
      <c r="D105" s="2166"/>
      <c r="E105" s="2166"/>
      <c r="F105" s="2166"/>
      <c r="G105" s="2167"/>
      <c r="H105" s="2166"/>
      <c r="I105" s="2167"/>
      <c r="J105" s="2166"/>
      <c r="K105" s="2166"/>
      <c r="L105" s="2167"/>
      <c r="M105" s="2166"/>
      <c r="N105" s="2166"/>
      <c r="O105" s="2167"/>
      <c r="P105" s="2166"/>
      <c r="Q105" s="2166"/>
      <c r="R105" s="2168"/>
    </row>
    <row r="106" spans="2:18" s="2138" customFormat="1">
      <c r="B106" s="2166"/>
      <c r="C106" s="2166"/>
      <c r="D106" s="2166"/>
      <c r="E106" s="2166"/>
      <c r="F106" s="2166"/>
      <c r="G106" s="2167"/>
      <c r="H106" s="2166"/>
      <c r="I106" s="2167"/>
      <c r="J106" s="2166"/>
      <c r="K106" s="2166"/>
      <c r="L106" s="2167"/>
      <c r="M106" s="2166"/>
      <c r="N106" s="2166"/>
      <c r="O106" s="2167"/>
      <c r="P106" s="2166"/>
      <c r="Q106" s="2166"/>
      <c r="R106" s="2168"/>
    </row>
    <row r="107" spans="2:18" s="2138" customFormat="1">
      <c r="B107" s="2166"/>
      <c r="C107" s="2166"/>
      <c r="D107" s="2166"/>
      <c r="E107" s="2166"/>
      <c r="F107" s="2166"/>
      <c r="G107" s="2167"/>
      <c r="H107" s="2166"/>
      <c r="I107" s="2167"/>
      <c r="J107" s="2166"/>
      <c r="K107" s="2166"/>
      <c r="L107" s="2167"/>
      <c r="M107" s="2166"/>
      <c r="N107" s="2166"/>
      <c r="O107" s="2167"/>
      <c r="P107" s="2166"/>
      <c r="Q107" s="2166"/>
      <c r="R107" s="2168"/>
    </row>
    <row r="108" spans="2:18" s="2138" customFormat="1">
      <c r="B108" s="2166"/>
      <c r="C108" s="2166"/>
      <c r="D108" s="2166"/>
      <c r="E108" s="2166"/>
      <c r="F108" s="2166"/>
      <c r="G108" s="2167"/>
      <c r="H108" s="2166"/>
      <c r="I108" s="2167"/>
      <c r="J108" s="2166"/>
      <c r="K108" s="2166"/>
      <c r="L108" s="2167"/>
      <c r="M108" s="2166"/>
      <c r="N108" s="2166"/>
      <c r="O108" s="2167"/>
      <c r="P108" s="2166"/>
      <c r="Q108" s="2166"/>
      <c r="R108" s="2168"/>
    </row>
    <row r="109" spans="2:18" s="2138" customFormat="1">
      <c r="B109" s="2166"/>
      <c r="C109" s="2166"/>
      <c r="D109" s="2166"/>
      <c r="E109" s="2166"/>
      <c r="F109" s="2166"/>
      <c r="G109" s="2167"/>
      <c r="H109" s="2166"/>
      <c r="I109" s="2167"/>
      <c r="J109" s="2166"/>
      <c r="K109" s="2166"/>
      <c r="L109" s="2167"/>
      <c r="M109" s="2166"/>
      <c r="N109" s="2166"/>
      <c r="O109" s="2167"/>
      <c r="P109" s="2166"/>
      <c r="Q109" s="2166"/>
      <c r="R109" s="2168"/>
    </row>
    <row r="110" spans="2:18" s="2138" customFormat="1">
      <c r="B110" s="2166"/>
      <c r="C110" s="2166"/>
      <c r="D110" s="2166"/>
      <c r="E110" s="2166"/>
      <c r="F110" s="2166"/>
      <c r="G110" s="2167"/>
      <c r="H110" s="2166"/>
      <c r="I110" s="2167"/>
      <c r="J110" s="2166"/>
      <c r="K110" s="2166"/>
      <c r="L110" s="2167"/>
      <c r="M110" s="2166"/>
      <c r="N110" s="2166"/>
      <c r="O110" s="2167"/>
      <c r="P110" s="2166"/>
      <c r="Q110" s="2166"/>
      <c r="R110" s="2168"/>
    </row>
    <row r="111" spans="2:18" s="2138" customFormat="1">
      <c r="B111" s="2166"/>
      <c r="C111" s="2166"/>
      <c r="D111" s="2166"/>
      <c r="E111" s="2166"/>
      <c r="F111" s="2166"/>
      <c r="G111" s="2167"/>
      <c r="H111" s="2166"/>
      <c r="I111" s="2167"/>
      <c r="J111" s="2166"/>
      <c r="K111" s="2166"/>
      <c r="L111" s="2167"/>
      <c r="M111" s="2166"/>
      <c r="N111" s="2166"/>
      <c r="O111" s="2167"/>
      <c r="P111" s="2166"/>
      <c r="Q111" s="2166"/>
      <c r="R111" s="2168"/>
    </row>
    <row r="112" spans="2:18" s="2138" customFormat="1">
      <c r="B112" s="2166"/>
      <c r="C112" s="2166"/>
      <c r="D112" s="2166"/>
      <c r="E112" s="2166"/>
      <c r="F112" s="2166"/>
      <c r="G112" s="2167"/>
      <c r="H112" s="2166"/>
      <c r="I112" s="2167"/>
      <c r="J112" s="2166"/>
      <c r="K112" s="2166"/>
      <c r="L112" s="2167"/>
      <c r="M112" s="2166"/>
      <c r="N112" s="2166"/>
      <c r="O112" s="2167"/>
      <c r="P112" s="2166"/>
      <c r="Q112" s="2166"/>
      <c r="R112" s="2168"/>
    </row>
    <row r="113" spans="2:18" s="2138" customFormat="1">
      <c r="B113" s="2166"/>
      <c r="C113" s="2166"/>
      <c r="D113" s="2166"/>
      <c r="E113" s="2166"/>
      <c r="F113" s="2166"/>
      <c r="G113" s="2167"/>
      <c r="H113" s="2166"/>
      <c r="I113" s="2167"/>
      <c r="J113" s="2166"/>
      <c r="K113" s="2166"/>
      <c r="L113" s="2167"/>
      <c r="M113" s="2166"/>
      <c r="N113" s="2166"/>
      <c r="O113" s="2167"/>
      <c r="P113" s="2166"/>
      <c r="Q113" s="2166"/>
      <c r="R113" s="2168"/>
    </row>
    <row r="114" spans="2:18" s="2138" customFormat="1">
      <c r="B114" s="2166"/>
      <c r="C114" s="2166"/>
      <c r="D114" s="2166"/>
      <c r="E114" s="2166"/>
      <c r="F114" s="2166"/>
      <c r="G114" s="2167"/>
      <c r="H114" s="2166"/>
      <c r="I114" s="2167"/>
      <c r="J114" s="2166"/>
      <c r="K114" s="2166"/>
      <c r="L114" s="2167"/>
      <c r="M114" s="2166"/>
      <c r="N114" s="2166"/>
      <c r="O114" s="2167"/>
      <c r="P114" s="2166"/>
      <c r="Q114" s="2166"/>
      <c r="R114" s="2168"/>
    </row>
    <row r="115" spans="2:18" s="2138" customFormat="1">
      <c r="B115" s="2166"/>
      <c r="C115" s="2166"/>
      <c r="D115" s="2166"/>
      <c r="E115" s="2166"/>
      <c r="F115" s="2166"/>
      <c r="G115" s="2167"/>
      <c r="H115" s="2166"/>
      <c r="I115" s="2167"/>
      <c r="J115" s="2166"/>
      <c r="K115" s="2166"/>
      <c r="L115" s="2167"/>
      <c r="M115" s="2166"/>
      <c r="N115" s="2166"/>
      <c r="O115" s="2167"/>
      <c r="P115" s="2166"/>
      <c r="Q115" s="2166"/>
      <c r="R115" s="2168"/>
    </row>
    <row r="116" spans="2:18" s="2138" customFormat="1">
      <c r="B116" s="2166"/>
      <c r="C116" s="2166"/>
      <c r="D116" s="2166"/>
      <c r="E116" s="2166"/>
      <c r="F116" s="2166"/>
      <c r="G116" s="2167"/>
      <c r="H116" s="2166"/>
      <c r="I116" s="2167"/>
      <c r="J116" s="2166"/>
      <c r="K116" s="2166"/>
      <c r="L116" s="2167"/>
      <c r="M116" s="2166"/>
      <c r="N116" s="2166"/>
      <c r="O116" s="2167"/>
      <c r="P116" s="2166"/>
      <c r="Q116" s="2166"/>
      <c r="R116" s="2168"/>
    </row>
    <row r="117" spans="2:18" s="2138" customFormat="1">
      <c r="B117" s="2166"/>
      <c r="C117" s="2166"/>
      <c r="D117" s="2166"/>
      <c r="E117" s="2166"/>
      <c r="F117" s="2166"/>
      <c r="G117" s="2167"/>
      <c r="H117" s="2166"/>
      <c r="I117" s="2167"/>
      <c r="J117" s="2166"/>
      <c r="K117" s="2166"/>
      <c r="L117" s="2167"/>
      <c r="M117" s="2166"/>
      <c r="N117" s="2166"/>
      <c r="O117" s="2167"/>
      <c r="P117" s="2166"/>
      <c r="Q117" s="2166"/>
      <c r="R117" s="2168"/>
    </row>
    <row r="118" spans="2:18" s="2138" customFormat="1">
      <c r="B118" s="2166"/>
      <c r="C118" s="2166"/>
      <c r="D118" s="2166"/>
      <c r="E118" s="2166"/>
      <c r="F118" s="2166"/>
      <c r="G118" s="2167"/>
      <c r="H118" s="2166"/>
      <c r="I118" s="2167"/>
      <c r="J118" s="2166"/>
      <c r="K118" s="2166"/>
      <c r="L118" s="2167"/>
      <c r="M118" s="2166"/>
      <c r="N118" s="2166"/>
      <c r="O118" s="2167"/>
      <c r="P118" s="2166"/>
      <c r="Q118" s="2166"/>
      <c r="R118" s="2168"/>
    </row>
    <row r="119" spans="2:18" s="2138" customFormat="1">
      <c r="B119" s="2166"/>
      <c r="C119" s="2166"/>
      <c r="D119" s="2166"/>
      <c r="E119" s="2166"/>
      <c r="F119" s="2166"/>
      <c r="G119" s="2167"/>
      <c r="H119" s="2166"/>
      <c r="I119" s="2167"/>
      <c r="J119" s="2166"/>
      <c r="K119" s="2166"/>
      <c r="L119" s="2167"/>
      <c r="M119" s="2166"/>
      <c r="N119" s="2166"/>
      <c r="O119" s="2167"/>
      <c r="P119" s="2166"/>
      <c r="Q119" s="2166"/>
      <c r="R119" s="2168"/>
    </row>
    <row r="120" spans="2:18" s="2138" customFormat="1">
      <c r="B120" s="2166"/>
      <c r="C120" s="2166"/>
      <c r="D120" s="2166"/>
      <c r="E120" s="2166"/>
      <c r="F120" s="2166"/>
      <c r="G120" s="2167"/>
      <c r="H120" s="2166"/>
      <c r="I120" s="2167"/>
      <c r="J120" s="2166"/>
      <c r="K120" s="2166"/>
      <c r="L120" s="2167"/>
      <c r="M120" s="2166"/>
      <c r="N120" s="2166"/>
      <c r="O120" s="2167"/>
      <c r="P120" s="2166"/>
      <c r="Q120" s="2166"/>
      <c r="R120" s="2168"/>
    </row>
    <row r="121" spans="2:18" s="2138" customFormat="1">
      <c r="B121" s="2166"/>
      <c r="C121" s="2166"/>
      <c r="D121" s="2166"/>
      <c r="E121" s="2166"/>
      <c r="F121" s="2166"/>
      <c r="G121" s="2167"/>
      <c r="H121" s="2166"/>
      <c r="I121" s="2167"/>
      <c r="J121" s="2166"/>
      <c r="K121" s="2166"/>
      <c r="L121" s="2167"/>
      <c r="M121" s="2166"/>
      <c r="N121" s="2166"/>
      <c r="O121" s="2167"/>
      <c r="P121" s="2166"/>
      <c r="Q121" s="2166"/>
      <c r="R121" s="2168"/>
    </row>
    <row r="122" spans="2:18" s="2138" customFormat="1">
      <c r="B122" s="2166"/>
      <c r="C122" s="2166"/>
      <c r="D122" s="2166"/>
      <c r="E122" s="2166"/>
      <c r="F122" s="2166"/>
      <c r="G122" s="2167"/>
      <c r="H122" s="2166"/>
      <c r="I122" s="2167"/>
      <c r="J122" s="2166"/>
      <c r="K122" s="2166"/>
      <c r="L122" s="2167"/>
      <c r="M122" s="2166"/>
      <c r="N122" s="2166"/>
      <c r="O122" s="2167"/>
      <c r="P122" s="2166"/>
      <c r="Q122" s="2166"/>
      <c r="R122" s="2168"/>
    </row>
    <row r="123" spans="2:18" s="2138" customFormat="1">
      <c r="B123" s="2166"/>
      <c r="C123" s="2166"/>
      <c r="D123" s="2166"/>
      <c r="E123" s="2166"/>
      <c r="F123" s="2166"/>
      <c r="G123" s="2167"/>
      <c r="H123" s="2166"/>
      <c r="I123" s="2167"/>
      <c r="J123" s="2166"/>
      <c r="K123" s="2166"/>
      <c r="L123" s="2167"/>
      <c r="M123" s="2166"/>
      <c r="N123" s="2166"/>
      <c r="O123" s="2167"/>
      <c r="P123" s="2166"/>
      <c r="Q123" s="2166"/>
      <c r="R123" s="2168"/>
    </row>
    <row r="124" spans="2:18" s="2138" customFormat="1">
      <c r="B124" s="2166"/>
      <c r="C124" s="2166"/>
      <c r="D124" s="2166"/>
      <c r="E124" s="2166"/>
      <c r="F124" s="2166"/>
      <c r="G124" s="2167"/>
      <c r="H124" s="2166"/>
      <c r="I124" s="2167"/>
      <c r="J124" s="2166"/>
      <c r="K124" s="2166"/>
      <c r="L124" s="2167"/>
      <c r="M124" s="2166"/>
      <c r="N124" s="2166"/>
      <c r="O124" s="2167"/>
      <c r="P124" s="2166"/>
      <c r="Q124" s="2166"/>
      <c r="R124" s="2168"/>
    </row>
    <row r="125" spans="2:18" s="2138" customFormat="1">
      <c r="B125" s="2166"/>
      <c r="C125" s="2166"/>
      <c r="D125" s="2166"/>
      <c r="E125" s="2166"/>
      <c r="F125" s="2166"/>
      <c r="G125" s="2167"/>
      <c r="H125" s="2166"/>
      <c r="I125" s="2167"/>
      <c r="J125" s="2166"/>
      <c r="K125" s="2166"/>
      <c r="L125" s="2167"/>
      <c r="M125" s="2166"/>
      <c r="N125" s="2166"/>
      <c r="O125" s="2167"/>
      <c r="P125" s="2166"/>
      <c r="Q125" s="2166"/>
      <c r="R125" s="2168"/>
    </row>
    <row r="126" spans="2:18" s="2138" customFormat="1">
      <c r="B126" s="2166"/>
      <c r="C126" s="2166"/>
      <c r="D126" s="2166"/>
      <c r="E126" s="2166"/>
      <c r="F126" s="2166"/>
      <c r="G126" s="2167"/>
      <c r="H126" s="2166"/>
      <c r="I126" s="2167"/>
      <c r="J126" s="2166"/>
      <c r="K126" s="2166"/>
      <c r="L126" s="2167"/>
      <c r="M126" s="2166"/>
      <c r="N126" s="2166"/>
      <c r="O126" s="2167"/>
      <c r="P126" s="2166"/>
      <c r="Q126" s="2166"/>
      <c r="R126" s="2168"/>
    </row>
    <row r="127" spans="2:18" s="2138" customFormat="1">
      <c r="B127" s="2166"/>
      <c r="C127" s="2166"/>
      <c r="D127" s="2166"/>
      <c r="E127" s="2166"/>
      <c r="F127" s="2166"/>
      <c r="G127" s="2167"/>
      <c r="H127" s="2166"/>
      <c r="I127" s="2167"/>
      <c r="J127" s="2166"/>
      <c r="K127" s="2166"/>
      <c r="L127" s="2167"/>
      <c r="M127" s="2166"/>
      <c r="N127" s="2166"/>
      <c r="O127" s="2167"/>
      <c r="P127" s="2166"/>
      <c r="Q127" s="2166"/>
      <c r="R127" s="2168"/>
    </row>
    <row r="128" spans="2:18" s="2138" customFormat="1">
      <c r="B128" s="2166"/>
      <c r="C128" s="2166"/>
      <c r="D128" s="2166"/>
      <c r="E128" s="2166"/>
      <c r="F128" s="2166"/>
      <c r="G128" s="2167"/>
      <c r="H128" s="2166"/>
      <c r="I128" s="2167"/>
      <c r="J128" s="2166"/>
      <c r="K128" s="2166"/>
      <c r="L128" s="2167"/>
      <c r="M128" s="2166"/>
      <c r="N128" s="2166"/>
      <c r="O128" s="2167"/>
      <c r="P128" s="2166"/>
      <c r="Q128" s="2166"/>
      <c r="R128" s="2168"/>
    </row>
    <row r="129" spans="2:18" s="2138" customFormat="1">
      <c r="B129" s="2166"/>
      <c r="C129" s="2166"/>
      <c r="D129" s="2166"/>
      <c r="E129" s="2166"/>
      <c r="F129" s="2166"/>
      <c r="G129" s="2167"/>
      <c r="H129" s="2166"/>
      <c r="I129" s="2167"/>
      <c r="J129" s="2166"/>
      <c r="K129" s="2166"/>
      <c r="L129" s="2167"/>
      <c r="M129" s="2166"/>
      <c r="N129" s="2166"/>
      <c r="O129" s="2167"/>
      <c r="P129" s="2166"/>
      <c r="Q129" s="2166"/>
      <c r="R129" s="2168"/>
    </row>
    <row r="130" spans="2:18" s="2138" customFormat="1">
      <c r="B130" s="2166"/>
      <c r="C130" s="2166"/>
      <c r="D130" s="2166"/>
      <c r="E130" s="2166"/>
      <c r="F130" s="2166"/>
      <c r="G130" s="2167"/>
      <c r="H130" s="2166"/>
      <c r="I130" s="2167"/>
      <c r="J130" s="2166"/>
      <c r="K130" s="2166"/>
      <c r="L130" s="2167"/>
      <c r="M130" s="2166"/>
      <c r="N130" s="2166"/>
      <c r="O130" s="2167"/>
      <c r="P130" s="2166"/>
      <c r="Q130" s="2166"/>
      <c r="R130" s="2168"/>
    </row>
    <row r="131" spans="2:18" s="2138" customFormat="1">
      <c r="B131" s="2166"/>
      <c r="C131" s="2166"/>
      <c r="D131" s="2166"/>
      <c r="E131" s="2166"/>
      <c r="F131" s="2166"/>
      <c r="G131" s="2167"/>
      <c r="H131" s="2166"/>
      <c r="I131" s="2167"/>
      <c r="J131" s="2166"/>
      <c r="K131" s="2166"/>
      <c r="L131" s="2167"/>
      <c r="M131" s="2166"/>
      <c r="N131" s="2166"/>
      <c r="O131" s="2167"/>
      <c r="P131" s="2166"/>
      <c r="Q131" s="2166"/>
      <c r="R131" s="2168"/>
    </row>
    <row r="132" spans="2:18" s="2138" customFormat="1">
      <c r="B132" s="2166"/>
      <c r="C132" s="2166"/>
      <c r="D132" s="2166"/>
      <c r="E132" s="2166"/>
      <c r="F132" s="2166"/>
      <c r="G132" s="2167"/>
      <c r="H132" s="2166"/>
      <c r="I132" s="2167"/>
      <c r="J132" s="2166"/>
      <c r="K132" s="2166"/>
      <c r="L132" s="2167"/>
      <c r="M132" s="2166"/>
      <c r="N132" s="2166"/>
      <c r="O132" s="2167"/>
      <c r="P132" s="2166"/>
      <c r="Q132" s="2166"/>
      <c r="R132" s="2168"/>
    </row>
    <row r="133" spans="2:18" s="2138" customFormat="1">
      <c r="B133" s="2166"/>
      <c r="C133" s="2166"/>
      <c r="D133" s="2166"/>
      <c r="E133" s="2166"/>
      <c r="F133" s="2166"/>
      <c r="G133" s="2167"/>
      <c r="H133" s="2166"/>
      <c r="I133" s="2167"/>
      <c r="J133" s="2166"/>
      <c r="K133" s="2166"/>
      <c r="L133" s="2167"/>
      <c r="M133" s="2166"/>
      <c r="N133" s="2166"/>
      <c r="O133" s="2167"/>
      <c r="P133" s="2166"/>
      <c r="Q133" s="2166"/>
      <c r="R133" s="2168"/>
    </row>
    <row r="134" spans="2:18" s="2138" customFormat="1">
      <c r="B134" s="2166"/>
      <c r="C134" s="2166"/>
      <c r="D134" s="2166"/>
      <c r="E134" s="2166"/>
      <c r="F134" s="2166"/>
      <c r="G134" s="2167"/>
      <c r="H134" s="2166"/>
      <c r="I134" s="2167"/>
      <c r="J134" s="2166"/>
      <c r="K134" s="2166"/>
      <c r="L134" s="2167"/>
      <c r="M134" s="2166"/>
      <c r="N134" s="2166"/>
      <c r="O134" s="2167"/>
      <c r="P134" s="2166"/>
      <c r="Q134" s="2166"/>
      <c r="R134" s="2168"/>
    </row>
    <row r="135" spans="2:18" s="2138" customFormat="1">
      <c r="B135" s="2166"/>
      <c r="C135" s="2166"/>
      <c r="D135" s="2166"/>
      <c r="E135" s="2166"/>
      <c r="F135" s="2166"/>
      <c r="G135" s="2167"/>
      <c r="H135" s="2166"/>
      <c r="I135" s="2167"/>
      <c r="J135" s="2166"/>
      <c r="K135" s="2166"/>
      <c r="L135" s="2167"/>
      <c r="M135" s="2166"/>
      <c r="N135" s="2166"/>
      <c r="O135" s="2167"/>
      <c r="P135" s="2166"/>
      <c r="Q135" s="2166"/>
      <c r="R135" s="2168"/>
    </row>
    <row r="136" spans="2:18" s="2138" customFormat="1">
      <c r="B136" s="2166"/>
      <c r="C136" s="2166"/>
      <c r="D136" s="2166"/>
      <c r="E136" s="2166"/>
      <c r="F136" s="2166"/>
      <c r="G136" s="2167"/>
      <c r="H136" s="2166"/>
      <c r="I136" s="2167"/>
      <c r="J136" s="2166"/>
      <c r="K136" s="2166"/>
      <c r="L136" s="2167"/>
      <c r="M136" s="2166"/>
      <c r="N136" s="2166"/>
      <c r="O136" s="2167"/>
      <c r="P136" s="2166"/>
      <c r="Q136" s="2166"/>
      <c r="R136" s="2168"/>
    </row>
    <row r="137" spans="2:18" s="2138" customFormat="1">
      <c r="B137" s="2166"/>
      <c r="C137" s="2166"/>
      <c r="D137" s="2166"/>
      <c r="E137" s="2166"/>
      <c r="F137" s="2166"/>
      <c r="G137" s="2167"/>
      <c r="H137" s="2166"/>
      <c r="I137" s="2167"/>
      <c r="J137" s="2166"/>
      <c r="K137" s="2166"/>
      <c r="L137" s="2167"/>
      <c r="M137" s="2166"/>
      <c r="N137" s="2166"/>
      <c r="O137" s="2167"/>
      <c r="P137" s="2166"/>
      <c r="Q137" s="2166"/>
      <c r="R137" s="2168"/>
    </row>
    <row r="138" spans="2:18" s="2138" customFormat="1">
      <c r="B138" s="2166"/>
      <c r="C138" s="2166"/>
      <c r="D138" s="2166"/>
      <c r="E138" s="2166"/>
      <c r="F138" s="2166"/>
      <c r="G138" s="2167"/>
      <c r="H138" s="2166"/>
      <c r="I138" s="2167"/>
      <c r="J138" s="2166"/>
      <c r="K138" s="2166"/>
      <c r="L138" s="2167"/>
      <c r="M138" s="2166"/>
      <c r="N138" s="2166"/>
      <c r="O138" s="2167"/>
      <c r="P138" s="2166"/>
      <c r="Q138" s="2166"/>
      <c r="R138" s="2168"/>
    </row>
    <row r="139" spans="2:18" s="2138" customFormat="1">
      <c r="B139" s="2166"/>
      <c r="C139" s="2166"/>
      <c r="D139" s="2166"/>
      <c r="E139" s="2166"/>
      <c r="F139" s="2166"/>
      <c r="G139" s="2167"/>
      <c r="H139" s="2166"/>
      <c r="I139" s="2167"/>
      <c r="J139" s="2166"/>
      <c r="K139" s="2166"/>
      <c r="L139" s="2167"/>
      <c r="M139" s="2166"/>
      <c r="N139" s="2166"/>
      <c r="O139" s="2167"/>
      <c r="P139" s="2166"/>
      <c r="Q139" s="2166"/>
      <c r="R139" s="2168"/>
    </row>
    <row r="140" spans="2:18" s="2138" customFormat="1">
      <c r="B140" s="2166"/>
      <c r="C140" s="2166"/>
      <c r="D140" s="2166"/>
      <c r="E140" s="2166"/>
      <c r="F140" s="2166"/>
      <c r="G140" s="2167"/>
      <c r="H140" s="2166"/>
      <c r="I140" s="2167"/>
      <c r="J140" s="2166"/>
      <c r="K140" s="2166"/>
      <c r="L140" s="2167"/>
      <c r="M140" s="2166"/>
      <c r="N140" s="2166"/>
      <c r="O140" s="2167"/>
      <c r="P140" s="2166"/>
      <c r="Q140" s="2166"/>
      <c r="R140" s="2168"/>
    </row>
    <row r="141" spans="2:18" s="2138" customFormat="1">
      <c r="B141" s="2166"/>
      <c r="C141" s="2166"/>
      <c r="D141" s="2166"/>
      <c r="E141" s="2166"/>
      <c r="F141" s="2166"/>
      <c r="G141" s="2167"/>
      <c r="H141" s="2166"/>
      <c r="I141" s="2167"/>
      <c r="J141" s="2166"/>
      <c r="K141" s="2166"/>
      <c r="L141" s="2167"/>
      <c r="M141" s="2166"/>
      <c r="N141" s="2166"/>
      <c r="O141" s="2167"/>
      <c r="P141" s="2166"/>
      <c r="Q141" s="2166"/>
      <c r="R141" s="2168"/>
    </row>
    <row r="142" spans="2:18" s="2138" customFormat="1">
      <c r="B142" s="2166"/>
      <c r="C142" s="2166"/>
      <c r="D142" s="2166"/>
      <c r="E142" s="2166"/>
      <c r="F142" s="2166"/>
      <c r="G142" s="2167"/>
      <c r="H142" s="2166"/>
      <c r="I142" s="2167"/>
      <c r="J142" s="2166"/>
      <c r="K142" s="2166"/>
      <c r="L142" s="2167"/>
      <c r="M142" s="2166"/>
      <c r="N142" s="2166"/>
      <c r="O142" s="2167"/>
      <c r="P142" s="2166"/>
      <c r="Q142" s="2166"/>
      <c r="R142" s="2168"/>
    </row>
    <row r="143" spans="2:18" s="2138" customFormat="1">
      <c r="B143" s="2166"/>
      <c r="C143" s="2166"/>
      <c r="D143" s="2166"/>
      <c r="E143" s="2166"/>
      <c r="F143" s="2166"/>
      <c r="G143" s="2167"/>
      <c r="H143" s="2166"/>
      <c r="I143" s="2167"/>
      <c r="J143" s="2166"/>
      <c r="K143" s="2166"/>
      <c r="L143" s="2167"/>
      <c r="M143" s="2166"/>
      <c r="N143" s="2166"/>
      <c r="O143" s="2167"/>
      <c r="P143" s="2166"/>
      <c r="Q143" s="2166"/>
      <c r="R143" s="2168"/>
    </row>
    <row r="144" spans="2:18" s="2138" customFormat="1">
      <c r="B144" s="2166"/>
      <c r="C144" s="2166"/>
      <c r="D144" s="2166"/>
      <c r="E144" s="2166"/>
      <c r="F144" s="2166"/>
      <c r="G144" s="2167"/>
      <c r="H144" s="2166"/>
      <c r="I144" s="2167"/>
      <c r="J144" s="2166"/>
      <c r="K144" s="2166"/>
      <c r="L144" s="2167"/>
      <c r="M144" s="2166"/>
      <c r="N144" s="2166"/>
      <c r="O144" s="2167"/>
      <c r="P144" s="2166"/>
      <c r="Q144" s="2166"/>
      <c r="R144" s="2168"/>
    </row>
    <row r="145" spans="2:18" s="2138" customFormat="1">
      <c r="B145" s="2166"/>
      <c r="C145" s="2166"/>
      <c r="D145" s="2166"/>
      <c r="E145" s="2166"/>
      <c r="F145" s="2166"/>
      <c r="G145" s="2167"/>
      <c r="H145" s="2166"/>
      <c r="I145" s="2167"/>
      <c r="J145" s="2166"/>
      <c r="K145" s="2166"/>
      <c r="L145" s="2167"/>
      <c r="M145" s="2166"/>
      <c r="N145" s="2166"/>
      <c r="O145" s="2167"/>
      <c r="P145" s="2166"/>
      <c r="Q145" s="2166"/>
      <c r="R145" s="2168"/>
    </row>
    <row r="146" spans="2:18" s="2138" customFormat="1">
      <c r="B146" s="2166"/>
      <c r="C146" s="2166"/>
      <c r="D146" s="2166"/>
      <c r="E146" s="2166"/>
      <c r="F146" s="2166"/>
      <c r="G146" s="2167"/>
      <c r="H146" s="2166"/>
      <c r="I146" s="2167"/>
      <c r="J146" s="2166"/>
      <c r="K146" s="2166"/>
      <c r="L146" s="2167"/>
      <c r="M146" s="2166"/>
      <c r="N146" s="2166"/>
      <c r="O146" s="2167"/>
      <c r="P146" s="2166"/>
      <c r="Q146" s="2166"/>
      <c r="R146" s="2168"/>
    </row>
    <row r="147" spans="2:18" s="2138" customFormat="1">
      <c r="B147" s="2166"/>
      <c r="C147" s="2166"/>
      <c r="D147" s="2166"/>
      <c r="E147" s="2166"/>
      <c r="F147" s="2166"/>
      <c r="G147" s="2167"/>
      <c r="H147" s="2166"/>
      <c r="I147" s="2167"/>
      <c r="J147" s="2166"/>
      <c r="K147" s="2166"/>
      <c r="L147" s="2167"/>
      <c r="M147" s="2166"/>
      <c r="N147" s="2166"/>
      <c r="O147" s="2167"/>
      <c r="P147" s="2166"/>
      <c r="Q147" s="2166"/>
      <c r="R147" s="2168"/>
    </row>
    <row r="148" spans="2:18" s="2138" customFormat="1">
      <c r="B148" s="2166"/>
      <c r="C148" s="2166"/>
      <c r="D148" s="2166"/>
      <c r="E148" s="2166"/>
      <c r="F148" s="2166"/>
      <c r="G148" s="2167"/>
      <c r="H148" s="2166"/>
      <c r="I148" s="2167"/>
      <c r="J148" s="2166"/>
      <c r="K148" s="2166"/>
      <c r="L148" s="2167"/>
      <c r="M148" s="2166"/>
      <c r="N148" s="2166"/>
      <c r="O148" s="2167"/>
      <c r="P148" s="2166"/>
      <c r="Q148" s="2166"/>
      <c r="R148" s="2168"/>
    </row>
    <row r="149" spans="2:18" s="2138" customFormat="1">
      <c r="B149" s="2166"/>
      <c r="C149" s="2166"/>
      <c r="D149" s="2166"/>
      <c r="E149" s="2166"/>
      <c r="F149" s="2166"/>
      <c r="G149" s="2167"/>
      <c r="H149" s="2166"/>
      <c r="I149" s="2167"/>
      <c r="J149" s="2166"/>
      <c r="K149" s="2166"/>
      <c r="L149" s="2167"/>
      <c r="M149" s="2166"/>
      <c r="N149" s="2166"/>
      <c r="O149" s="2167"/>
      <c r="P149" s="2166"/>
      <c r="Q149" s="2166"/>
      <c r="R149" s="2168"/>
    </row>
    <row r="150" spans="2:18" s="2138" customFormat="1">
      <c r="B150" s="2166"/>
      <c r="C150" s="2166"/>
      <c r="D150" s="2166"/>
      <c r="E150" s="2166"/>
      <c r="F150" s="2166"/>
      <c r="G150" s="2167"/>
      <c r="H150" s="2166"/>
      <c r="I150" s="2167"/>
      <c r="J150" s="2166"/>
      <c r="K150" s="2166"/>
      <c r="L150" s="2167"/>
      <c r="M150" s="2166"/>
      <c r="N150" s="2166"/>
      <c r="O150" s="2167"/>
      <c r="P150" s="2166"/>
      <c r="Q150" s="2166"/>
      <c r="R150" s="2168"/>
    </row>
    <row r="151" spans="2:18" s="2138" customFormat="1">
      <c r="B151" s="2166"/>
      <c r="C151" s="2166"/>
      <c r="D151" s="2166"/>
      <c r="E151" s="2166"/>
      <c r="F151" s="2166"/>
      <c r="G151" s="2167"/>
      <c r="H151" s="2166"/>
      <c r="I151" s="2167"/>
      <c r="J151" s="2166"/>
      <c r="K151" s="2166"/>
      <c r="L151" s="2167"/>
      <c r="M151" s="2166"/>
      <c r="N151" s="2166"/>
      <c r="O151" s="2167"/>
      <c r="P151" s="2166"/>
      <c r="Q151" s="2166"/>
      <c r="R151" s="2168"/>
    </row>
    <row r="152" spans="2:18" s="2138" customFormat="1">
      <c r="B152" s="2166"/>
      <c r="C152" s="2166"/>
      <c r="D152" s="2166"/>
      <c r="E152" s="2166"/>
      <c r="F152" s="2166"/>
      <c r="G152" s="2167"/>
      <c r="H152" s="2166"/>
      <c r="I152" s="2167"/>
      <c r="J152" s="2166"/>
      <c r="K152" s="2166"/>
      <c r="L152" s="2167"/>
      <c r="M152" s="2166"/>
      <c r="N152" s="2166"/>
      <c r="O152" s="2167"/>
      <c r="P152" s="2166"/>
      <c r="Q152" s="2166"/>
      <c r="R152" s="2168"/>
    </row>
    <row r="153" spans="2:18" s="2138" customFormat="1">
      <c r="B153" s="2166"/>
      <c r="C153" s="2166"/>
      <c r="D153" s="2166"/>
      <c r="E153" s="2166"/>
      <c r="F153" s="2166"/>
      <c r="G153" s="2167"/>
      <c r="H153" s="2166"/>
      <c r="I153" s="2167"/>
      <c r="J153" s="2166"/>
      <c r="K153" s="2166"/>
      <c r="L153" s="2167"/>
      <c r="M153" s="2166"/>
      <c r="N153" s="2166"/>
      <c r="O153" s="2167"/>
      <c r="P153" s="2166"/>
      <c r="Q153" s="2166"/>
      <c r="R153" s="2168"/>
    </row>
    <row r="154" spans="2:18" s="2138" customFormat="1">
      <c r="B154" s="2166"/>
      <c r="C154" s="2166"/>
      <c r="D154" s="2166"/>
      <c r="E154" s="2166"/>
      <c r="F154" s="2166"/>
      <c r="G154" s="2167"/>
      <c r="H154" s="2166"/>
      <c r="I154" s="2167"/>
      <c r="J154" s="2166"/>
      <c r="K154" s="2166"/>
      <c r="L154" s="2167"/>
      <c r="M154" s="2166"/>
      <c r="N154" s="2166"/>
      <c r="O154" s="2167"/>
      <c r="P154" s="2166"/>
      <c r="Q154" s="2166"/>
      <c r="R154" s="2168"/>
    </row>
    <row r="155" spans="2:18" s="2138" customFormat="1">
      <c r="B155" s="2166"/>
      <c r="C155" s="2166"/>
      <c r="D155" s="2166"/>
      <c r="E155" s="2166"/>
      <c r="F155" s="2166"/>
      <c r="G155" s="2167"/>
      <c r="H155" s="2166"/>
      <c r="I155" s="2167"/>
      <c r="J155" s="2166"/>
      <c r="K155" s="2166"/>
      <c r="L155" s="2167"/>
      <c r="M155" s="2166"/>
      <c r="N155" s="2166"/>
      <c r="O155" s="2167"/>
      <c r="P155" s="2166"/>
      <c r="Q155" s="2166"/>
      <c r="R155" s="2168"/>
    </row>
    <row r="156" spans="2:18" s="2138" customFormat="1">
      <c r="B156" s="2166"/>
      <c r="C156" s="2166"/>
      <c r="D156" s="2166"/>
      <c r="E156" s="2166"/>
      <c r="F156" s="2166"/>
      <c r="G156" s="2167"/>
      <c r="H156" s="2166"/>
      <c r="I156" s="2167"/>
      <c r="J156" s="2166"/>
      <c r="K156" s="2166"/>
      <c r="L156" s="2167"/>
      <c r="M156" s="2166"/>
      <c r="N156" s="2166"/>
      <c r="O156" s="2167"/>
      <c r="P156" s="2166"/>
      <c r="Q156" s="2166"/>
      <c r="R156" s="2168"/>
    </row>
    <row r="157" spans="2:18" s="2138" customFormat="1">
      <c r="B157" s="2166"/>
      <c r="C157" s="2166"/>
      <c r="D157" s="2166"/>
      <c r="E157" s="2166"/>
      <c r="F157" s="2166"/>
      <c r="G157" s="2167"/>
      <c r="H157" s="2166"/>
      <c r="I157" s="2167"/>
      <c r="J157" s="2166"/>
      <c r="K157" s="2166"/>
      <c r="L157" s="2167"/>
      <c r="M157" s="2166"/>
      <c r="N157" s="2166"/>
      <c r="O157" s="2167"/>
      <c r="P157" s="2166"/>
      <c r="Q157" s="2166"/>
      <c r="R157" s="2168"/>
    </row>
    <row r="158" spans="2:18" s="2138" customFormat="1">
      <c r="B158" s="2166"/>
      <c r="C158" s="2166"/>
      <c r="D158" s="2166"/>
      <c r="E158" s="2166"/>
      <c r="F158" s="2166"/>
      <c r="G158" s="2167"/>
      <c r="H158" s="2166"/>
      <c r="I158" s="2167"/>
      <c r="J158" s="2166"/>
      <c r="K158" s="2166"/>
      <c r="L158" s="2167"/>
      <c r="M158" s="2166"/>
      <c r="N158" s="2166"/>
      <c r="O158" s="2167"/>
      <c r="P158" s="2166"/>
      <c r="Q158" s="2166"/>
      <c r="R158" s="2168"/>
    </row>
    <row r="159" spans="2:18" s="2138" customFormat="1">
      <c r="B159" s="2166"/>
      <c r="C159" s="2166"/>
      <c r="D159" s="2166"/>
      <c r="E159" s="2166"/>
      <c r="F159" s="2166"/>
      <c r="G159" s="2167"/>
      <c r="H159" s="2166"/>
      <c r="I159" s="2167"/>
      <c r="J159" s="2166"/>
      <c r="K159" s="2166"/>
      <c r="L159" s="2167"/>
      <c r="M159" s="2166"/>
      <c r="N159" s="2166"/>
      <c r="O159" s="2167"/>
      <c r="P159" s="2166"/>
      <c r="Q159" s="2166"/>
      <c r="R159" s="2168"/>
    </row>
    <row r="160" spans="2:18" s="2138" customFormat="1">
      <c r="B160" s="2166"/>
      <c r="C160" s="2166"/>
      <c r="D160" s="2166"/>
      <c r="E160" s="2166"/>
      <c r="F160" s="2166"/>
      <c r="G160" s="2167"/>
      <c r="H160" s="2166"/>
      <c r="I160" s="2167"/>
      <c r="J160" s="2166"/>
      <c r="K160" s="2166"/>
      <c r="L160" s="2167"/>
      <c r="M160" s="2166"/>
      <c r="N160" s="2166"/>
      <c r="O160" s="2167"/>
      <c r="P160" s="2166"/>
      <c r="Q160" s="2166"/>
      <c r="R160" s="2168"/>
    </row>
    <row r="161" spans="2:18" s="2138" customFormat="1">
      <c r="B161" s="2166"/>
      <c r="C161" s="2166"/>
      <c r="D161" s="2166"/>
      <c r="E161" s="2166"/>
      <c r="F161" s="2166"/>
      <c r="G161" s="2167"/>
      <c r="H161" s="2166"/>
      <c r="I161" s="2167"/>
      <c r="J161" s="2166"/>
      <c r="K161" s="2166"/>
      <c r="L161" s="2167"/>
      <c r="M161" s="2166"/>
      <c r="N161" s="2166"/>
      <c r="O161" s="2167"/>
      <c r="P161" s="2166"/>
      <c r="Q161" s="2166"/>
      <c r="R161" s="2168"/>
    </row>
    <row r="162" spans="2:18" s="2138" customFormat="1">
      <c r="B162" s="2166"/>
      <c r="C162" s="2166"/>
      <c r="D162" s="2166"/>
      <c r="E162" s="2166"/>
      <c r="F162" s="2166"/>
      <c r="G162" s="2167"/>
      <c r="H162" s="2166"/>
      <c r="I162" s="2167"/>
      <c r="J162" s="2166"/>
      <c r="K162" s="2166"/>
      <c r="L162" s="2167"/>
      <c r="M162" s="2166"/>
      <c r="N162" s="2166"/>
      <c r="O162" s="2167"/>
      <c r="P162" s="2166"/>
      <c r="Q162" s="2166"/>
      <c r="R162" s="2168"/>
    </row>
    <row r="163" spans="2:18" s="2138" customFormat="1">
      <c r="B163" s="2166"/>
      <c r="C163" s="2166"/>
      <c r="D163" s="2166"/>
      <c r="E163" s="2166"/>
      <c r="F163" s="2166"/>
      <c r="G163" s="2167"/>
      <c r="H163" s="2166"/>
      <c r="I163" s="2167"/>
      <c r="J163" s="2166"/>
      <c r="K163" s="2166"/>
      <c r="L163" s="2167"/>
      <c r="M163" s="2166"/>
      <c r="N163" s="2166"/>
      <c r="O163" s="2167"/>
      <c r="P163" s="2166"/>
      <c r="Q163" s="2166"/>
      <c r="R163" s="2168"/>
    </row>
    <row r="164" spans="2:18" s="2138" customFormat="1">
      <c r="B164" s="2166"/>
      <c r="C164" s="2166"/>
      <c r="D164" s="2166"/>
      <c r="E164" s="2166"/>
      <c r="F164" s="2166"/>
      <c r="G164" s="2167"/>
      <c r="H164" s="2166"/>
      <c r="I164" s="2167"/>
      <c r="J164" s="2166"/>
      <c r="K164" s="2166"/>
      <c r="L164" s="2167"/>
      <c r="M164" s="2166"/>
      <c r="N164" s="2166"/>
      <c r="O164" s="2167"/>
      <c r="P164" s="2166"/>
      <c r="Q164" s="2166"/>
      <c r="R164" s="2168"/>
    </row>
    <row r="165" spans="2:18" s="2138" customFormat="1">
      <c r="B165" s="2166"/>
      <c r="C165" s="2166"/>
      <c r="D165" s="2166"/>
      <c r="E165" s="2166"/>
      <c r="F165" s="2166"/>
      <c r="G165" s="2167"/>
      <c r="H165" s="2166"/>
      <c r="I165" s="2167"/>
      <c r="J165" s="2166"/>
      <c r="K165" s="2166"/>
      <c r="L165" s="2167"/>
      <c r="M165" s="2166"/>
      <c r="N165" s="2166"/>
      <c r="O165" s="2167"/>
      <c r="P165" s="2166"/>
      <c r="Q165" s="2166"/>
      <c r="R165" s="2168"/>
    </row>
    <row r="166" spans="2:18" s="2138" customFormat="1">
      <c r="B166" s="2166"/>
      <c r="C166" s="2166"/>
      <c r="D166" s="2166"/>
      <c r="E166" s="2166"/>
      <c r="F166" s="2166"/>
      <c r="G166" s="2167"/>
      <c r="H166" s="2166"/>
      <c r="I166" s="2167"/>
      <c r="J166" s="2166"/>
      <c r="K166" s="2166"/>
      <c r="L166" s="2167"/>
      <c r="M166" s="2166"/>
      <c r="N166" s="2166"/>
      <c r="O166" s="2167"/>
      <c r="P166" s="2166"/>
      <c r="Q166" s="2166"/>
      <c r="R166" s="2168"/>
    </row>
    <row r="167" spans="2:18" s="2138" customFormat="1">
      <c r="B167" s="2166"/>
      <c r="C167" s="2166"/>
      <c r="D167" s="2166"/>
      <c r="E167" s="2166"/>
      <c r="F167" s="2166"/>
      <c r="G167" s="2167"/>
      <c r="H167" s="2166"/>
      <c r="I167" s="2167"/>
      <c r="J167" s="2166"/>
      <c r="K167" s="2166"/>
      <c r="L167" s="2167"/>
      <c r="M167" s="2166"/>
      <c r="N167" s="2166"/>
      <c r="O167" s="2167"/>
      <c r="P167" s="2166"/>
      <c r="Q167" s="2166"/>
      <c r="R167" s="2168"/>
    </row>
    <row r="168" spans="2:18" s="2138" customFormat="1">
      <c r="B168" s="2166"/>
      <c r="C168" s="2166"/>
      <c r="D168" s="2166"/>
      <c r="E168" s="2166"/>
      <c r="F168" s="2166"/>
      <c r="G168" s="2167"/>
      <c r="H168" s="2166"/>
      <c r="I168" s="2167"/>
      <c r="J168" s="2166"/>
      <c r="K168" s="2166"/>
      <c r="L168" s="2167"/>
      <c r="M168" s="2166"/>
      <c r="N168" s="2166"/>
      <c r="O168" s="2167"/>
      <c r="P168" s="2166"/>
      <c r="Q168" s="2166"/>
      <c r="R168" s="2168"/>
    </row>
    <row r="169" spans="2:18" s="2138" customFormat="1">
      <c r="B169" s="2166"/>
      <c r="C169" s="2166"/>
      <c r="D169" s="2166"/>
      <c r="E169" s="2166"/>
      <c r="F169" s="2166"/>
      <c r="G169" s="2167"/>
      <c r="H169" s="2166"/>
      <c r="I169" s="2167"/>
      <c r="J169" s="2166"/>
      <c r="K169" s="2166"/>
      <c r="L169" s="2167"/>
      <c r="M169" s="2166"/>
      <c r="N169" s="2166"/>
      <c r="O169" s="2167"/>
      <c r="P169" s="2166"/>
      <c r="Q169" s="2166"/>
      <c r="R169" s="2168"/>
    </row>
    <row r="170" spans="2:18" s="2138" customFormat="1">
      <c r="B170" s="2166"/>
      <c r="C170" s="2166"/>
      <c r="D170" s="2166"/>
      <c r="E170" s="2166"/>
      <c r="F170" s="2166"/>
      <c r="G170" s="2167"/>
      <c r="H170" s="2166"/>
      <c r="I170" s="2167"/>
      <c r="J170" s="2166"/>
      <c r="K170" s="2166"/>
      <c r="L170" s="2167"/>
      <c r="M170" s="2166"/>
      <c r="N170" s="2166"/>
      <c r="O170" s="2167"/>
      <c r="P170" s="2166"/>
      <c r="Q170" s="2166"/>
      <c r="R170" s="2168"/>
    </row>
    <row r="171" spans="2:18" s="2138" customFormat="1">
      <c r="B171" s="2166"/>
      <c r="C171" s="2166"/>
      <c r="D171" s="2166"/>
      <c r="E171" s="2166"/>
      <c r="F171" s="2166"/>
      <c r="G171" s="2167"/>
      <c r="H171" s="2166"/>
      <c r="I171" s="2167"/>
      <c r="J171" s="2166"/>
      <c r="K171" s="2166"/>
      <c r="L171" s="2167"/>
      <c r="M171" s="2166"/>
      <c r="N171" s="2166"/>
      <c r="O171" s="2167"/>
      <c r="P171" s="2166"/>
      <c r="Q171" s="2166"/>
      <c r="R171" s="2168"/>
    </row>
    <row r="172" spans="2:18" s="2138" customFormat="1">
      <c r="B172" s="2166"/>
      <c r="C172" s="2166"/>
      <c r="D172" s="2166"/>
      <c r="E172" s="2166"/>
      <c r="F172" s="2166"/>
      <c r="G172" s="2167"/>
      <c r="H172" s="2166"/>
      <c r="I172" s="2167"/>
      <c r="J172" s="2166"/>
      <c r="K172" s="2166"/>
      <c r="L172" s="2167"/>
      <c r="M172" s="2166"/>
      <c r="N172" s="2166"/>
      <c r="O172" s="2167"/>
      <c r="P172" s="2166"/>
      <c r="Q172" s="2166"/>
      <c r="R172" s="2168"/>
    </row>
    <row r="173" spans="2:18" s="2138" customFormat="1">
      <c r="B173" s="2166"/>
      <c r="C173" s="2166"/>
      <c r="D173" s="2166"/>
      <c r="E173" s="2166"/>
      <c r="F173" s="2166"/>
      <c r="G173" s="2167"/>
      <c r="H173" s="2166"/>
      <c r="I173" s="2167"/>
      <c r="J173" s="2166"/>
      <c r="K173" s="2166"/>
      <c r="L173" s="2167"/>
      <c r="M173" s="2166"/>
      <c r="N173" s="2166"/>
      <c r="O173" s="2167"/>
      <c r="P173" s="2166"/>
      <c r="Q173" s="2166"/>
      <c r="R173" s="2168"/>
    </row>
    <row r="174" spans="2:18" s="2138" customFormat="1">
      <c r="B174" s="2166"/>
      <c r="C174" s="2166"/>
      <c r="D174" s="2166"/>
      <c r="E174" s="2166"/>
      <c r="F174" s="2166"/>
      <c r="G174" s="2167"/>
      <c r="H174" s="2166"/>
      <c r="I174" s="2167"/>
      <c r="J174" s="2166"/>
      <c r="K174" s="2166"/>
      <c r="L174" s="2167"/>
      <c r="M174" s="2166"/>
      <c r="N174" s="2166"/>
      <c r="O174" s="2167"/>
      <c r="P174" s="2166"/>
      <c r="Q174" s="2166"/>
      <c r="R174" s="2168"/>
    </row>
    <row r="175" spans="2:18" s="2138" customFormat="1">
      <c r="B175" s="2166"/>
      <c r="C175" s="2166"/>
      <c r="D175" s="2166"/>
      <c r="E175" s="2166"/>
      <c r="F175" s="2166"/>
      <c r="G175" s="2167"/>
      <c r="H175" s="2166"/>
      <c r="I175" s="2167"/>
      <c r="J175" s="2166"/>
      <c r="K175" s="2166"/>
      <c r="L175" s="2167"/>
      <c r="M175" s="2166"/>
      <c r="N175" s="2166"/>
      <c r="O175" s="2167"/>
      <c r="P175" s="2166"/>
      <c r="Q175" s="2166"/>
      <c r="R175" s="2168"/>
    </row>
    <row r="176" spans="2:18" s="2138" customFormat="1">
      <c r="B176" s="2166"/>
      <c r="C176" s="2166"/>
      <c r="D176" s="2166"/>
      <c r="E176" s="2166"/>
      <c r="F176" s="2166"/>
      <c r="G176" s="2167"/>
      <c r="H176" s="2166"/>
      <c r="I176" s="2167"/>
      <c r="J176" s="2166"/>
      <c r="K176" s="2166"/>
      <c r="L176" s="2167"/>
      <c r="M176" s="2166"/>
      <c r="N176" s="2166"/>
      <c r="O176" s="2167"/>
      <c r="P176" s="2166"/>
      <c r="Q176" s="2166"/>
      <c r="R176" s="2168"/>
    </row>
    <row r="177" spans="1:18" s="2138" customFormat="1">
      <c r="B177" s="2166"/>
      <c r="C177" s="2166"/>
      <c r="D177" s="2166"/>
      <c r="E177" s="2166"/>
      <c r="F177" s="2166"/>
      <c r="G177" s="2167"/>
      <c r="H177" s="2166"/>
      <c r="I177" s="2167"/>
      <c r="J177" s="2166"/>
      <c r="K177" s="2166"/>
      <c r="L177" s="2167"/>
      <c r="M177" s="2166"/>
      <c r="N177" s="2166"/>
      <c r="O177" s="2167"/>
      <c r="P177" s="2166"/>
      <c r="Q177" s="2166"/>
      <c r="R177" s="2168"/>
    </row>
    <row r="178" spans="1:18" s="2138" customFormat="1">
      <c r="B178" s="2166"/>
      <c r="C178" s="2166"/>
      <c r="D178" s="2166"/>
      <c r="E178" s="2166"/>
      <c r="F178" s="2166"/>
      <c r="G178" s="2167"/>
      <c r="H178" s="2166"/>
      <c r="I178" s="2167"/>
      <c r="J178" s="2166"/>
      <c r="K178" s="2166"/>
      <c r="L178" s="2167"/>
      <c r="M178" s="2166"/>
      <c r="N178" s="2166"/>
      <c r="O178" s="2167"/>
      <c r="P178" s="2166"/>
      <c r="Q178" s="2166"/>
      <c r="R178" s="2168"/>
    </row>
    <row r="179" spans="1:18" s="2138" customFormat="1">
      <c r="B179" s="2166"/>
      <c r="C179" s="2166"/>
      <c r="D179" s="2166"/>
      <c r="E179" s="2166"/>
      <c r="F179" s="2166"/>
      <c r="G179" s="2167"/>
      <c r="H179" s="2166"/>
      <c r="I179" s="2167"/>
      <c r="J179" s="2166"/>
      <c r="K179" s="2166"/>
      <c r="L179" s="2167"/>
      <c r="M179" s="2166"/>
      <c r="N179" s="2166"/>
      <c r="O179" s="2167"/>
      <c r="P179" s="2166"/>
      <c r="Q179" s="2166"/>
      <c r="R179" s="2168"/>
    </row>
    <row r="180" spans="1:18" s="2138" customFormat="1">
      <c r="B180" s="2166"/>
      <c r="C180" s="2166"/>
      <c r="D180" s="2166"/>
      <c r="E180" s="2166"/>
      <c r="F180" s="2166"/>
      <c r="G180" s="2167"/>
      <c r="H180" s="2166"/>
      <c r="I180" s="2167"/>
      <c r="J180" s="2166"/>
      <c r="K180" s="2166"/>
      <c r="L180" s="2167"/>
      <c r="M180" s="2166"/>
      <c r="N180" s="2166"/>
      <c r="O180" s="2167"/>
      <c r="P180" s="2166"/>
      <c r="Q180" s="2166"/>
      <c r="R180" s="2168"/>
    </row>
    <row r="181" spans="1:18" s="2138" customFormat="1">
      <c r="B181" s="2166"/>
      <c r="C181" s="2166"/>
      <c r="D181" s="2166"/>
      <c r="E181" s="2166"/>
      <c r="F181" s="2166"/>
      <c r="G181" s="2167"/>
      <c r="H181" s="2166"/>
      <c r="I181" s="2167"/>
      <c r="J181" s="2166"/>
      <c r="K181" s="2166"/>
      <c r="L181" s="2167"/>
      <c r="M181" s="2166"/>
      <c r="N181" s="2166"/>
      <c r="O181" s="2167"/>
      <c r="P181" s="2166"/>
      <c r="Q181" s="2166"/>
      <c r="R181" s="2168"/>
    </row>
    <row r="182" spans="1:18" s="2138" customFormat="1">
      <c r="B182" s="2166"/>
      <c r="C182" s="2166"/>
      <c r="D182" s="2166"/>
      <c r="E182" s="2166"/>
      <c r="F182" s="2166"/>
      <c r="G182" s="2167"/>
      <c r="H182" s="2166"/>
      <c r="I182" s="2167"/>
      <c r="J182" s="2166"/>
      <c r="K182" s="2166"/>
      <c r="L182" s="2167"/>
      <c r="M182" s="2166"/>
      <c r="N182" s="2166"/>
      <c r="O182" s="2167"/>
      <c r="P182" s="2166"/>
      <c r="Q182" s="2166"/>
      <c r="R182" s="2168"/>
    </row>
    <row r="183" spans="1:18" s="2138" customFormat="1">
      <c r="B183" s="2166"/>
      <c r="C183" s="2166"/>
      <c r="D183" s="2166"/>
      <c r="E183" s="2166"/>
      <c r="F183" s="2166"/>
      <c r="G183" s="2167"/>
      <c r="H183" s="2166"/>
      <c r="I183" s="2167"/>
      <c r="J183" s="2166"/>
      <c r="K183" s="2166"/>
      <c r="L183" s="2167"/>
      <c r="M183" s="2166"/>
      <c r="N183" s="2166"/>
      <c r="O183" s="2167"/>
      <c r="P183" s="2166"/>
      <c r="Q183" s="2166"/>
      <c r="R183" s="2168"/>
    </row>
    <row r="184" spans="1:18" s="2138" customFormat="1">
      <c r="B184" s="2166"/>
      <c r="C184" s="2166"/>
      <c r="D184" s="2166"/>
      <c r="E184" s="2166"/>
      <c r="F184" s="2166"/>
      <c r="G184" s="2167"/>
      <c r="H184" s="2166"/>
      <c r="I184" s="2167"/>
      <c r="J184" s="2166"/>
      <c r="K184" s="2166"/>
      <c r="L184" s="2167"/>
      <c r="M184" s="2166"/>
      <c r="N184" s="2166"/>
      <c r="O184" s="2167"/>
      <c r="P184" s="2166"/>
      <c r="Q184" s="2166"/>
      <c r="R184" s="2168"/>
    </row>
    <row r="185" spans="1:18" s="2138"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8"/>
      <c r="B186" s="2166"/>
      <c r="C186" s="2166"/>
      <c r="E186" s="2166"/>
      <c r="F186" s="2166"/>
      <c r="G186" s="2167"/>
    </row>
    <row r="187" spans="1:18">
      <c r="A187" s="2138"/>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10" workbookViewId="0">
      <selection activeCell="C28" sqref="C28"/>
    </sheetView>
  </sheetViews>
  <sheetFormatPr defaultColWidth="14.625" defaultRowHeight="13.5"/>
  <cols>
    <col min="1" max="1" width="24.375" customWidth="1"/>
  </cols>
  <sheetData>
    <row r="1" spans="1:9" ht="16.5">
      <c r="A1" s="1830" t="s">
        <v>1226</v>
      </c>
      <c r="B1" s="1830">
        <f>SUM(B14:B23)</f>
        <v>140.46</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43230</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419.46969999999999</v>
      </c>
      <c r="C5" s="1830">
        <f ca="1">ROUND(B5*10000/$B$1,0)</f>
        <v>29864</v>
      </c>
      <c r="D5" s="1830" t="e">
        <f ca="1">ROUND(B5*10000/$B$2,0)</f>
        <v>#DIV/0!</v>
      </c>
      <c r="E5" s="1831"/>
      <c r="F5" s="1835"/>
      <c r="G5" s="1835"/>
    </row>
    <row r="6" spans="1:9" ht="16.5">
      <c r="A6" s="1830" t="s">
        <v>1234</v>
      </c>
      <c r="B6" s="1830">
        <f ca="1">SUM(G14:G23)</f>
        <v>419.46969999999999</v>
      </c>
      <c r="C6" s="1830">
        <f t="shared" ref="C6:C8" ca="1" si="0">ROUND(B6*10000/$B$1,0)</f>
        <v>29864</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2851</v>
      </c>
      <c r="B14" s="1834">
        <f>项目基本情况!C12</f>
        <v>140.46</v>
      </c>
      <c r="C14" s="1834">
        <f>项目基本情况!C13</f>
        <v>0</v>
      </c>
      <c r="D14" s="1834">
        <f ca="1">IF('数据-取费表'!B3="万元",IF(A14="估价对象1（结果表）",结果表!H121,'结果表 (1修多)'!H124),IF(A14="估价对象1（结果表）",结果表!H121,'结果表 (1修多)'!H124)/10000)</f>
        <v>419.46969999999999</v>
      </c>
      <c r="E14" s="1834">
        <f ca="1">ROUND(D14*10000/B14,0)</f>
        <v>29864</v>
      </c>
      <c r="F14" s="1834" t="e">
        <f ca="1">ROUND(D14*10000/C14,0)</f>
        <v>#DIV/0!</v>
      </c>
      <c r="G14" s="1834">
        <f ca="1">IF('数据-取费表'!B3="万元",IF(A14="估价对象1（结果表）",结果表!D125,'结果表 (1修多)'!D128),IF(A14="估价对象1（结果表）",结果表!D125,'结果表 (1修多)'!D128)/10000)</f>
        <v>419.46969999999999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H25" sqref="H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1766</v>
      </c>
      <c r="B1" s="2192"/>
      <c r="C1" s="2192"/>
      <c r="D1" s="2192"/>
      <c r="E1" s="2192"/>
      <c r="F1" s="2192"/>
      <c r="G1" s="2192"/>
      <c r="H1" s="2192"/>
      <c r="I1" s="2192"/>
    </row>
    <row r="2" spans="1:12" ht="21.75" customHeight="1">
      <c r="A2" s="2943" t="str">
        <f>项目基本情况!B1</f>
        <v>北京市预评估</v>
      </c>
      <c r="B2" s="2943"/>
      <c r="C2" s="2943"/>
      <c r="D2" s="2943"/>
      <c r="E2" s="2943"/>
      <c r="F2" s="2943"/>
      <c r="G2" s="2943"/>
      <c r="H2" s="2943"/>
      <c r="I2" s="2943"/>
    </row>
    <row r="3" spans="1:12" ht="12.75">
      <c r="A3" s="2949" t="s">
        <v>1767</v>
      </c>
      <c r="B3" s="2950"/>
      <c r="C3" s="2950"/>
      <c r="D3" s="2950"/>
      <c r="E3" s="2950"/>
      <c r="F3" s="2950"/>
      <c r="G3" s="2950"/>
      <c r="H3" s="2950"/>
      <c r="I3" s="2950"/>
    </row>
    <row r="4" spans="1:12" ht="14.25">
      <c r="A4" s="2194" t="s">
        <v>1768</v>
      </c>
      <c r="B4" s="2195" t="s">
        <v>1769</v>
      </c>
      <c r="C4" s="2196" t="s">
        <v>2849</v>
      </c>
      <c r="D4" s="2196" t="s">
        <v>2850</v>
      </c>
      <c r="E4" s="2954" t="s">
        <v>1770</v>
      </c>
      <c r="F4" s="2955"/>
      <c r="G4" s="2955"/>
      <c r="H4" s="2955"/>
      <c r="I4" s="2956"/>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4" t="s">
        <v>1771</v>
      </c>
      <c r="B5" s="2889">
        <v>25</v>
      </c>
      <c r="C5" s="2951">
        <v>8</v>
      </c>
      <c r="D5" s="2948">
        <v>2</v>
      </c>
      <c r="E5" s="56" t="s">
        <v>1772</v>
      </c>
      <c r="F5" s="2197"/>
      <c r="G5" s="2197"/>
      <c r="H5" s="2197"/>
      <c r="I5" s="2198"/>
    </row>
    <row r="6" spans="1:12" ht="12.75">
      <c r="A6" s="2944"/>
      <c r="B6" s="2889"/>
      <c r="C6" s="2952"/>
      <c r="D6" s="2948"/>
      <c r="E6" s="56" t="s">
        <v>1773</v>
      </c>
      <c r="F6" s="2197"/>
      <c r="G6" s="2197"/>
      <c r="H6" s="2197"/>
      <c r="I6" s="2198"/>
    </row>
    <row r="7" spans="1:12" ht="12.75">
      <c r="A7" s="2944"/>
      <c r="B7" s="2889"/>
      <c r="C7" s="2953"/>
      <c r="D7" s="2948"/>
      <c r="E7" s="56" t="s">
        <v>1774</v>
      </c>
      <c r="F7" s="2197"/>
      <c r="G7" s="2197"/>
      <c r="H7" s="2197"/>
      <c r="I7" s="2198"/>
    </row>
    <row r="8" spans="1:12" ht="12.75">
      <c r="A8" s="2944" t="s">
        <v>1775</v>
      </c>
      <c r="B8" s="2889">
        <v>15</v>
      </c>
      <c r="C8" s="2951"/>
      <c r="D8" s="2948"/>
      <c r="E8" s="56" t="s">
        <v>1776</v>
      </c>
      <c r="F8" s="2197"/>
      <c r="G8" s="2197"/>
      <c r="H8" s="2197"/>
      <c r="I8" s="2198"/>
    </row>
    <row r="9" spans="1:12" ht="12.75">
      <c r="A9" s="2944"/>
      <c r="B9" s="2889"/>
      <c r="C9" s="2953"/>
      <c r="D9" s="2948"/>
      <c r="E9" s="56" t="s">
        <v>1777</v>
      </c>
      <c r="F9" s="2197"/>
      <c r="G9" s="2197"/>
      <c r="H9" s="2197"/>
      <c r="I9" s="2198"/>
    </row>
    <row r="10" spans="1:12" ht="12.75">
      <c r="A10" s="2944" t="s">
        <v>1778</v>
      </c>
      <c r="B10" s="2889">
        <v>15</v>
      </c>
      <c r="C10" s="2951"/>
      <c r="D10" s="2948"/>
      <c r="E10" s="56" t="s">
        <v>1779</v>
      </c>
      <c r="F10" s="2197"/>
      <c r="G10" s="2197"/>
      <c r="H10" s="2197"/>
      <c r="I10" s="2198"/>
    </row>
    <row r="11" spans="1:12" ht="12.75">
      <c r="A11" s="2944"/>
      <c r="B11" s="2889"/>
      <c r="C11" s="2953"/>
      <c r="D11" s="2948"/>
      <c r="E11" s="56" t="s">
        <v>1780</v>
      </c>
      <c r="F11" s="2197"/>
      <c r="G11" s="2197"/>
      <c r="H11" s="2197"/>
      <c r="I11" s="2198"/>
    </row>
    <row r="12" spans="1:12" ht="12.75">
      <c r="A12" s="2944" t="s">
        <v>1781</v>
      </c>
      <c r="B12" s="2889">
        <v>15</v>
      </c>
      <c r="C12" s="2951"/>
      <c r="D12" s="2948"/>
      <c r="E12" s="56" t="s">
        <v>1782</v>
      </c>
      <c r="F12" s="2197"/>
      <c r="G12" s="2197"/>
      <c r="H12" s="2197"/>
      <c r="I12" s="2198"/>
    </row>
    <row r="13" spans="1:12" ht="12.75">
      <c r="A13" s="2944"/>
      <c r="B13" s="2889"/>
      <c r="C13" s="2953"/>
      <c r="D13" s="2948"/>
      <c r="E13" s="56" t="s">
        <v>1783</v>
      </c>
      <c r="F13" s="2197"/>
      <c r="G13" s="2197"/>
      <c r="H13" s="2197"/>
      <c r="I13" s="2198"/>
    </row>
    <row r="14" spans="1:12" ht="12.75">
      <c r="A14" s="2944" t="s">
        <v>1784</v>
      </c>
      <c r="B14" s="2889">
        <v>30</v>
      </c>
      <c r="C14" s="2951"/>
      <c r="D14" s="2948"/>
      <c r="E14" s="56" t="s">
        <v>1785</v>
      </c>
      <c r="F14" s="2197"/>
      <c r="G14" s="2197"/>
      <c r="H14" s="2197"/>
      <c r="I14" s="2198"/>
    </row>
    <row r="15" spans="1:12" ht="12.75">
      <c r="A15" s="2944"/>
      <c r="B15" s="2889"/>
      <c r="C15" s="2952"/>
      <c r="D15" s="2948"/>
      <c r="E15" s="56" t="s">
        <v>1786</v>
      </c>
      <c r="F15" s="2197"/>
      <c r="G15" s="2197"/>
      <c r="H15" s="2197"/>
      <c r="I15" s="2198"/>
    </row>
    <row r="16" spans="1:12" ht="12.75">
      <c r="A16" s="2944"/>
      <c r="B16" s="2889"/>
      <c r="C16" s="2953"/>
      <c r="D16" s="2948"/>
      <c r="E16" s="56" t="s">
        <v>1787</v>
      </c>
      <c r="F16" s="2197"/>
      <c r="G16" s="2197"/>
      <c r="H16" s="2197"/>
      <c r="I16" s="2198"/>
    </row>
    <row r="17" spans="1:35" ht="15">
      <c r="A17" s="2199" t="s">
        <v>1788</v>
      </c>
      <c r="B17" s="2200"/>
      <c r="C17" s="57">
        <f>SUM(C5:C16)</f>
        <v>8</v>
      </c>
      <c r="D17" s="57">
        <f>SUM(D5:D16)</f>
        <v>2</v>
      </c>
      <c r="E17" s="2192"/>
      <c r="F17" s="2192"/>
      <c r="G17" s="2192"/>
      <c r="H17" s="2192"/>
      <c r="I17" s="2192"/>
    </row>
    <row r="18" spans="1:35" ht="15.75" thickBot="1">
      <c r="A18" s="2201" t="s">
        <v>1789</v>
      </c>
      <c r="B18" s="2202"/>
      <c r="C18" s="58">
        <f>ROUND(C17/SUM(C17:D17),2)</f>
        <v>0.8</v>
      </c>
      <c r="D18" s="58">
        <f>1-C18</f>
        <v>0.19999999999999996</v>
      </c>
      <c r="E18" s="2192"/>
      <c r="F18" s="2192"/>
      <c r="G18" s="2192"/>
      <c r="H18" s="2192"/>
      <c r="I18" s="2192"/>
    </row>
    <row r="19" spans="1:35" ht="15">
      <c r="A19" s="2203" t="s">
        <v>1790</v>
      </c>
      <c r="B19" s="2204" t="s">
        <v>1791</v>
      </c>
      <c r="C19" s="59">
        <f ca="1">SUMIF(INDIRECT("'"&amp;C4&amp;"'"&amp;"!A:A"),结果表!B19,INDIRECT("'"&amp;C4&amp;"'"&amp;"!B:B"))</f>
        <v>4811176</v>
      </c>
      <c r="D19" s="60">
        <f ca="1">SUMIF(INDIRECT("'"&amp;D4&amp;"'"&amp;"!A:A"),结果表!B19,INDIRECT("'"&amp;D4&amp;"'"&amp;"!B:B"))</f>
        <v>1728894</v>
      </c>
      <c r="E19" s="2203" t="s">
        <v>1792</v>
      </c>
      <c r="F19" s="2204" t="s">
        <v>1791</v>
      </c>
      <c r="G19" s="61">
        <f ca="1">ROUND(C19*$C$18+D19*$D$18,0)</f>
        <v>4194720</v>
      </c>
      <c r="H19" s="2205" t="str">
        <f>'数据-取费表'!B3</f>
        <v>元</v>
      </c>
      <c r="I19" s="2192"/>
    </row>
    <row r="20" spans="1:35" ht="15">
      <c r="A20" s="2206"/>
      <c r="B20" s="2207" t="s">
        <v>1793</v>
      </c>
      <c r="C20" s="62">
        <f ca="1">SUMIF(INDIRECT("'"&amp;C4&amp;"'"&amp;"!A:A"),结果表!B20,INDIRECT("'"&amp;C4&amp;"'"&amp;"!B:B"))</f>
        <v>34253</v>
      </c>
      <c r="D20" s="63">
        <f ca="1">SUMIF(INDIRECT("'"&amp;D4&amp;"'"&amp;"!A:A"),结果表!B20,INDIRECT("'"&amp;D4&amp;"'"&amp;"!B:B"))</f>
        <v>12309</v>
      </c>
      <c r="E20" s="2206"/>
      <c r="F20" s="2207" t="s">
        <v>1793</v>
      </c>
      <c r="G20" s="64">
        <f ca="1">ROUND(C20*$C$18+D20*$D$18,0)</f>
        <v>29864</v>
      </c>
      <c r="H20" s="2208" t="s">
        <v>1794</v>
      </c>
      <c r="I20" s="2192"/>
    </row>
    <row r="21" spans="1:35" ht="15" customHeight="1" thickBot="1">
      <c r="A21" s="2209"/>
      <c r="B21" s="2210"/>
      <c r="C21" s="770"/>
      <c r="D21" s="771"/>
      <c r="E21" s="2209"/>
      <c r="F21" s="2210"/>
      <c r="G21" s="65"/>
      <c r="H21" s="2211"/>
      <c r="I21" s="2192"/>
    </row>
    <row r="22" spans="1:35" ht="15" thickBot="1">
      <c r="A22" s="2212" t="s">
        <v>1795</v>
      </c>
      <c r="B22" s="2213"/>
      <c r="C22" s="2214"/>
      <c r="D22" s="772">
        <f ca="1">IF(C19&lt;D19,D19/C19-1,C19/D19-1)</f>
        <v>1.7828056549447218</v>
      </c>
      <c r="E22" s="2192"/>
      <c r="F22" s="2192"/>
      <c r="G22" s="2192"/>
      <c r="H22" s="2192"/>
      <c r="I22" s="2192"/>
    </row>
    <row r="23" spans="1:35" ht="13.5" thickBot="1">
      <c r="A23" s="2192"/>
      <c r="B23" s="2192"/>
      <c r="C23" s="2192"/>
      <c r="D23" s="2192"/>
      <c r="E23" s="2192"/>
      <c r="F23" s="2192"/>
      <c r="G23" s="2192"/>
      <c r="H23" s="2192"/>
      <c r="I23" s="2192"/>
    </row>
    <row r="24" spans="1:35" ht="21.75" customHeight="1">
      <c r="A24" s="2957" t="s">
        <v>1796</v>
      </c>
      <c r="B24" s="2204" t="s">
        <v>1791</v>
      </c>
      <c r="C24" s="61">
        <f>D30</f>
        <v>0</v>
      </c>
      <c r="D24" s="994"/>
      <c r="E24" s="2192"/>
      <c r="F24" s="2192"/>
      <c r="G24" s="2192"/>
      <c r="H24" s="2192"/>
      <c r="I24" s="2192"/>
    </row>
    <row r="25" spans="1:35" ht="21.75" customHeight="1">
      <c r="A25" s="2958"/>
      <c r="B25" s="2207" t="s">
        <v>1793</v>
      </c>
      <c r="C25" s="66">
        <f>IF(B30=0,0,C30)</f>
        <v>0</v>
      </c>
      <c r="D25" s="2215"/>
      <c r="E25" s="2192"/>
      <c r="F25" s="2192"/>
      <c r="G25" s="2192"/>
      <c r="H25" s="2192"/>
      <c r="I25" s="2192"/>
    </row>
    <row r="26" spans="1:35" ht="13.5" customHeight="1">
      <c r="A26" s="2216" t="s">
        <v>1797</v>
      </c>
      <c r="B26" s="67" t="s">
        <v>1798</v>
      </c>
      <c r="C26" s="67" t="s">
        <v>1799</v>
      </c>
      <c r="D26" s="68" t="s">
        <v>1800</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1801</v>
      </c>
      <c r="B30" s="67"/>
      <c r="C30" s="67"/>
      <c r="D30" s="67"/>
      <c r="E30" s="2712" t="s">
        <v>2804</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1802</v>
      </c>
      <c r="B32" s="2221" t="str">
        <f>'数据-取费表'!B4</f>
        <v>楼面单价</v>
      </c>
      <c r="C32" s="1145">
        <f ca="1">IF(B32="总价",G19-C24,G20-C25)</f>
        <v>29864</v>
      </c>
      <c r="D32" s="2192" t="str">
        <f>IF(B32="楼面单价","元/平方米",H19)</f>
        <v>元/平方米</v>
      </c>
      <c r="E32" s="2192"/>
      <c r="F32" s="2192"/>
      <c r="G32" s="2192"/>
      <c r="H32" s="2192"/>
      <c r="I32" s="2192"/>
    </row>
    <row r="33" spans="1:16" ht="15">
      <c r="A33" s="2222" t="s">
        <v>1803</v>
      </c>
      <c r="B33" s="2223"/>
      <c r="C33" s="2224"/>
      <c r="D33" s="2225"/>
      <c r="E33" s="2226" t="s">
        <v>1804</v>
      </c>
      <c r="F33" s="2227" t="str">
        <f>IF(B32="楼面单价","取值（单价）","取值（总价）")</f>
        <v>取值（单价）</v>
      </c>
      <c r="G33" s="2192"/>
      <c r="H33" s="2192"/>
      <c r="I33" s="2192"/>
    </row>
    <row r="34" spans="1:16" ht="15">
      <c r="A34" s="2228"/>
      <c r="B34" s="2229" t="s">
        <v>1805</v>
      </c>
      <c r="C34" s="72">
        <f ca="1">IF(D33="自定义",F34,C32-C35)</f>
        <v>21054</v>
      </c>
      <c r="D34" s="1091">
        <f ca="1">IF(D33="自定义",ROUND(C34/C32,3),1-D35)</f>
        <v>0.70500000000000007</v>
      </c>
      <c r="E34" s="2230" t="s">
        <v>1806</v>
      </c>
      <c r="F34" s="1828">
        <v>2000</v>
      </c>
      <c r="G34" s="2192"/>
      <c r="H34" s="2192"/>
      <c r="I34" s="2192"/>
    </row>
    <row r="35" spans="1:16" ht="15.75" thickBot="1">
      <c r="A35" s="2231"/>
      <c r="B35" s="2232" t="s">
        <v>1807</v>
      </c>
      <c r="C35" s="73">
        <f ca="1">IF(D33="自定义",F35,ROUND(C32*D35,0))</f>
        <v>8810</v>
      </c>
      <c r="D35" s="1090">
        <f ca="1">IF(D33="自定义",ROUND(C35/C32,3),IF(D33="成本法成本比率",成本法!C56,IF(D33="收益法收益比率",收益法!J38,收益法!J41)))</f>
        <v>0.29499999999999998</v>
      </c>
      <c r="E35" s="2233" t="s">
        <v>1808</v>
      </c>
      <c r="F35" s="79">
        <v>4460</v>
      </c>
      <c r="G35" s="2192"/>
      <c r="H35" s="2192"/>
      <c r="I35" s="2192"/>
    </row>
    <row r="36" spans="1:16" ht="15.75" thickBot="1">
      <c r="A36" s="2962" t="s">
        <v>1809</v>
      </c>
      <c r="B36" s="2234" t="s">
        <v>1810</v>
      </c>
      <c r="C36" s="69">
        <v>0</v>
      </c>
      <c r="D36" s="2235"/>
      <c r="E36" s="2236"/>
      <c r="F36" s="2236"/>
      <c r="G36" s="2192"/>
      <c r="H36" s="2192"/>
      <c r="I36" s="2192"/>
    </row>
    <row r="37" spans="1:16" ht="15.75" thickBot="1">
      <c r="A37" s="2963"/>
      <c r="B37" s="2237" t="s">
        <v>1811</v>
      </c>
      <c r="C37" s="71">
        <v>0</v>
      </c>
      <c r="D37" s="2202"/>
      <c r="E37" s="2202"/>
      <c r="F37" s="2236"/>
      <c r="G37" s="2202"/>
      <c r="H37" s="2202"/>
      <c r="I37" s="2202"/>
    </row>
    <row r="38" spans="1:16" ht="15.75" thickBot="1">
      <c r="A38" s="2964"/>
      <c r="B38" s="2238" t="s">
        <v>1812</v>
      </c>
      <c r="C38" s="712">
        <v>0</v>
      </c>
      <c r="D38" s="2239" t="s">
        <v>1813</v>
      </c>
      <c r="E38" s="2202"/>
      <c r="F38" s="2236"/>
      <c r="G38" s="2202"/>
      <c r="H38" s="2202"/>
      <c r="I38" s="2202"/>
    </row>
    <row r="39" spans="1:16" ht="15">
      <c r="A39" s="2206" t="s">
        <v>1814</v>
      </c>
      <c r="B39" s="2240" t="s">
        <v>1798</v>
      </c>
      <c r="C39" s="2241" t="s">
        <v>1799</v>
      </c>
      <c r="D39" s="2241" t="s">
        <v>1815</v>
      </c>
      <c r="E39" s="2242" t="s">
        <v>1800</v>
      </c>
      <c r="F39" s="2236"/>
      <c r="G39" s="2202"/>
      <c r="H39" s="2202"/>
      <c r="I39" s="2202"/>
    </row>
    <row r="40" spans="1:16" ht="14.25">
      <c r="A40" s="2243" t="s">
        <v>1816</v>
      </c>
      <c r="B40" s="74"/>
      <c r="C40" s="75"/>
      <c r="D40" s="75"/>
      <c r="E40" s="76"/>
      <c r="F40" s="2236"/>
      <c r="G40" s="2202"/>
      <c r="H40" s="2202"/>
      <c r="I40" s="2202"/>
    </row>
    <row r="41" spans="1:16" ht="14.25">
      <c r="A41" s="2243" t="s">
        <v>1817</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1818</v>
      </c>
      <c r="B44" s="2249"/>
      <c r="C44" s="2249"/>
      <c r="D44" s="2250"/>
      <c r="E44" s="2250"/>
      <c r="F44" s="2251"/>
      <c r="G44" s="2251"/>
      <c r="H44" s="2251"/>
      <c r="I44" s="2251"/>
      <c r="J44" s="2252" t="s">
        <v>1819</v>
      </c>
      <c r="K44" s="2253"/>
      <c r="L44" s="2253"/>
      <c r="M44" s="2253"/>
      <c r="N44" s="2253"/>
      <c r="O44" s="2253"/>
      <c r="P44" s="1845"/>
    </row>
    <row r="45" spans="1:16" ht="14.25" customHeight="1" thickBot="1">
      <c r="A45" s="2967" t="s">
        <v>1820</v>
      </c>
      <c r="B45" s="2968"/>
      <c r="C45" s="2969"/>
      <c r="D45" s="80">
        <f ca="1">ROUND(I102*F45,0)</f>
        <v>4194697</v>
      </c>
      <c r="E45" s="81" t="s">
        <v>1821</v>
      </c>
      <c r="F45" s="82">
        <v>1</v>
      </c>
      <c r="G45" s="83" t="s">
        <v>1822</v>
      </c>
      <c r="H45" s="2192"/>
      <c r="I45" s="2192"/>
      <c r="J45" s="2879" t="s">
        <v>1823</v>
      </c>
      <c r="K45" s="2879"/>
      <c r="L45" s="2879"/>
      <c r="M45" s="2879"/>
      <c r="N45" s="2879"/>
      <c r="O45" s="2879"/>
      <c r="P45" s="1845"/>
    </row>
    <row r="46" spans="1:16" ht="14.25" customHeight="1">
      <c r="A46" s="2959" t="s">
        <v>1824</v>
      </c>
      <c r="B46" s="2960"/>
      <c r="C46" s="2960"/>
      <c r="D46" s="2960"/>
      <c r="E46" s="2960"/>
      <c r="F46" s="2960"/>
      <c r="G46" s="2961"/>
      <c r="H46" s="2254"/>
      <c r="I46" s="1144"/>
      <c r="J46" s="1883">
        <v>1</v>
      </c>
      <c r="K46" s="2879" t="s">
        <v>1825</v>
      </c>
      <c r="L46" s="2879"/>
      <c r="M46" s="2880" t="str">
        <f>项目基本情况!B1</f>
        <v>北京市预评估</v>
      </c>
      <c r="N46" s="2880"/>
      <c r="O46" s="2880"/>
      <c r="P46" s="1845"/>
    </row>
    <row r="47" spans="1:16" ht="12" customHeight="1">
      <c r="A47" s="85" t="s">
        <v>1826</v>
      </c>
      <c r="B47" s="86"/>
      <c r="C47" s="87"/>
      <c r="D47" s="88" t="s">
        <v>1827</v>
      </c>
      <c r="E47" s="14" t="s">
        <v>1828</v>
      </c>
      <c r="F47" s="89" t="s">
        <v>1829</v>
      </c>
      <c r="G47" s="90" t="s">
        <v>1830</v>
      </c>
      <c r="H47" s="2254"/>
      <c r="I47" s="1144"/>
      <c r="J47" s="1883">
        <v>2</v>
      </c>
      <c r="K47" s="2879" t="s">
        <v>1831</v>
      </c>
      <c r="L47" s="2879"/>
      <c r="M47" s="2881">
        <f>'数据-取费表'!B2</f>
        <v>43230</v>
      </c>
      <c r="N47" s="2881"/>
      <c r="O47" s="2881"/>
      <c r="P47" s="1845"/>
    </row>
    <row r="48" spans="1:16" ht="25.5">
      <c r="A48" s="2965" t="s">
        <v>1832</v>
      </c>
      <c r="B48" s="2966"/>
      <c r="C48" s="2966"/>
      <c r="D48" s="56">
        <f ca="1">IF(H48="情况1",0,IF(H48="情况2",D52,IF(H48="情况3",D53,IF(H48="情况4",D54))))</f>
        <v>219722</v>
      </c>
      <c r="E48" s="1893" t="str">
        <f>IF(H48="情况4","(销售额-原购置价)×税（费）率","销售额×税（费）率")</f>
        <v>销售额×税（费）率</v>
      </c>
      <c r="F48" s="91">
        <f>IF(H48="情况1","免征",'数据-取费表'!E29)</f>
        <v>5.5000000000000007E-2</v>
      </c>
      <c r="G48" s="2255" t="s">
        <v>1833</v>
      </c>
      <c r="H48" s="2256" t="s">
        <v>1834</v>
      </c>
      <c r="I48" s="2254"/>
      <c r="J48" s="1883">
        <v>3</v>
      </c>
      <c r="K48" s="2879" t="s">
        <v>1835</v>
      </c>
      <c r="L48" s="2879"/>
      <c r="M48" s="2880">
        <f ca="1">I102</f>
        <v>4194697</v>
      </c>
      <c r="N48" s="2880"/>
      <c r="O48" s="2880"/>
      <c r="P48" s="1845"/>
    </row>
    <row r="49" spans="1:16" ht="25.5" customHeight="1">
      <c r="A49" s="92" t="s">
        <v>1836</v>
      </c>
      <c r="B49" s="2946" t="s">
        <v>1837</v>
      </c>
      <c r="C49" s="2946"/>
      <c r="D49" s="93">
        <v>0</v>
      </c>
      <c r="E49" s="13" t="s">
        <v>1838</v>
      </c>
      <c r="F49" s="18" t="s">
        <v>48</v>
      </c>
      <c r="G49" s="2870"/>
      <c r="H49" s="2192"/>
      <c r="I49" s="2257"/>
      <c r="J49" s="1883">
        <v>4</v>
      </c>
      <c r="K49" s="2879" t="str">
        <f>IF(项目基本情况!F5="房地产抵押价值","房地产抵押价值","抵押担保权已注销时的房地产抵押价值")</f>
        <v>抵押担保权已注销时的房地产抵押价值</v>
      </c>
      <c r="L49" s="2879"/>
      <c r="M49" s="2880" t="str">
        <f>IF(项目基本情况!F5="房地产抵押价值",I110,I112)</f>
        <v>——</v>
      </c>
      <c r="N49" s="2880"/>
      <c r="O49" s="2880"/>
      <c r="P49" s="1845"/>
    </row>
    <row r="50" spans="1:16" ht="25.5" customHeight="1">
      <c r="A50" s="94"/>
      <c r="B50" s="2946" t="s">
        <v>1839</v>
      </c>
      <c r="C50" s="2946"/>
      <c r="D50" s="95"/>
      <c r="E50" s="21"/>
      <c r="F50" s="96"/>
      <c r="G50" s="2871"/>
      <c r="H50" s="2192"/>
      <c r="I50" s="2257"/>
      <c r="J50" s="2879" t="s">
        <v>1840</v>
      </c>
      <c r="K50" s="2879"/>
      <c r="L50" s="2879"/>
      <c r="M50" s="2879"/>
      <c r="N50" s="2879"/>
      <c r="O50" s="2879"/>
      <c r="P50" s="1845"/>
    </row>
    <row r="51" spans="1:16" ht="12" customHeight="1">
      <c r="A51" s="97"/>
      <c r="B51" s="2946" t="s">
        <v>1841</v>
      </c>
      <c r="C51" s="2946"/>
      <c r="D51" s="98"/>
      <c r="E51" s="20"/>
      <c r="F51" s="96"/>
      <c r="G51" s="2872"/>
      <c r="H51" s="2192"/>
      <c r="I51" s="2257"/>
      <c r="J51" s="2258" t="s">
        <v>1842</v>
      </c>
      <c r="K51" s="2879" t="s">
        <v>1843</v>
      </c>
      <c r="L51" s="2879"/>
      <c r="M51" s="2258" t="s">
        <v>1844</v>
      </c>
      <c r="N51" s="2258" t="s">
        <v>1845</v>
      </c>
      <c r="O51" s="2258" t="s">
        <v>1846</v>
      </c>
      <c r="P51" s="1845"/>
    </row>
    <row r="52" spans="1:16" ht="24" customHeight="1">
      <c r="A52" s="99" t="s">
        <v>1847</v>
      </c>
      <c r="B52" s="2946" t="s">
        <v>1848</v>
      </c>
      <c r="C52" s="2946"/>
      <c r="D52" s="98">
        <f ca="1">ROUND(D45*'数据-取费表'!E29/(1+'数据-取费表'!F30),0)</f>
        <v>219722</v>
      </c>
      <c r="E52" s="10" t="s">
        <v>1849</v>
      </c>
      <c r="F52" s="100">
        <f>'数据-取费表'!E29</f>
        <v>5.5000000000000007E-2</v>
      </c>
      <c r="G52" s="2259"/>
      <c r="H52" s="2192"/>
      <c r="I52" s="2257"/>
      <c r="J52" s="1883">
        <v>1</v>
      </c>
      <c r="K52" s="2869" t="s">
        <v>1850</v>
      </c>
      <c r="L52" s="2869"/>
      <c r="M52" s="778">
        <f ca="1">D48</f>
        <v>219722</v>
      </c>
      <c r="N52" s="1883" t="str">
        <f>E48</f>
        <v>销售额×税（费）率</v>
      </c>
      <c r="O52" s="779">
        <f>F48</f>
        <v>5.5000000000000007E-2</v>
      </c>
      <c r="P52" s="1845"/>
    </row>
    <row r="53" spans="1:16" ht="12" customHeight="1">
      <c r="A53" s="99" t="s">
        <v>1851</v>
      </c>
      <c r="B53" s="2945" t="s">
        <v>1852</v>
      </c>
      <c r="C53" s="2834"/>
      <c r="D53" s="98">
        <f ca="1">ROUND(D45*'数据-取费表'!E29/(1+'数据-取费表'!F30),0)</f>
        <v>219722</v>
      </c>
      <c r="E53" s="10" t="s">
        <v>1849</v>
      </c>
      <c r="F53" s="100">
        <f>'数据-取费表'!E29</f>
        <v>5.5000000000000007E-2</v>
      </c>
      <c r="G53" s="2259"/>
      <c r="H53" s="2192"/>
      <c r="I53" s="2257"/>
      <c r="J53" s="1883">
        <v>2</v>
      </c>
      <c r="K53" s="2869" t="s">
        <v>1853</v>
      </c>
      <c r="L53" s="2869"/>
      <c r="M53" s="778">
        <f t="shared" ref="M53:O54" ca="1" si="1">D55</f>
        <v>2097</v>
      </c>
      <c r="N53" s="1883" t="str">
        <f t="shared" si="1"/>
        <v>销售额×税（费）率</v>
      </c>
      <c r="O53" s="779">
        <f t="shared" si="1"/>
        <v>5.0000000000000001E-4</v>
      </c>
      <c r="P53" s="1845"/>
    </row>
    <row r="54" spans="1:16" ht="12" customHeight="1">
      <c r="A54" s="99" t="s">
        <v>1854</v>
      </c>
      <c r="B54" s="2945" t="s">
        <v>1855</v>
      </c>
      <c r="C54" s="2834"/>
      <c r="D54" s="98">
        <f ca="1">C68</f>
        <v>219722</v>
      </c>
      <c r="E54" s="20" t="s">
        <v>1856</v>
      </c>
      <c r="F54" s="100">
        <f>'数据-取费表'!E29</f>
        <v>5.5000000000000007E-2</v>
      </c>
      <c r="G54" s="2259"/>
      <c r="H54" s="2260"/>
      <c r="I54" s="2257"/>
      <c r="J54" s="1883">
        <v>3</v>
      </c>
      <c r="K54" s="2869" t="s">
        <v>1857</v>
      </c>
      <c r="L54" s="2869"/>
      <c r="M54" s="778">
        <f t="shared" ca="1" si="1"/>
        <v>2377994</v>
      </c>
      <c r="N54" s="1883" t="str">
        <f t="shared" si="1"/>
        <v>增值额×税（费）率</v>
      </c>
      <c r="O54" s="780" t="str">
        <f t="shared" si="1"/>
        <v>——</v>
      </c>
      <c r="P54" s="1845"/>
    </row>
    <row r="55" spans="1:16" ht="24" customHeight="1">
      <c r="A55" s="2826" t="s">
        <v>1858</v>
      </c>
      <c r="B55" s="2966"/>
      <c r="C55" s="2966"/>
      <c r="D55" s="101">
        <f ca="1">IF(H55="个人住宅",0,ROUND(D45*I55,0))</f>
        <v>2097</v>
      </c>
      <c r="E55" s="10" t="s">
        <v>1859</v>
      </c>
      <c r="F55" s="100">
        <f>IF(H55="正常",I55,"免征")</f>
        <v>5.0000000000000001E-4</v>
      </c>
      <c r="G55" s="2259"/>
      <c r="H55" s="2256" t="s">
        <v>1860</v>
      </c>
      <c r="I55" s="102">
        <f>'数据-取费表'!E37</f>
        <v>5.0000000000000001E-4</v>
      </c>
      <c r="J55" s="1883">
        <f>IF(H59="非个人房产","",4)</f>
        <v>4</v>
      </c>
      <c r="K55" s="2869" t="str">
        <f>IF(H59="非个人房产","——","个人所得税")</f>
        <v>个人所得税</v>
      </c>
      <c r="L55" s="2869"/>
      <c r="M55" s="781">
        <f ca="1">D59</f>
        <v>41947</v>
      </c>
      <c r="N55" s="1886" t="str">
        <f>E59</f>
        <v>销售额×税（费）率</v>
      </c>
      <c r="O55" s="782">
        <f>F59</f>
        <v>0.01</v>
      </c>
      <c r="P55" s="1845"/>
    </row>
    <row r="56" spans="1:16" ht="24.75">
      <c r="A56" s="2826" t="s">
        <v>1861</v>
      </c>
      <c r="B56" s="2966"/>
      <c r="C56" s="2966"/>
      <c r="D56" s="101">
        <f ca="1">IF(H56="个人住宅",D57,D58)</f>
        <v>2377994</v>
      </c>
      <c r="E56" s="10" t="s">
        <v>1862</v>
      </c>
      <c r="F56" s="100" t="str">
        <f>IF(H56="正常",F58,"免征")</f>
        <v>——</v>
      </c>
      <c r="G56" s="2261" t="s">
        <v>1863</v>
      </c>
      <c r="H56" s="2262" t="s">
        <v>1860</v>
      </c>
      <c r="I56" s="1022"/>
      <c r="J56" s="1883" t="str">
        <f>IF(项目基本情况!I6="上海银行",IF(J55="",4,J55+1),"")</f>
        <v/>
      </c>
      <c r="K56" s="2886" t="str">
        <f>IF(项目基本情况!I6="上海银行","其他处置费用","")</f>
        <v/>
      </c>
      <c r="L56" s="2887"/>
      <c r="M56" s="778" t="str">
        <f>IF(项目基本情况!I6="上海银行",M69,"")</f>
        <v/>
      </c>
      <c r="N56" s="2867" t="str">
        <f>IF(项目基本情况!I6="上海银行","包含处置中涉及的律师、诉讼、拍卖、评估等费用","")</f>
        <v/>
      </c>
      <c r="O56" s="2868"/>
      <c r="P56" s="1845"/>
    </row>
    <row r="57" spans="1:16" ht="12.75">
      <c r="A57" s="99" t="s">
        <v>1836</v>
      </c>
      <c r="B57" s="2954" t="s">
        <v>1864</v>
      </c>
      <c r="C57" s="2956"/>
      <c r="D57" s="103">
        <v>0</v>
      </c>
      <c r="E57" s="13" t="s">
        <v>1838</v>
      </c>
      <c r="F57" s="70"/>
      <c r="G57" s="2259"/>
      <c r="H57" s="1022"/>
      <c r="I57" s="1022"/>
      <c r="J57" s="2869">
        <f>IF(AND(J55="",J56=""),4,IF(项目基本情况!I6="上海银行",J56+1,J55+1))</f>
        <v>5</v>
      </c>
      <c r="K57" s="2869" t="s">
        <v>1865</v>
      </c>
      <c r="L57" s="2263" t="s">
        <v>1866</v>
      </c>
      <c r="M57" s="783"/>
      <c r="N57" s="784">
        <f ca="1">SUMIF(M52:M56,"&lt;9e307")</f>
        <v>2641760</v>
      </c>
      <c r="O57" s="2264"/>
      <c r="P57" s="1841" t="e">
        <f ca="1">N57/M49</f>
        <v>#VALUE!</v>
      </c>
    </row>
    <row r="58" spans="1:16" ht="24.75">
      <c r="A58" s="99" t="s">
        <v>1847</v>
      </c>
      <c r="B58" s="2954" t="s">
        <v>1867</v>
      </c>
      <c r="C58" s="2955"/>
      <c r="D58" s="101">
        <f ca="1">IF(H58="转让取得",C81,C97)</f>
        <v>2377994</v>
      </c>
      <c r="E58" s="10" t="s">
        <v>1862</v>
      </c>
      <c r="F58" s="14" t="s">
        <v>48</v>
      </c>
      <c r="G58" s="2259"/>
      <c r="H58" s="2262" t="s">
        <v>1868</v>
      </c>
      <c r="I58" s="1022"/>
      <c r="J58" s="2869"/>
      <c r="K58" s="2869"/>
      <c r="L58" s="2263" t="s">
        <v>1869</v>
      </c>
      <c r="M58" s="785"/>
      <c r="N58" s="2265" t="str">
        <f ca="1">IF(H19="元",NUMBERSTRING(INT(N57),2)&amp;"元整",NUMBERSTRING(INT(N57*10000),2)&amp;"元整")</f>
        <v>贰佰陆拾肆万壹仟柒佰陆拾元整</v>
      </c>
      <c r="O58" s="2266"/>
      <c r="P58" s="1845"/>
    </row>
    <row r="59" spans="1:16" ht="26.25" thickBot="1">
      <c r="A59" s="2827" t="s">
        <v>1870</v>
      </c>
      <c r="B59" s="2830"/>
      <c r="C59" s="2830"/>
      <c r="D59" s="104">
        <f ca="1">IF(H59="非个人房产","——",IF(H59="个人住宅",0,ROUND(D45*I59,0)))</f>
        <v>41947</v>
      </c>
      <c r="E59" s="105" t="str">
        <f>IF(H59="非个人房产","——","销售额×税（费）率")</f>
        <v>销售额×税（费）率</v>
      </c>
      <c r="F59" s="106">
        <f>IF(H59="非个人房产","——",IF(H59="个人住宅","免征",I59))</f>
        <v>0.01</v>
      </c>
      <c r="G59" s="2267" t="s">
        <v>1863</v>
      </c>
      <c r="H59" s="2262" t="s">
        <v>1871</v>
      </c>
      <c r="I59" s="107">
        <v>0.01</v>
      </c>
      <c r="J59" s="2923">
        <f>J57+1</f>
        <v>6</v>
      </c>
      <c r="K59" s="2869" t="s">
        <v>1872</v>
      </c>
      <c r="L59" s="1883" t="s">
        <v>1866</v>
      </c>
      <c r="M59" s="786"/>
      <c r="N59" s="787" t="e">
        <f ca="1">M49-N57</f>
        <v>#VALUE!</v>
      </c>
      <c r="O59" s="2268"/>
      <c r="P59" s="1845"/>
    </row>
    <row r="60" spans="1:16" ht="12" customHeight="1">
      <c r="A60" s="2064"/>
      <c r="B60" s="2192"/>
      <c r="C60" s="2192"/>
      <c r="D60" s="2192"/>
      <c r="E60" s="1022"/>
      <c r="F60" s="1022"/>
      <c r="G60" s="1022"/>
      <c r="H60" s="2245"/>
      <c r="I60" s="2192"/>
      <c r="J60" s="2924"/>
      <c r="K60" s="2869"/>
      <c r="L60" s="2263" t="s">
        <v>1869</v>
      </c>
      <c r="M60" s="785"/>
      <c r="N60" s="2265" t="e">
        <f ca="1">IF(H19="元",NUMBERSTRING(INT(N59),2)&amp;"元整",NUMBERSTRING(INT(N59*10000),2)&amp;"元整")</f>
        <v>#VALUE!</v>
      </c>
      <c r="O60" s="2266"/>
      <c r="P60" s="1845"/>
    </row>
    <row r="61" spans="1:16" ht="13.5" thickBot="1">
      <c r="A61" s="2970" t="s">
        <v>1873</v>
      </c>
      <c r="B61" s="2970"/>
      <c r="C61" s="2970"/>
      <c r="D61" s="2970"/>
      <c r="E61" s="2970"/>
      <c r="F61" s="1022"/>
      <c r="G61" s="1022"/>
      <c r="H61" s="2245"/>
      <c r="I61" s="2192"/>
      <c r="J61" s="1883">
        <f>J59+1</f>
        <v>7</v>
      </c>
      <c r="K61" s="2869" t="s">
        <v>1874</v>
      </c>
      <c r="L61" s="2869"/>
      <c r="M61" s="788"/>
      <c r="N61" s="789" t="e">
        <f ca="1">IF(H19="元",ROUND(N59/项目基本情况!C12,0),ROUND(N59*10000/项目基本情况!C12,0))</f>
        <v>#VALUE!</v>
      </c>
      <c r="O61" s="2269"/>
      <c r="P61" s="1845"/>
    </row>
    <row r="62" spans="1:16" ht="12.75">
      <c r="A62" s="2907" t="s">
        <v>1875</v>
      </c>
      <c r="B62" s="2908"/>
      <c r="C62" s="1885"/>
      <c r="D62" s="1885" t="s">
        <v>1876</v>
      </c>
      <c r="E62" s="108" t="s">
        <v>1877</v>
      </c>
      <c r="F62" s="1022"/>
      <c r="G62" s="1022"/>
      <c r="H62" s="2245"/>
      <c r="I62" s="2192"/>
      <c r="J62" s="1845"/>
      <c r="K62" s="1845"/>
      <c r="L62" s="1845"/>
      <c r="M62" s="1845"/>
      <c r="N62" s="1845"/>
      <c r="O62" s="1845"/>
      <c r="P62" s="1845"/>
    </row>
    <row r="63" spans="1:16" ht="12.75">
      <c r="A63" s="109">
        <v>1</v>
      </c>
      <c r="B63" s="110" t="s">
        <v>1878</v>
      </c>
      <c r="C63" s="111">
        <f ca="1">ROUND((C64+C65)/(1+'数据-取费表'!F30),0)</f>
        <v>3994950</v>
      </c>
      <c r="D63" s="112"/>
      <c r="E63" s="113"/>
      <c r="F63" s="1022"/>
      <c r="G63" s="1022"/>
      <c r="H63" s="2245"/>
      <c r="I63" s="2192"/>
      <c r="J63" s="2888" t="s">
        <v>1879</v>
      </c>
      <c r="K63" s="2270" t="s">
        <v>1880</v>
      </c>
      <c r="L63" s="1844" t="e">
        <f>IF(M49&gt;10000,M49*0.5%,IF(AND(M49&gt;1000,M49&lt;=10000),M49*1%,IF(AND(M49&gt;100,M49&lt;=1000),M49*3%,IF(AND(M49&gt;10,M49&lt;=100),M49*5%,M49*8%))))</f>
        <v>#VALUE!</v>
      </c>
      <c r="M63" s="14" t="e">
        <f>ROUND(L63,1)</f>
        <v>#VALUE!</v>
      </c>
      <c r="N63" s="1845"/>
      <c r="O63" s="1845"/>
      <c r="P63" s="1845"/>
    </row>
    <row r="64" spans="1:16" ht="12.75">
      <c r="A64" s="114" t="s">
        <v>71</v>
      </c>
      <c r="B64" s="115" t="s">
        <v>1881</v>
      </c>
      <c r="C64" s="116">
        <f ca="1">D45</f>
        <v>4194697</v>
      </c>
      <c r="D64" s="117" t="s">
        <v>41</v>
      </c>
      <c r="E64" s="118"/>
      <c r="F64" s="1022"/>
      <c r="G64" s="1022"/>
      <c r="H64" s="2245"/>
      <c r="I64" s="2192"/>
      <c r="J64" s="2888"/>
      <c r="K64" s="2270" t="s">
        <v>1882</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1883</v>
      </c>
      <c r="O64" s="1845"/>
      <c r="P64" s="1845"/>
    </row>
    <row r="65" spans="1:35" ht="12.75">
      <c r="A65" s="114" t="s">
        <v>72</v>
      </c>
      <c r="B65" s="115" t="s">
        <v>1884</v>
      </c>
      <c r="C65" s="119"/>
      <c r="D65" s="117"/>
      <c r="E65" s="118"/>
      <c r="F65" s="1022"/>
      <c r="G65" s="1022"/>
      <c r="H65" s="2245"/>
      <c r="I65" s="2192"/>
      <c r="J65" s="2888"/>
      <c r="K65" s="2270" t="s">
        <v>1885</v>
      </c>
      <c r="L65" s="1844" t="e">
        <f>IF(M49&gt;1000,M49*0.1%,IF(AND(M49&gt;500,M49&lt;=1000),M49*0.5%,IF(AND(M49&gt;50,M49&lt;=500),M49*1%,IF(AND(M49&gt;1,M49&lt;=50),M49*1.5%))))</f>
        <v>#VALUE!</v>
      </c>
      <c r="M65" s="14" t="e">
        <f t="shared" si="2"/>
        <v>#VALUE!</v>
      </c>
      <c r="N65" s="1845" t="s">
        <v>1883</v>
      </c>
      <c r="O65" s="1845"/>
      <c r="P65" s="1845"/>
    </row>
    <row r="66" spans="1:35" ht="12.75">
      <c r="A66" s="120" t="s">
        <v>47</v>
      </c>
      <c r="B66" s="121" t="s">
        <v>1886</v>
      </c>
      <c r="C66" s="122"/>
      <c r="D66" s="123" t="s">
        <v>41</v>
      </c>
      <c r="E66" s="1861" t="s">
        <v>1887</v>
      </c>
      <c r="F66" s="1022"/>
      <c r="G66" s="1022"/>
      <c r="H66" s="2245"/>
      <c r="I66" s="2192"/>
      <c r="J66" s="2888"/>
      <c r="K66" s="2270" t="s">
        <v>1888</v>
      </c>
      <c r="L66" s="1844" t="e">
        <f>M49*0.5%</f>
        <v>#VALUE!</v>
      </c>
      <c r="M66" s="14" t="e">
        <f>IF(L66&gt;0.5,0.5,ROUND(L66,0))</f>
        <v>#VALUE!</v>
      </c>
      <c r="N66" s="1845" t="s">
        <v>1889</v>
      </c>
      <c r="O66" s="1845"/>
      <c r="P66" s="1845"/>
    </row>
    <row r="67" spans="1:35" ht="12.75">
      <c r="A67" s="120" t="s">
        <v>42</v>
      </c>
      <c r="B67" s="121" t="s">
        <v>1890</v>
      </c>
      <c r="C67" s="124">
        <f ca="1">C63-C66</f>
        <v>3994950</v>
      </c>
      <c r="D67" s="117" t="s">
        <v>41</v>
      </c>
      <c r="E67" s="118"/>
      <c r="F67" s="1022"/>
      <c r="G67" s="1022"/>
      <c r="H67" s="2245"/>
      <c r="I67" s="2192"/>
      <c r="J67" s="2888"/>
      <c r="K67" s="2270" t="s">
        <v>1891</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1892</v>
      </c>
      <c r="C68" s="127">
        <f ca="1">IF(C67&lt;=0,0,ROUND(C67*D68,0))</f>
        <v>219722</v>
      </c>
      <c r="D68" s="128">
        <f>'数据-取费表'!E29</f>
        <v>5.5000000000000007E-2</v>
      </c>
      <c r="E68" s="129"/>
      <c r="F68" s="1022"/>
      <c r="G68" s="1022"/>
      <c r="H68" s="2245"/>
      <c r="I68" s="2192"/>
      <c r="J68" s="2888"/>
      <c r="K68" s="2270" t="s">
        <v>1893</v>
      </c>
      <c r="L68" s="1844" t="e">
        <f>IF(M49&gt;10000,M49*0.5%,IF(AND(M49&gt;5000,M49&lt;=10000),M49*1%,IF(AND(M49&gt;1000,M49&lt;=5000),M49*2%,IF(AND(M49&gt;200,M49&lt;=1000),M49*3%,M49*5%))))</f>
        <v>#VALUE!</v>
      </c>
      <c r="M68" s="14" t="e">
        <f>ROUND(L68,1)</f>
        <v>#VALUE!</v>
      </c>
      <c r="N68" s="1845"/>
      <c r="O68" s="1845"/>
      <c r="P68" s="1845"/>
    </row>
    <row r="69" spans="1:35" s="2219" customFormat="1" ht="7.5" customHeight="1">
      <c r="A69" s="2271"/>
      <c r="B69" s="2272"/>
      <c r="C69" s="2273"/>
      <c r="D69" s="2274"/>
      <c r="E69" s="2275"/>
      <c r="F69" s="1022"/>
      <c r="G69" s="1022"/>
      <c r="H69" s="2245"/>
      <c r="I69" s="2192"/>
      <c r="J69" s="2888"/>
      <c r="K69" s="2270" t="s">
        <v>1894</v>
      </c>
      <c r="L69" s="2276"/>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909" t="s">
        <v>1895</v>
      </c>
      <c r="B70" s="2910"/>
      <c r="C70" s="2910"/>
      <c r="D70" s="2910"/>
      <c r="E70" s="2910"/>
      <c r="F70" s="2910"/>
      <c r="G70" s="2910"/>
      <c r="H70" s="2910"/>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07" t="s">
        <v>1875</v>
      </c>
      <c r="B71" s="2908"/>
      <c r="C71" s="1885"/>
      <c r="D71" s="1885" t="s">
        <v>1876</v>
      </c>
      <c r="E71" s="130" t="s">
        <v>1877</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1896</v>
      </c>
      <c r="C72" s="124">
        <f ca="1">ROUND(D45/(1+'数据-取费表'!F30),0)</f>
        <v>3994950</v>
      </c>
      <c r="D72" s="117" t="s">
        <v>41</v>
      </c>
      <c r="E72" s="12" t="s">
        <v>1897</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1898</v>
      </c>
      <c r="C73" s="124">
        <f ca="1">C74+C78</f>
        <v>19975</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1899</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1900</v>
      </c>
      <c r="C75" s="137"/>
      <c r="D75" s="117" t="s">
        <v>41</v>
      </c>
      <c r="E75" s="138" t="s">
        <v>1901</v>
      </c>
      <c r="F75" s="2281" t="s">
        <v>1902</v>
      </c>
      <c r="G75" s="138" t="s">
        <v>1903</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1904</v>
      </c>
      <c r="C76" s="117">
        <f>IF(F75="购房发票",ROUND(C75*H75*D76,0),0)</f>
        <v>0</v>
      </c>
      <c r="D76" s="141">
        <v>0.05</v>
      </c>
      <c r="E76" s="2945" t="s">
        <v>1905</v>
      </c>
      <c r="F76" s="2946"/>
      <c r="G76" s="2946"/>
      <c r="H76" s="2947"/>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2" t="s">
        <v>1908</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1909</v>
      </c>
      <c r="C78" s="144">
        <f ca="1">ROUND(D45*D78/(1+'数据-取费表'!F30),0)</f>
        <v>19975</v>
      </c>
      <c r="D78" s="145">
        <f>'数据-取费表'!E31</f>
        <v>5.000000000000001E-3</v>
      </c>
      <c r="E78" s="2876" t="s">
        <v>1910</v>
      </c>
      <c r="F78" s="2877"/>
      <c r="G78" s="2877"/>
      <c r="H78" s="2897"/>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1911</v>
      </c>
      <c r="C79" s="124">
        <f ca="1">C72-C73</f>
        <v>3974975</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1912</v>
      </c>
      <c r="C80" s="147">
        <f ca="1">IF(C79&lt;=0,0,C79/C73)</f>
        <v>198.99749687108886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1913</v>
      </c>
      <c r="C81" s="149">
        <f ca="1">ROUND(IF(C79&lt;=0,0,IF(C80&gt;=200%,C79*60%-C73*35%,IF(C80&gt;=100%,C79*50%-C73*15%,IF(C80&gt;=50%,C79*40%-C73*5%,IF(C80&lt;50%,C79*30%,0))))),0)</f>
        <v>2377994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09" t="s">
        <v>1914</v>
      </c>
      <c r="B83" s="2910"/>
      <c r="C83" s="2910"/>
      <c r="D83" s="2910"/>
      <c r="E83" s="2910"/>
      <c r="F83" s="2910"/>
      <c r="G83" s="2910"/>
      <c r="H83" s="2910"/>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07" t="s">
        <v>1875</v>
      </c>
      <c r="B84" s="2908"/>
      <c r="C84" s="1885"/>
      <c r="D84" s="1885" t="s">
        <v>1876</v>
      </c>
      <c r="E84" s="130" t="s">
        <v>1877</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1896</v>
      </c>
      <c r="C85" s="124">
        <f ca="1">ROUND(D45/(1+'数据-取费表'!F30),0)</f>
        <v>3994950</v>
      </c>
      <c r="D85" s="117" t="s">
        <v>41</v>
      </c>
      <c r="E85" s="1888" t="s">
        <v>1897</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1898</v>
      </c>
      <c r="C86" s="124">
        <f ca="1">IF(H88="仅含出让金",C87+C90+C91+C92+C93+C94,C87+C91+C92+C93+C94)</f>
        <v>19975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1915</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1916</v>
      </c>
      <c r="C88" s="157"/>
      <c r="D88" s="145"/>
      <c r="E88" s="158" t="s">
        <v>1917</v>
      </c>
      <c r="F88" s="1882"/>
      <c r="G88" s="159" t="s">
        <v>1918</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1906</v>
      </c>
      <c r="C89" s="144">
        <f>ROUND(C88*D89,0)</f>
        <v>0</v>
      </c>
      <c r="D89" s="145">
        <f>'数据-取费表'!E36+'数据-取费表'!E37</f>
        <v>3.0499999999999999E-2</v>
      </c>
      <c r="E89" s="158" t="s">
        <v>1919</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1920</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1921</v>
      </c>
      <c r="C91" s="144">
        <f>IF(H91="——",成本法!C33,I91)</f>
        <v>0</v>
      </c>
      <c r="D91" s="145"/>
      <c r="E91" s="2876" t="s">
        <v>1922</v>
      </c>
      <c r="F91" s="2877"/>
      <c r="G91" s="2877"/>
      <c r="H91" s="2285" t="s">
        <v>1923</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1924</v>
      </c>
      <c r="C92" s="144">
        <f>ROUND((C87+C90+C91)*D92,0)</f>
        <v>0</v>
      </c>
      <c r="D92" s="145">
        <v>0.1</v>
      </c>
      <c r="E92" s="2876" t="s">
        <v>1925</v>
      </c>
      <c r="F92" s="2877"/>
      <c r="G92" s="2877"/>
      <c r="H92" s="2897"/>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1909</v>
      </c>
      <c r="C93" s="144">
        <f ca="1">ROUND(D45*D93/(1+'数据-取费表'!F30),0)</f>
        <v>19975</v>
      </c>
      <c r="D93" s="145">
        <f>'数据-取费表'!E31</f>
        <v>5.000000000000001E-3</v>
      </c>
      <c r="E93" s="2876" t="s">
        <v>1910</v>
      </c>
      <c r="F93" s="2877"/>
      <c r="G93" s="2877"/>
      <c r="H93" s="2897"/>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1926</v>
      </c>
      <c r="C94" s="144">
        <f>ROUND((C87+C90+C91)*D94,0)</f>
        <v>0</v>
      </c>
      <c r="D94" s="145">
        <v>0.2</v>
      </c>
      <c r="E94" s="2876" t="s">
        <v>1927</v>
      </c>
      <c r="F94" s="2877"/>
      <c r="G94" s="2877"/>
      <c r="H94" s="2897"/>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1911</v>
      </c>
      <c r="C95" s="124">
        <f ca="1">ROUND(C85-C86,0)</f>
        <v>3974975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1912</v>
      </c>
      <c r="C96" s="147">
        <f ca="1">IF(C95&lt;=0,0,C95/C86)</f>
        <v>198.99749687108886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1913</v>
      </c>
      <c r="C97" s="149">
        <f ca="1">ROUND(IF(C95&lt;=0,0,IF(C96&gt;=200%,C95*60%-C86*35%,IF(C96&gt;=100%,C95*50%-C86*15%,IF(C96&gt;=50%,C95*40%-C86*5%,IF(C96&lt;50%,C95*30%,0))))),0)</f>
        <v>2377994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1928</v>
      </c>
      <c r="B98" s="2192"/>
      <c r="C98" s="2192"/>
      <c r="D98" s="2192"/>
      <c r="E98" s="1022"/>
      <c r="F98" s="1022"/>
      <c r="G98" s="1022"/>
      <c r="H98" s="2245"/>
      <c r="I98" s="2192"/>
    </row>
    <row r="99" spans="1:35" ht="15.75">
      <c r="A99" s="2894" t="s">
        <v>1929</v>
      </c>
      <c r="B99" s="2895"/>
      <c r="C99" s="2895"/>
      <c r="D99" s="2896"/>
      <c r="E99" s="2192"/>
      <c r="F99" s="2904" t="s">
        <v>1930</v>
      </c>
      <c r="G99" s="2905"/>
      <c r="H99" s="2905"/>
      <c r="I99" s="2906"/>
    </row>
    <row r="100" spans="1:35" ht="15.75">
      <c r="A100" s="2911" t="s">
        <v>1931</v>
      </c>
      <c r="B100" s="2912"/>
      <c r="C100" s="720" t="str">
        <f>C4</f>
        <v>比较法-住宅</v>
      </c>
      <c r="D100" s="721" t="str">
        <f>D4</f>
        <v>收益法</v>
      </c>
      <c r="E100" s="2192"/>
      <c r="F100" s="2913" t="s">
        <v>1932</v>
      </c>
      <c r="G100" s="2915"/>
      <c r="H100" s="2913" t="s">
        <v>1933</v>
      </c>
      <c r="I100" s="2914"/>
    </row>
    <row r="101" spans="1:35" ht="15.75">
      <c r="A101" s="2933" t="s">
        <v>1934</v>
      </c>
      <c r="B101" s="2287" t="str">
        <f>IF(H19="元","总价（元）","总价（万元）")</f>
        <v>总价（元）</v>
      </c>
      <c r="C101" s="720">
        <f ca="1">C19</f>
        <v>4811176</v>
      </c>
      <c r="D101" s="721">
        <f ca="1">D19</f>
        <v>1728894</v>
      </c>
      <c r="E101" s="2192"/>
      <c r="F101" s="2913" t="str">
        <f>项目基本情况!I1</f>
        <v>北京市房地产</v>
      </c>
      <c r="G101" s="2915"/>
      <c r="H101" s="2974">
        <f>项目基本情况!C12</f>
        <v>140.46</v>
      </c>
      <c r="I101" s="2914"/>
    </row>
    <row r="102" spans="1:35" ht="15.75">
      <c r="A102" s="2933"/>
      <c r="B102" s="2287" t="s">
        <v>1935</v>
      </c>
      <c r="C102" s="722">
        <f ca="1">C20</f>
        <v>34253</v>
      </c>
      <c r="D102" s="723">
        <f ca="1">D20</f>
        <v>12309</v>
      </c>
      <c r="E102" s="2192"/>
      <c r="F102" s="2988" t="s">
        <v>1936</v>
      </c>
      <c r="G102" s="2989"/>
      <c r="H102" s="2288" t="str">
        <f>C106</f>
        <v>总价（元）</v>
      </c>
      <c r="I102" s="1862">
        <f ca="1">H121</f>
        <v>4194697</v>
      </c>
    </row>
    <row r="103" spans="1:35" ht="15">
      <c r="A103" s="2933" t="s">
        <v>1937</v>
      </c>
      <c r="B103" s="2289" t="str">
        <f>B101</f>
        <v>总价（元）</v>
      </c>
      <c r="C103" s="724">
        <f ca="1">H121</f>
        <v>4194697</v>
      </c>
      <c r="D103" s="725"/>
      <c r="E103" s="2192"/>
      <c r="F103" s="2988"/>
      <c r="G103" s="2989"/>
      <c r="H103" s="2288" t="s">
        <v>1935</v>
      </c>
      <c r="I103" s="1050">
        <f ca="1">I121</f>
        <v>29864</v>
      </c>
    </row>
    <row r="104" spans="1:35" ht="16.5" thickBot="1">
      <c r="A104" s="2934"/>
      <c r="B104" s="2290" t="s">
        <v>1935</v>
      </c>
      <c r="C104" s="726">
        <f ca="1">I121</f>
        <v>29864</v>
      </c>
      <c r="D104" s="727"/>
      <c r="E104" s="2192"/>
      <c r="F104" s="2900"/>
      <c r="G104" s="2901"/>
      <c r="H104" s="2935"/>
      <c r="I104" s="2936"/>
    </row>
    <row r="105" spans="1:35" ht="15.75">
      <c r="A105" s="2894" t="s">
        <v>1938</v>
      </c>
      <c r="B105" s="2895"/>
      <c r="C105" s="2895"/>
      <c r="D105" s="2896"/>
      <c r="E105" s="2192"/>
      <c r="F105" s="2939" t="s">
        <v>1939</v>
      </c>
      <c r="G105" s="2940"/>
      <c r="H105" s="2291" t="str">
        <f>C108</f>
        <v>总额（元）</v>
      </c>
      <c r="I105" s="1862">
        <f>SUMIF(I106:I108,"&lt;9E307")</f>
        <v>0</v>
      </c>
    </row>
    <row r="106" spans="1:35" ht="15">
      <c r="A106" s="2941" t="s">
        <v>1940</v>
      </c>
      <c r="B106" s="2942"/>
      <c r="C106" s="2288" t="str">
        <f>B101</f>
        <v>总价（元）</v>
      </c>
      <c r="D106" s="1051">
        <f ca="1">H121</f>
        <v>4194697</v>
      </c>
      <c r="E106" s="2192"/>
      <c r="F106" s="2902" t="s">
        <v>1941</v>
      </c>
      <c r="G106" s="2903"/>
      <c r="H106" s="2291" t="str">
        <f>C109</f>
        <v>总额（元）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41"/>
      <c r="B107" s="2942"/>
      <c r="C107" s="2288" t="s">
        <v>1935</v>
      </c>
      <c r="D107" s="1052">
        <f ca="1">I121</f>
        <v>29864</v>
      </c>
      <c r="E107" s="2192"/>
      <c r="F107" s="2902" t="s">
        <v>1942</v>
      </c>
      <c r="G107" s="2903"/>
      <c r="H107" s="2291" t="str">
        <f>C110</f>
        <v>总额（元）</v>
      </c>
      <c r="I107" s="1050">
        <f>C37</f>
        <v>0</v>
      </c>
      <c r="K107" s="2292"/>
    </row>
    <row r="108" spans="1:35" ht="15">
      <c r="A108" s="2984" t="s">
        <v>1943</v>
      </c>
      <c r="B108" s="2985"/>
      <c r="C108" s="2291" t="str">
        <f>IF(H19="元","总额（元）","总额（万元）")</f>
        <v>总额（元）</v>
      </c>
      <c r="D108" s="1051">
        <f>IF(D36="正常操作",I106+I107+I108,I107+I108)</f>
        <v>0</v>
      </c>
      <c r="E108" s="2192"/>
      <c r="F108" s="2902" t="s">
        <v>1944</v>
      </c>
      <c r="G108" s="2903"/>
      <c r="H108" s="2291" t="str">
        <f>C111</f>
        <v>总额（元）</v>
      </c>
      <c r="I108" s="1050">
        <f>C38</f>
        <v>0</v>
      </c>
    </row>
    <row r="109" spans="1:35" ht="15.75">
      <c r="A109" s="2902" t="s">
        <v>1941</v>
      </c>
      <c r="B109" s="2903"/>
      <c r="C109" s="2291" t="str">
        <f>C108</f>
        <v>总额（元）</v>
      </c>
      <c r="D109" s="637">
        <f>IF(D36="同一抵押权人同一抵押物续贷",C36&amp;"（未扣减，详见特别提示）",C36)</f>
        <v>0</v>
      </c>
      <c r="E109" s="2192"/>
      <c r="F109" s="2900"/>
      <c r="G109" s="2901"/>
      <c r="H109" s="2937"/>
      <c r="I109" s="2938"/>
    </row>
    <row r="110" spans="1:35" ht="28.5" customHeight="1">
      <c r="A110" s="2902" t="s">
        <v>1942</v>
      </c>
      <c r="B110" s="2903"/>
      <c r="C110" s="2291" t="str">
        <f>C108</f>
        <v>总额（元）</v>
      </c>
      <c r="D110" s="637">
        <f>C37</f>
        <v>0</v>
      </c>
      <c r="E110" s="2192"/>
      <c r="F110" s="2882" t="str">
        <f>IF(项目基本情况!F5="已注销","——","3.房地产抵押价值")</f>
        <v>3.房地产抵押价值</v>
      </c>
      <c r="G110" s="2883"/>
      <c r="H110" s="2293" t="str">
        <f>C112</f>
        <v>总价（元）</v>
      </c>
      <c r="I110" s="1863">
        <f ca="1">IF(F110="——","——",I102-I105)</f>
        <v>4194697</v>
      </c>
    </row>
    <row r="111" spans="1:35" ht="15">
      <c r="A111" s="2902" t="s">
        <v>1944</v>
      </c>
      <c r="B111" s="2903"/>
      <c r="C111" s="2291" t="str">
        <f>C108</f>
        <v>总额（元）</v>
      </c>
      <c r="D111" s="637">
        <f>C38</f>
        <v>0</v>
      </c>
      <c r="E111" s="2192"/>
      <c r="F111" s="2884"/>
      <c r="G111" s="2885"/>
      <c r="H111" s="2288" t="s">
        <v>1935</v>
      </c>
      <c r="I111" s="2294">
        <f ca="1">D113</f>
        <v>29864</v>
      </c>
    </row>
    <row r="112" spans="1:35" ht="26.25" customHeight="1">
      <c r="A112" s="2941" t="str">
        <f>IF(项目基本情况!F5="已注销","——","3.房地产抵押价值")</f>
        <v>3.房地产抵押价值</v>
      </c>
      <c r="B112" s="2942"/>
      <c r="C112" s="2288" t="str">
        <f>B101</f>
        <v>总价（元）</v>
      </c>
      <c r="D112" s="1051">
        <f ca="1">IF(A112="——","——",D106-D108)</f>
        <v>4194697</v>
      </c>
      <c r="E112" s="2192"/>
      <c r="F112" s="2882" t="str">
        <f>IF(项目基本情况!F5="已注销及未注销","4.抵押担保权已注销时的房地产抵押价值",IF(项目基本情况!F5="已注销","3.抵押担保权已注销时的房地产抵押价值","——"))</f>
        <v>——</v>
      </c>
      <c r="G112" s="2883"/>
      <c r="H112" s="2293" t="str">
        <f>C114</f>
        <v>总价（元）</v>
      </c>
      <c r="I112" s="1863" t="str">
        <f>IF(F112="——","——",I102-I107-I108)</f>
        <v>——</v>
      </c>
    </row>
    <row r="113" spans="1:15" ht="15">
      <c r="A113" s="2941"/>
      <c r="B113" s="2942"/>
      <c r="C113" s="2288" t="s">
        <v>1935</v>
      </c>
      <c r="D113" s="1052">
        <f ca="1">ROUND(IF(D112=D106,D107,IF(H19="元",D112/项目基本情况!C12,D112*10000/项目基本情况!C12)),0)</f>
        <v>29864</v>
      </c>
      <c r="E113" s="2192"/>
      <c r="F113" s="2884"/>
      <c r="G113" s="2885"/>
      <c r="H113" s="2288" t="s">
        <v>1935</v>
      </c>
      <c r="I113" s="2295" t="str">
        <f>D115</f>
        <v>——</v>
      </c>
    </row>
    <row r="114" spans="1:15" ht="15.75">
      <c r="A114" s="2941" t="str">
        <f>IF(项目基本情况!F5="已注销及未注销","4.抵押担保权已注销时的房地产抵押价值",IF(项目基本情况!F5="已注销","3.抵押担保权已注销时的房地产抵押价值","——"))</f>
        <v>——</v>
      </c>
      <c r="B114" s="2942"/>
      <c r="C114" s="2288" t="str">
        <f>B101</f>
        <v>总价（元）</v>
      </c>
      <c r="D114" s="1051" t="str">
        <f>IF(A114="——","——",D106-D110-D111)</f>
        <v>——</v>
      </c>
      <c r="E114" s="2192"/>
      <c r="F114" s="2882" t="str">
        <f>IF(项目基本情况!G5="抵押净值",IF(OR(项目基本情况!F5="已注销",项目基本情况!F5="房地产抵押价值"),"4.抵押净值","5.抵押净值"),"——")</f>
        <v>——</v>
      </c>
      <c r="G114" s="2883"/>
      <c r="H114" s="2288" t="str">
        <f>C116</f>
        <v>总价（元）</v>
      </c>
      <c r="I114" s="1862" t="str">
        <f>IF(F114="——","——",N59)</f>
        <v>——</v>
      </c>
    </row>
    <row r="115" spans="1:15" ht="15.75" thickBot="1">
      <c r="A115" s="2941"/>
      <c r="B115" s="2942"/>
      <c r="C115" s="2288" t="s">
        <v>1935</v>
      </c>
      <c r="D115" s="1052" t="str">
        <f>IF(A114="——","——",ROUND(IF(D114=D106,D107,IF(H19="元",D114/项目基本情况!C12,D114*10000/项目基本情况!C12)),0))</f>
        <v>——</v>
      </c>
      <c r="E115" s="2192"/>
      <c r="F115" s="2975"/>
      <c r="G115" s="2976"/>
      <c r="H115" s="2296" t="s">
        <v>1935</v>
      </c>
      <c r="I115" s="1864" t="str">
        <f ca="1">D117</f>
        <v>——</v>
      </c>
    </row>
    <row r="116" spans="1:15" ht="15.75">
      <c r="A116" s="2941" t="str">
        <f>IF(项目基本情况!G5="抵押净值",IF(OR(项目基本情况!F5="已注销",项目基本情况!F5="房地产抵押价值"),"4.抵押净值","5.抵押净值"),"——")</f>
        <v>——</v>
      </c>
      <c r="B116" s="2942"/>
      <c r="C116" s="2288" t="str">
        <f>B101</f>
        <v>总价（元）</v>
      </c>
      <c r="D116" s="1051" t="str">
        <f>IF(A116="——","——",N59)</f>
        <v>——</v>
      </c>
      <c r="E116" s="2192"/>
      <c r="F116" s="2878"/>
      <c r="G116" s="2878"/>
      <c r="H116" s="2920"/>
      <c r="I116" s="2920"/>
      <c r="N116" s="55"/>
      <c r="O116" s="55"/>
    </row>
    <row r="117" spans="1:15" ht="15.75" thickBot="1">
      <c r="A117" s="2982"/>
      <c r="B117" s="2983"/>
      <c r="C117" s="2296" t="s">
        <v>1935</v>
      </c>
      <c r="D117" s="1053" t="str">
        <f ca="1">IF(D116=D112,D113,IF(A116="——","——",N61))</f>
        <v>——</v>
      </c>
      <c r="E117" s="2192"/>
      <c r="F117" s="2972" t="str">
        <f>IF(B32="总价","（以上估价结果中单价为总价除以建筑面积得出）","（以上估价结果中总价为楼面单价乘以建筑面积得出）")</f>
        <v>（以上估价结果中总价为楼面单价乘以建筑面积得出）</v>
      </c>
      <c r="G117" s="2972"/>
      <c r="H117" s="2972"/>
      <c r="I117" s="2972"/>
      <c r="N117" s="55"/>
      <c r="O117" s="55"/>
    </row>
    <row r="118" spans="1:15" ht="15">
      <c r="A118" s="2921" t="s">
        <v>1945</v>
      </c>
      <c r="B118" s="2922"/>
      <c r="C118" s="2922"/>
      <c r="D118" s="2922"/>
      <c r="E118" s="2922"/>
      <c r="F118" s="2922"/>
      <c r="G118" s="2922"/>
      <c r="H118" s="2922"/>
      <c r="I118" s="2922"/>
    </row>
    <row r="119" spans="1:15" ht="14.25">
      <c r="A119" s="2893" t="s">
        <v>1946</v>
      </c>
      <c r="B119" s="2891" t="s">
        <v>1947</v>
      </c>
      <c r="C119" s="2891" t="s">
        <v>1948</v>
      </c>
      <c r="D119" s="2898" t="s">
        <v>1949</v>
      </c>
      <c r="E119" s="2899"/>
      <c r="F119" s="2889" t="s">
        <v>1807</v>
      </c>
      <c r="G119" s="2889"/>
      <c r="H119" s="2889" t="s">
        <v>1950</v>
      </c>
      <c r="I119" s="2890"/>
    </row>
    <row r="120" spans="1:15" ht="14.25">
      <c r="A120" s="2893"/>
      <c r="B120" s="2892"/>
      <c r="C120" s="2892"/>
      <c r="D120" s="1887" t="s">
        <v>1951</v>
      </c>
      <c r="E120" s="1887" t="s">
        <v>1952</v>
      </c>
      <c r="F120" s="1887" t="s">
        <v>1951</v>
      </c>
      <c r="G120" s="1887" t="s">
        <v>1953</v>
      </c>
      <c r="H120" s="1887" t="s">
        <v>1951</v>
      </c>
      <c r="I120" s="637" t="s">
        <v>1953</v>
      </c>
    </row>
    <row r="121" spans="1:15" ht="14.25">
      <c r="A121" s="2178" t="str">
        <f>项目基本情况!I1</f>
        <v>北京市房地产</v>
      </c>
      <c r="B121" s="1887">
        <f>项目基本情况!C12</f>
        <v>140.46</v>
      </c>
      <c r="C121" s="1887">
        <f>项目基本情况!C13</f>
        <v>0</v>
      </c>
      <c r="D121" s="1887">
        <f ca="1">ROUND(IF(B32="总价",C34,IF('数据-取费表'!B3="万元",E121*B121/10000,E121*B121)),0)</f>
        <v>2957245</v>
      </c>
      <c r="E121" s="1887">
        <f ca="1">ROUND(IF(B32="楼面单价",C34,IF(H19="元",D121/B121,D121*10000/B121)),0)</f>
        <v>21054</v>
      </c>
      <c r="F121" s="1887">
        <f ca="1">ROUND(IF(B32="总价",C35,IF('数据-取费表'!B3="万元",G121*B121/10000,G121*B121)),0)</f>
        <v>1237453</v>
      </c>
      <c r="G121" s="1887">
        <f ca="1">ROUND(IF(B32="楼面单价",C35,IF(H19="元",F121/B121,F121*10000/B121)),0)</f>
        <v>8810</v>
      </c>
      <c r="H121" s="1887">
        <f ca="1">ROUND(IF(B32="总价",C32,IF('数据-取费表'!B3="万元",I121*B121/10000,I121*B121)),0)</f>
        <v>4194697</v>
      </c>
      <c r="I121" s="637">
        <f ca="1">ROUND(IF(B32="楼面单价",C32,IF(H19="元",H121/B121,H121*10000/B121)),0)</f>
        <v>29864</v>
      </c>
    </row>
    <row r="122" spans="1:15" ht="14.25">
      <c r="A122" s="2893" t="s">
        <v>1954</v>
      </c>
      <c r="B122" s="2889"/>
      <c r="C122" s="2889"/>
      <c r="D122" s="2925" t="str">
        <f ca="1">IF(H19="元",NUMBERSTRING(INT(D121),2)&amp;"元整",NUMBERSTRING(INT(D121*10000),2)&amp;"元整")</f>
        <v>贰佰玖拾伍万柒仟贰佰肆拾伍元整</v>
      </c>
      <c r="E122" s="2926"/>
      <c r="F122" s="2925" t="str">
        <f ca="1">IF(H19="元",NUMBERSTRING(INT(F121),2)&amp;"元整",NUMBERSTRING(INT(F121*10000),2)&amp;"元整")</f>
        <v>壹佰贰拾叁万柒仟肆佰伍拾叁元整</v>
      </c>
      <c r="G122" s="2926"/>
      <c r="H122" s="2925" t="str">
        <f ca="1">IF(H19="元",NUMBERSTRING(INT(H121),2)&amp;"元整",NUMBERSTRING(INT(H121*10000),2)&amp;"元整")</f>
        <v>肆佰壹拾玖万肆仟陆佰玖拾柒元整</v>
      </c>
      <c r="I122" s="2990"/>
    </row>
    <row r="123" spans="1:15" ht="15">
      <c r="A123" s="2927" t="str">
        <f>IF(项目基本情况!D5="房地产市场价值","——",MID(A108,3,LEN(A108)-2))</f>
        <v>估价师所知悉的法定优先受偿款</v>
      </c>
      <c r="B123" s="2928"/>
      <c r="C123" s="2929"/>
      <c r="D123" s="2918">
        <f>I105</f>
        <v>0</v>
      </c>
      <c r="E123" s="2928"/>
      <c r="F123" s="2928"/>
      <c r="G123" s="2928"/>
      <c r="H123" s="2928"/>
      <c r="I123" s="2977"/>
    </row>
    <row r="124" spans="1:15" ht="14.25">
      <c r="A124" s="2930" t="s">
        <v>1954</v>
      </c>
      <c r="B124" s="2931"/>
      <c r="C124" s="2932"/>
      <c r="D124" s="2978">
        <f>H109</f>
        <v>0</v>
      </c>
      <c r="E124" s="2979"/>
      <c r="F124" s="2979"/>
      <c r="G124" s="2979"/>
      <c r="H124" s="2979"/>
      <c r="I124" s="2980"/>
    </row>
    <row r="125" spans="1:15" ht="15">
      <c r="A125" s="2916" t="str">
        <f>IF(项目基本情况!D5="房地产市场价值","——",MID(A112,3,LEN(A112)-2))</f>
        <v>房地产抵押价值</v>
      </c>
      <c r="B125" s="2917"/>
      <c r="C125" s="2917"/>
      <c r="D125" s="2918">
        <f ca="1">I110</f>
        <v>4194697</v>
      </c>
      <c r="E125" s="2928"/>
      <c r="F125" s="2928"/>
      <c r="G125" s="2928"/>
      <c r="H125" s="2928"/>
      <c r="I125" s="2977"/>
    </row>
    <row r="126" spans="1:15" ht="14.25">
      <c r="A126" s="2893" t="s">
        <v>1954</v>
      </c>
      <c r="B126" s="2889"/>
      <c r="C126" s="2889"/>
      <c r="D126" s="2978">
        <f ca="1">I111</f>
        <v>29864</v>
      </c>
      <c r="E126" s="2979"/>
      <c r="F126" s="2979"/>
      <c r="G126" s="2979"/>
      <c r="H126" s="2979"/>
      <c r="I126" s="2980"/>
    </row>
    <row r="127" spans="1:15" ht="15.75" thickBot="1">
      <c r="A127" s="2916" t="str">
        <f>IF(项目基本情况!D5="房地产市场价值","——",MID(A114,3,LEN(A114)-2))</f>
        <v/>
      </c>
      <c r="B127" s="2917"/>
      <c r="C127" s="2917"/>
      <c r="D127" s="2873" t="str">
        <f>I112</f>
        <v>——</v>
      </c>
      <c r="E127" s="2874"/>
      <c r="F127" s="2874"/>
      <c r="G127" s="2874"/>
      <c r="H127" s="2874"/>
      <c r="I127" s="2875"/>
    </row>
    <row r="128" spans="1:15" ht="15.75" thickTop="1" thickBot="1">
      <c r="A128" s="2893" t="s">
        <v>1954</v>
      </c>
      <c r="B128" s="2889"/>
      <c r="C128" s="2973"/>
      <c r="D128" s="2919" t="str">
        <f>I113</f>
        <v>——</v>
      </c>
      <c r="E128" s="2919"/>
      <c r="F128" s="2919"/>
      <c r="G128" s="2919"/>
      <c r="H128" s="2919"/>
      <c r="I128" s="2919"/>
    </row>
    <row r="129" spans="1:9" ht="16.5" thickTop="1" thickBot="1">
      <c r="A129" s="2916" t="str">
        <f>IF(项目基本情况!D5="房地产市场价值","——",MID(F114,3,LEN(F114)-2))</f>
        <v/>
      </c>
      <c r="B129" s="2917"/>
      <c r="C129" s="2918"/>
      <c r="D129" s="2981" t="str">
        <f>I114</f>
        <v>——</v>
      </c>
      <c r="E129" s="2981"/>
      <c r="F129" s="2981"/>
      <c r="G129" s="2981"/>
      <c r="H129" s="2981"/>
      <c r="I129" s="2981"/>
    </row>
    <row r="130" spans="1:9" ht="15.75" thickTop="1" thickBot="1">
      <c r="A130" s="2986" t="s">
        <v>1954</v>
      </c>
      <c r="B130" s="2987"/>
      <c r="C130" s="2987"/>
      <c r="D130" s="2991">
        <f>H116</f>
        <v>0</v>
      </c>
      <c r="E130" s="2992"/>
      <c r="F130" s="2992"/>
      <c r="G130" s="2992"/>
      <c r="H130" s="2992"/>
      <c r="I130" s="2993"/>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71" t="str">
        <f>IF(B32="总价","（以上估价结果中楼面单价为总价除以建筑面积得出）","（以上估价结果中总价为楼面单价乘以建筑面积得出）")</f>
        <v>（以上估价结果中总价为楼面单价乘以建筑面积得出）</v>
      </c>
      <c r="B132" s="2971"/>
      <c r="C132" s="2971"/>
      <c r="D132" s="2971"/>
      <c r="E132" s="2971"/>
      <c r="F132" s="2971"/>
      <c r="G132" s="2971"/>
      <c r="H132" s="2971"/>
      <c r="I132" s="2971"/>
    </row>
    <row r="133" spans="1:9" ht="21.75" customHeight="1">
      <c r="A133" s="2297" t="s">
        <v>1955</v>
      </c>
      <c r="B133" s="2298"/>
      <c r="C133" s="2299" t="s">
        <v>1956</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1957</v>
      </c>
      <c r="G139" s="2311"/>
      <c r="H139" s="2311"/>
      <c r="I139" s="2312" t="s">
        <v>1958</v>
      </c>
    </row>
    <row r="140" spans="1:9" ht="21.75" customHeight="1">
      <c r="A140" s="798"/>
      <c r="B140" s="2313"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1960</v>
      </c>
    </row>
    <row r="143" spans="1:9" ht="21.75" customHeight="1">
      <c r="A143" s="798"/>
      <c r="B143" s="2313" t="s">
        <v>1961</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1960</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1962</v>
      </c>
      <c r="B1" s="2192"/>
      <c r="C1" s="2192"/>
      <c r="D1" s="2192"/>
      <c r="E1" s="2192"/>
      <c r="F1" s="2192"/>
      <c r="G1" s="2192"/>
      <c r="H1" s="2192"/>
      <c r="I1" s="2192"/>
    </row>
    <row r="2" spans="1:12" ht="21.75" customHeight="1">
      <c r="A2" s="2995" t="s">
        <v>1963</v>
      </c>
      <c r="B2" s="2995"/>
      <c r="C2" s="2995"/>
      <c r="D2" s="2995"/>
      <c r="E2" s="2995"/>
      <c r="F2" s="2995"/>
      <c r="G2" s="2995"/>
      <c r="H2" s="2995"/>
      <c r="I2" s="2995"/>
    </row>
    <row r="3" spans="1:12" ht="12.75">
      <c r="A3" s="2949" t="s">
        <v>1767</v>
      </c>
      <c r="B3" s="2950"/>
      <c r="C3" s="2950"/>
      <c r="D3" s="2950"/>
      <c r="E3" s="2950"/>
      <c r="F3" s="2950"/>
      <c r="G3" s="2950"/>
      <c r="H3" s="2950"/>
      <c r="I3" s="2950"/>
    </row>
    <row r="4" spans="1:12" ht="14.25">
      <c r="A4" s="2194" t="s">
        <v>1768</v>
      </c>
      <c r="B4" s="2195" t="s">
        <v>1769</v>
      </c>
      <c r="C4" s="2196"/>
      <c r="D4" s="2196"/>
      <c r="E4" s="2954" t="s">
        <v>1964</v>
      </c>
      <c r="F4" s="2955"/>
      <c r="G4" s="2955"/>
      <c r="H4" s="2955"/>
      <c r="I4" s="295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4" t="s">
        <v>1771</v>
      </c>
      <c r="B5" s="2889">
        <v>25</v>
      </c>
      <c r="C5" s="2951"/>
      <c r="D5" s="2948"/>
      <c r="E5" s="56" t="s">
        <v>1772</v>
      </c>
      <c r="F5" s="2197"/>
      <c r="G5" s="2197"/>
      <c r="H5" s="2197"/>
      <c r="I5" s="2198"/>
    </row>
    <row r="6" spans="1:12" ht="12.75">
      <c r="A6" s="2944"/>
      <c r="B6" s="2889"/>
      <c r="C6" s="2952"/>
      <c r="D6" s="2948"/>
      <c r="E6" s="56" t="s">
        <v>1773</v>
      </c>
      <c r="F6" s="2197"/>
      <c r="G6" s="2197"/>
      <c r="H6" s="2197"/>
      <c r="I6" s="2198"/>
    </row>
    <row r="7" spans="1:12" ht="12.75">
      <c r="A7" s="2944"/>
      <c r="B7" s="2889"/>
      <c r="C7" s="2953"/>
      <c r="D7" s="2948"/>
      <c r="E7" s="56" t="s">
        <v>1774</v>
      </c>
      <c r="F7" s="2197"/>
      <c r="G7" s="2197"/>
      <c r="H7" s="2197"/>
      <c r="I7" s="2198"/>
    </row>
    <row r="8" spans="1:12" ht="12.75">
      <c r="A8" s="2944" t="s">
        <v>1775</v>
      </c>
      <c r="B8" s="2889">
        <v>15</v>
      </c>
      <c r="C8" s="2951"/>
      <c r="D8" s="2948"/>
      <c r="E8" s="56" t="s">
        <v>1776</v>
      </c>
      <c r="F8" s="2197"/>
      <c r="G8" s="2197"/>
      <c r="H8" s="2197"/>
      <c r="I8" s="2198"/>
    </row>
    <row r="9" spans="1:12" ht="12.75">
      <c r="A9" s="2944"/>
      <c r="B9" s="2889"/>
      <c r="C9" s="2953"/>
      <c r="D9" s="2948"/>
      <c r="E9" s="56" t="s">
        <v>1777</v>
      </c>
      <c r="F9" s="2197"/>
      <c r="G9" s="2197"/>
      <c r="H9" s="2197"/>
      <c r="I9" s="2198"/>
    </row>
    <row r="10" spans="1:12" ht="12.75">
      <c r="A10" s="2944" t="s">
        <v>1778</v>
      </c>
      <c r="B10" s="2889">
        <v>15</v>
      </c>
      <c r="C10" s="2951"/>
      <c r="D10" s="2948"/>
      <c r="E10" s="56" t="s">
        <v>1779</v>
      </c>
      <c r="F10" s="2197"/>
      <c r="G10" s="2197"/>
      <c r="H10" s="2197"/>
      <c r="I10" s="2198"/>
    </row>
    <row r="11" spans="1:12" ht="12.75">
      <c r="A11" s="2944"/>
      <c r="B11" s="2889"/>
      <c r="C11" s="2953"/>
      <c r="D11" s="2948"/>
      <c r="E11" s="56" t="s">
        <v>1780</v>
      </c>
      <c r="F11" s="2197"/>
      <c r="G11" s="2197"/>
      <c r="H11" s="2197"/>
      <c r="I11" s="2198"/>
    </row>
    <row r="12" spans="1:12" ht="12.75">
      <c r="A12" s="2944" t="s">
        <v>1781</v>
      </c>
      <c r="B12" s="2889">
        <v>15</v>
      </c>
      <c r="C12" s="2951"/>
      <c r="D12" s="2948"/>
      <c r="E12" s="56" t="s">
        <v>1782</v>
      </c>
      <c r="F12" s="2197"/>
      <c r="G12" s="2197"/>
      <c r="H12" s="2197"/>
      <c r="I12" s="2198"/>
    </row>
    <row r="13" spans="1:12" ht="12.75">
      <c r="A13" s="2944"/>
      <c r="B13" s="2889"/>
      <c r="C13" s="2953"/>
      <c r="D13" s="2948"/>
      <c r="E13" s="56" t="s">
        <v>1783</v>
      </c>
      <c r="F13" s="2197"/>
      <c r="G13" s="2197"/>
      <c r="H13" s="2197"/>
      <c r="I13" s="2198"/>
    </row>
    <row r="14" spans="1:12" ht="12.75">
      <c r="A14" s="2944" t="s">
        <v>1784</v>
      </c>
      <c r="B14" s="2889">
        <v>30</v>
      </c>
      <c r="C14" s="2951"/>
      <c r="D14" s="2948"/>
      <c r="E14" s="56" t="s">
        <v>1785</v>
      </c>
      <c r="F14" s="2197"/>
      <c r="G14" s="2197"/>
      <c r="H14" s="2197"/>
      <c r="I14" s="2198"/>
    </row>
    <row r="15" spans="1:12" ht="12.75">
      <c r="A15" s="2944"/>
      <c r="B15" s="2889"/>
      <c r="C15" s="2952"/>
      <c r="D15" s="2948"/>
      <c r="E15" s="56" t="s">
        <v>1786</v>
      </c>
      <c r="F15" s="2197"/>
      <c r="G15" s="2197"/>
      <c r="H15" s="2197"/>
      <c r="I15" s="2198"/>
    </row>
    <row r="16" spans="1:12" ht="12.75">
      <c r="A16" s="2944"/>
      <c r="B16" s="2889"/>
      <c r="C16" s="2953"/>
      <c r="D16" s="2948"/>
      <c r="E16" s="56" t="s">
        <v>1787</v>
      </c>
      <c r="F16" s="2197"/>
      <c r="G16" s="2197"/>
      <c r="H16" s="2197"/>
      <c r="I16" s="2198"/>
    </row>
    <row r="17" spans="1:35" ht="15">
      <c r="A17" s="2199" t="s">
        <v>1788</v>
      </c>
      <c r="B17" s="2200"/>
      <c r="C17" s="57">
        <f>SUM(C5:C16)</f>
        <v>0</v>
      </c>
      <c r="D17" s="57">
        <f>SUM(D5:D16)</f>
        <v>0</v>
      </c>
      <c r="E17" s="2192"/>
      <c r="F17" s="2192"/>
      <c r="G17" s="2192"/>
      <c r="H17" s="2192"/>
      <c r="I17" s="2192"/>
    </row>
    <row r="18" spans="1:35" ht="15.75" thickBot="1">
      <c r="A18" s="2201" t="s">
        <v>1789</v>
      </c>
      <c r="B18" s="2202"/>
      <c r="C18" s="58" t="e">
        <f>ROUND(C17/SUM(C17:D17),2)</f>
        <v>#DIV/0!</v>
      </c>
      <c r="D18" s="58" t="e">
        <f>1-C18</f>
        <v>#DIV/0!</v>
      </c>
      <c r="E18" s="2192"/>
      <c r="F18" s="2192"/>
      <c r="G18" s="2192"/>
      <c r="H18" s="2192"/>
      <c r="I18" s="2192"/>
    </row>
    <row r="19" spans="1:35" ht="15">
      <c r="A19" s="2203" t="s">
        <v>1790</v>
      </c>
      <c r="B19" s="2204" t="s">
        <v>1791</v>
      </c>
      <c r="C19" s="59" t="e">
        <f ca="1">SUMIF(INDIRECT("'"&amp;C4&amp;"'"&amp;"!A:A"),'结果表 (1修多)'!B19,INDIRECT("'"&amp;C4&amp;"'"&amp;"!B:B"))</f>
        <v>#REF!</v>
      </c>
      <c r="D19" s="60" t="e">
        <f ca="1">SUMIF(INDIRECT("'"&amp;D4&amp;"'"&amp;"!A:A"),'结果表 (1修多)'!B19,INDIRECT("'"&amp;D4&amp;"'"&amp;"!B:B"))</f>
        <v>#REF!</v>
      </c>
      <c r="E19" s="2203" t="s">
        <v>1792</v>
      </c>
      <c r="F19" s="2204" t="s">
        <v>1791</v>
      </c>
      <c r="G19" s="61" t="e">
        <f ca="1">ROUND(C19*$C$18+D19*$D$18,0)</f>
        <v>#REF!</v>
      </c>
      <c r="H19" s="2205" t="str">
        <f>'数据-取费表'!B3</f>
        <v>元</v>
      </c>
      <c r="I19" s="2192"/>
    </row>
    <row r="20" spans="1:35" ht="15">
      <c r="A20" s="2206"/>
      <c r="B20" s="2207" t="s">
        <v>1793</v>
      </c>
      <c r="C20" s="62" t="e">
        <f ca="1">SUMIF(INDIRECT("'"&amp;C4&amp;"'"&amp;"!A:A"),'结果表 (1修多)'!B20,INDIRECT("'"&amp;C4&amp;"'"&amp;"!B:B"))</f>
        <v>#REF!</v>
      </c>
      <c r="D20" s="63" t="e">
        <f ca="1">SUMIF(INDIRECT("'"&amp;D4&amp;"'"&amp;"!A:A"),'结果表 (1修多)'!B20,INDIRECT("'"&amp;D4&amp;"'"&amp;"!B:B"))</f>
        <v>#REF!</v>
      </c>
      <c r="E20" s="2206"/>
      <c r="F20" s="2207" t="s">
        <v>1793</v>
      </c>
      <c r="G20" s="64" t="e">
        <f ca="1">ROUND(C20*$C$18+D20*$D$18,0)</f>
        <v>#REF!</v>
      </c>
      <c r="H20" s="2208" t="s">
        <v>1794</v>
      </c>
      <c r="I20" s="2192"/>
    </row>
    <row r="21" spans="1:35" ht="15" customHeight="1" thickBot="1">
      <c r="A21" s="2209"/>
      <c r="B21" s="2210"/>
      <c r="C21" s="770"/>
      <c r="D21" s="771"/>
      <c r="E21" s="2209"/>
      <c r="F21" s="2210"/>
      <c r="G21" s="65"/>
      <c r="H21" s="2211"/>
      <c r="I21" s="2192"/>
    </row>
    <row r="22" spans="1:35" ht="15" thickBot="1">
      <c r="A22" s="2212" t="s">
        <v>1795</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57" t="s">
        <v>1796</v>
      </c>
      <c r="B24" s="2204" t="s">
        <v>1791</v>
      </c>
      <c r="C24" s="61">
        <f>D30</f>
        <v>0</v>
      </c>
      <c r="D24" s="994"/>
      <c r="E24" s="2192"/>
      <c r="F24" s="2192"/>
      <c r="G24" s="2192"/>
      <c r="H24" s="2192"/>
      <c r="I24" s="2192"/>
    </row>
    <row r="25" spans="1:35" ht="21.75" customHeight="1">
      <c r="A25" s="2958"/>
      <c r="B25" s="2207" t="s">
        <v>1793</v>
      </c>
      <c r="C25" s="66">
        <f>IF(B30=0,0,C30)</f>
        <v>0</v>
      </c>
      <c r="D25" s="2215"/>
      <c r="E25" s="2192"/>
      <c r="F25" s="2192"/>
      <c r="G25" s="2192"/>
      <c r="H25" s="2192"/>
      <c r="I25" s="2192"/>
    </row>
    <row r="26" spans="1:35" ht="13.5" customHeight="1">
      <c r="A26" s="2216" t="s">
        <v>1797</v>
      </c>
      <c r="B26" s="67" t="s">
        <v>1798</v>
      </c>
      <c r="C26" s="67" t="s">
        <v>1799</v>
      </c>
      <c r="D26" s="68" t="s">
        <v>1800</v>
      </c>
      <c r="E26" s="2192"/>
      <c r="F26" s="2192"/>
      <c r="G26" s="2192"/>
      <c r="H26" s="2192"/>
      <c r="I26" s="2192"/>
    </row>
    <row r="27" spans="1:35" ht="14.25">
      <c r="A27" s="2217" t="s">
        <v>1965</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3" t="s">
        <v>1966</v>
      </c>
      <c r="B30" s="2714"/>
      <c r="C30" s="2714"/>
      <c r="D30" s="2714"/>
      <c r="E30" s="2712" t="s">
        <v>2805</v>
      </c>
      <c r="F30" s="2192"/>
      <c r="G30" s="2192"/>
      <c r="H30" s="2192"/>
      <c r="I30" s="2192"/>
    </row>
    <row r="31" spans="1:35" s="2219" customFormat="1" ht="15.75" thickBot="1">
      <c r="A31" s="3005" t="s">
        <v>1967</v>
      </c>
      <c r="B31" s="3005"/>
      <c r="C31" s="3005"/>
      <c r="D31" s="3005"/>
      <c r="E31" s="3005"/>
      <c r="F31" s="3005"/>
      <c r="G31" s="3005"/>
      <c r="H31" s="3005"/>
      <c r="I31" s="300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1968</v>
      </c>
      <c r="C32" s="1308">
        <f>典型户型修正!R27</f>
        <v>0</v>
      </c>
      <c r="D32" s="2192" t="s">
        <v>1969</v>
      </c>
      <c r="E32" s="2192"/>
      <c r="F32" s="2192"/>
      <c r="G32" s="2192"/>
      <c r="H32" s="2192"/>
      <c r="I32" s="2192"/>
    </row>
    <row r="33" spans="1:16" ht="15">
      <c r="A33" s="2319" t="s">
        <v>1970</v>
      </c>
      <c r="B33" s="2320" t="s">
        <v>1971</v>
      </c>
      <c r="C33" s="1309">
        <f>典型户型修正!B2</f>
        <v>0</v>
      </c>
      <c r="D33" s="2321" t="str">
        <f>IF('数据-取费表'!B3="万元","万元","元")</f>
        <v>元</v>
      </c>
      <c r="E33" s="2192"/>
      <c r="F33" s="2192"/>
      <c r="G33" s="2192"/>
      <c r="H33" s="2192"/>
      <c r="I33" s="2192"/>
    </row>
    <row r="34" spans="1:16" ht="15.75" thickBot="1">
      <c r="A34" s="2322"/>
      <c r="B34" s="2323" t="s">
        <v>1972</v>
      </c>
      <c r="C34" s="771" t="e">
        <f>典型户型修正!B3</f>
        <v>#DIV/0!</v>
      </c>
      <c r="D34" s="2192" t="s">
        <v>1973</v>
      </c>
      <c r="E34" s="2192"/>
      <c r="F34" s="2192"/>
      <c r="G34" s="2192"/>
      <c r="H34" s="2192"/>
      <c r="I34" s="2192"/>
    </row>
    <row r="35" spans="1:16" ht="15">
      <c r="A35" s="2324"/>
      <c r="B35" s="2325" t="s">
        <v>1974</v>
      </c>
      <c r="C35" s="1316">
        <f>IF('数据-取费表'!B3="万元",典型户型修正!V25,典型户型修正!U25)</f>
        <v>0</v>
      </c>
      <c r="D35" s="2192" t="str">
        <f>D33</f>
        <v>元</v>
      </c>
      <c r="E35" s="2192"/>
      <c r="F35" s="2192"/>
      <c r="G35" s="2192"/>
      <c r="H35" s="2192"/>
      <c r="I35" s="2192"/>
    </row>
    <row r="36" spans="1:16" ht="15.75" thickBot="1">
      <c r="A36" s="2231"/>
      <c r="B36" s="2326" t="s">
        <v>1975</v>
      </c>
      <c r="C36" s="1317">
        <f>IF('数据-取费表'!B3="万元",典型户型修正!Y25,典型户型修正!X25)</f>
        <v>0</v>
      </c>
      <c r="D36" s="2192" t="str">
        <f>D33</f>
        <v>元</v>
      </c>
      <c r="E36" s="2192"/>
      <c r="F36" s="2192"/>
      <c r="G36" s="2192"/>
      <c r="H36" s="2192"/>
      <c r="I36" s="2192"/>
    </row>
    <row r="37" spans="1:16" ht="15.75" thickBot="1">
      <c r="A37" s="2962" t="s">
        <v>1976</v>
      </c>
      <c r="B37" s="2234" t="s">
        <v>1977</v>
      </c>
      <c r="C37" s="69"/>
      <c r="D37" s="2235"/>
      <c r="E37" s="2236"/>
      <c r="F37" s="2236"/>
      <c r="G37" s="2192"/>
      <c r="H37" s="2192"/>
      <c r="I37" s="2192"/>
    </row>
    <row r="38" spans="1:16" ht="15.75" thickBot="1">
      <c r="A38" s="2963"/>
      <c r="B38" s="2237" t="s">
        <v>1978</v>
      </c>
      <c r="C38" s="71"/>
      <c r="D38" s="2202"/>
      <c r="E38" s="2202"/>
      <c r="F38" s="2236"/>
      <c r="G38" s="2202"/>
      <c r="H38" s="2202"/>
      <c r="I38" s="2202"/>
    </row>
    <row r="39" spans="1:16" ht="15.75" thickBot="1">
      <c r="A39" s="2964"/>
      <c r="B39" s="2238" t="s">
        <v>1979</v>
      </c>
      <c r="C39" s="712"/>
      <c r="D39" s="2239" t="s">
        <v>1980</v>
      </c>
      <c r="E39" s="2202"/>
      <c r="F39" s="2236"/>
      <c r="G39" s="2202"/>
      <c r="H39" s="2202"/>
      <c r="I39" s="2202"/>
    </row>
    <row r="40" spans="1:16" ht="15">
      <c r="A40" s="2206" t="s">
        <v>1981</v>
      </c>
      <c r="B40" s="2240" t="s">
        <v>1982</v>
      </c>
      <c r="C40" s="2241" t="s">
        <v>1983</v>
      </c>
      <c r="D40" s="2241" t="s">
        <v>1984</v>
      </c>
      <c r="E40" s="2242" t="s">
        <v>1985</v>
      </c>
      <c r="F40" s="2236"/>
      <c r="G40" s="2202"/>
      <c r="H40" s="2202"/>
      <c r="I40" s="2202"/>
    </row>
    <row r="41" spans="1:16" ht="14.25">
      <c r="A41" s="2243" t="s">
        <v>1986</v>
      </c>
      <c r="B41" s="74"/>
      <c r="C41" s="75"/>
      <c r="D41" s="75"/>
      <c r="E41" s="76"/>
      <c r="F41" s="2236"/>
      <c r="G41" s="2202"/>
      <c r="H41" s="2202"/>
      <c r="I41" s="2202"/>
    </row>
    <row r="42" spans="1:16" ht="14.25">
      <c r="A42" s="2243" t="s">
        <v>1987</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1988</v>
      </c>
      <c r="B45" s="2249"/>
      <c r="C45" s="2249"/>
      <c r="D45" s="2250"/>
      <c r="E45" s="2250"/>
      <c r="F45" s="2251"/>
      <c r="G45" s="2251"/>
      <c r="H45" s="2251"/>
      <c r="I45" s="2251"/>
      <c r="J45" s="2252" t="s">
        <v>1819</v>
      </c>
      <c r="K45" s="2253"/>
      <c r="L45" s="2253"/>
      <c r="M45" s="2253"/>
      <c r="N45" s="2253"/>
      <c r="O45" s="2253"/>
      <c r="P45" s="1845"/>
    </row>
    <row r="46" spans="1:16" ht="14.25" customHeight="1" thickBot="1">
      <c r="A46" s="2967" t="s">
        <v>1989</v>
      </c>
      <c r="B46" s="2968"/>
      <c r="C46" s="2969"/>
      <c r="D46" s="80">
        <f>ROUND(I103*F46,0)</f>
        <v>0</v>
      </c>
      <c r="E46" s="81" t="s">
        <v>1990</v>
      </c>
      <c r="F46" s="82">
        <v>1</v>
      </c>
      <c r="G46" s="83" t="s">
        <v>1991</v>
      </c>
      <c r="H46" s="2192"/>
      <c r="I46" s="2192"/>
      <c r="J46" s="2879" t="s">
        <v>1823</v>
      </c>
      <c r="K46" s="2879"/>
      <c r="L46" s="2879"/>
      <c r="M46" s="2879"/>
      <c r="N46" s="2879"/>
      <c r="O46" s="2879"/>
      <c r="P46" s="1845"/>
    </row>
    <row r="47" spans="1:16" ht="14.25" customHeight="1">
      <c r="A47" s="2959" t="s">
        <v>1824</v>
      </c>
      <c r="B47" s="2960"/>
      <c r="C47" s="2960"/>
      <c r="D47" s="2960"/>
      <c r="E47" s="2960"/>
      <c r="F47" s="2960"/>
      <c r="G47" s="2961"/>
      <c r="H47" s="2254"/>
      <c r="I47" s="1144"/>
      <c r="J47" s="1883">
        <v>1</v>
      </c>
      <c r="K47" s="2879" t="s">
        <v>1825</v>
      </c>
      <c r="L47" s="2879"/>
      <c r="M47" s="2994"/>
      <c r="N47" s="2994"/>
      <c r="O47" s="2994"/>
      <c r="P47" s="1845"/>
    </row>
    <row r="48" spans="1:16" ht="12" customHeight="1">
      <c r="A48" s="85" t="s">
        <v>1826</v>
      </c>
      <c r="B48" s="86"/>
      <c r="C48" s="87"/>
      <c r="D48" s="88" t="s">
        <v>1827</v>
      </c>
      <c r="E48" s="14" t="s">
        <v>1828</v>
      </c>
      <c r="F48" s="89" t="s">
        <v>1829</v>
      </c>
      <c r="G48" s="90" t="s">
        <v>1830</v>
      </c>
      <c r="H48" s="2254"/>
      <c r="I48" s="1144"/>
      <c r="J48" s="1883">
        <v>2</v>
      </c>
      <c r="K48" s="2879" t="s">
        <v>1831</v>
      </c>
      <c r="L48" s="2879"/>
      <c r="M48" s="2881">
        <f>'数据-取费表'!B2</f>
        <v>43230</v>
      </c>
      <c r="N48" s="2881"/>
      <c r="O48" s="2881"/>
      <c r="P48" s="1845"/>
    </row>
    <row r="49" spans="1:16" ht="25.5">
      <c r="A49" s="2965" t="s">
        <v>1832</v>
      </c>
      <c r="B49" s="2966"/>
      <c r="C49" s="2966"/>
      <c r="D49" s="56">
        <f>IF(H49="情况1",0,IF(H49="情况2",D53,IF(H49="情况3",D54,IF(H49="情况4",D55))))</f>
        <v>0</v>
      </c>
      <c r="E49" s="1893" t="str">
        <f>IF(H49="情况4","(销售额-原购置价)×税（费）率","销售额×税（费）率")</f>
        <v>销售额×税（费）率</v>
      </c>
      <c r="F49" s="91">
        <f>IF(H49="情况1","免征",'数据-取费表'!E29)</f>
        <v>5.5000000000000007E-2</v>
      </c>
      <c r="G49" s="2255" t="s">
        <v>1833</v>
      </c>
      <c r="H49" s="2256" t="s">
        <v>1834</v>
      </c>
      <c r="I49" s="2254"/>
      <c r="J49" s="1883">
        <v>3</v>
      </c>
      <c r="K49" s="2879" t="s">
        <v>1835</v>
      </c>
      <c r="L49" s="2879"/>
      <c r="M49" s="2880">
        <f>I103</f>
        <v>0</v>
      </c>
      <c r="N49" s="2880"/>
      <c r="O49" s="2880"/>
      <c r="P49" s="1845"/>
    </row>
    <row r="50" spans="1:16" ht="25.5" customHeight="1">
      <c r="A50" s="92" t="s">
        <v>1836</v>
      </c>
      <c r="B50" s="2946" t="s">
        <v>1837</v>
      </c>
      <c r="C50" s="2946"/>
      <c r="D50" s="93">
        <v>0</v>
      </c>
      <c r="E50" s="13" t="s">
        <v>1838</v>
      </c>
      <c r="F50" s="18" t="s">
        <v>48</v>
      </c>
      <c r="G50" s="2870"/>
      <c r="H50" s="2192"/>
      <c r="I50" s="2257"/>
      <c r="J50" s="1883">
        <v>4</v>
      </c>
      <c r="K50" s="2879" t="str">
        <f>IF(项目基本情况!F5="房地产抵押价值","房地产抵押价值","抵押担保权已注销时的房地产抵押价值")</f>
        <v>抵押担保权已注销时的房地产抵押价值</v>
      </c>
      <c r="L50" s="2879"/>
      <c r="M50" s="2880" t="str">
        <f>IF(项目基本情况!F5="房地产抵押价值",I111,I113)</f>
        <v>——</v>
      </c>
      <c r="N50" s="2880"/>
      <c r="O50" s="2880"/>
      <c r="P50" s="1845"/>
    </row>
    <row r="51" spans="1:16" ht="25.5" customHeight="1">
      <c r="A51" s="94"/>
      <c r="B51" s="2946" t="s">
        <v>1839</v>
      </c>
      <c r="C51" s="2946"/>
      <c r="D51" s="95"/>
      <c r="E51" s="21"/>
      <c r="F51" s="96"/>
      <c r="G51" s="2871"/>
      <c r="H51" s="2192"/>
      <c r="I51" s="2257"/>
      <c r="J51" s="2879" t="s">
        <v>1840</v>
      </c>
      <c r="K51" s="2879"/>
      <c r="L51" s="2879"/>
      <c r="M51" s="2879"/>
      <c r="N51" s="2879"/>
      <c r="O51" s="2879"/>
      <c r="P51" s="1845"/>
    </row>
    <row r="52" spans="1:16" ht="12" customHeight="1">
      <c r="A52" s="97"/>
      <c r="B52" s="2946" t="s">
        <v>1841</v>
      </c>
      <c r="C52" s="2946"/>
      <c r="D52" s="98"/>
      <c r="E52" s="20"/>
      <c r="F52" s="96"/>
      <c r="G52" s="2872"/>
      <c r="H52" s="2192"/>
      <c r="I52" s="2257"/>
      <c r="J52" s="2258" t="s">
        <v>1842</v>
      </c>
      <c r="K52" s="2879" t="s">
        <v>1843</v>
      </c>
      <c r="L52" s="2879"/>
      <c r="M52" s="2258" t="s">
        <v>1844</v>
      </c>
      <c r="N52" s="2258" t="s">
        <v>1845</v>
      </c>
      <c r="O52" s="2258" t="s">
        <v>1846</v>
      </c>
      <c r="P52" s="1845"/>
    </row>
    <row r="53" spans="1:16" ht="24" customHeight="1">
      <c r="A53" s="99" t="s">
        <v>1847</v>
      </c>
      <c r="B53" s="2946" t="s">
        <v>1848</v>
      </c>
      <c r="C53" s="2946"/>
      <c r="D53" s="98">
        <f>ROUND(D46*'数据-取费表'!E29/(1+'数据-取费表'!F30),0)</f>
        <v>0</v>
      </c>
      <c r="E53" s="10" t="s">
        <v>1849</v>
      </c>
      <c r="F53" s="100">
        <f>'数据-取费表'!E29</f>
        <v>5.5000000000000007E-2</v>
      </c>
      <c r="G53" s="2259"/>
      <c r="H53" s="2192"/>
      <c r="I53" s="2257"/>
      <c r="J53" s="1883">
        <v>1</v>
      </c>
      <c r="K53" s="2869" t="s">
        <v>1850</v>
      </c>
      <c r="L53" s="2869"/>
      <c r="M53" s="778">
        <f>D49</f>
        <v>0</v>
      </c>
      <c r="N53" s="1883" t="str">
        <f>E49</f>
        <v>销售额×税（费）率</v>
      </c>
      <c r="O53" s="779">
        <f>F49</f>
        <v>5.5000000000000007E-2</v>
      </c>
      <c r="P53" s="1845"/>
    </row>
    <row r="54" spans="1:16" ht="12" customHeight="1">
      <c r="A54" s="99" t="s">
        <v>1851</v>
      </c>
      <c r="B54" s="2945" t="s">
        <v>1852</v>
      </c>
      <c r="C54" s="2834"/>
      <c r="D54" s="98">
        <f>ROUND(D46*'数据-取费表'!E29/(1+'数据-取费表'!F30),0)</f>
        <v>0</v>
      </c>
      <c r="E54" s="10" t="s">
        <v>1849</v>
      </c>
      <c r="F54" s="100">
        <f>'数据-取费表'!E29</f>
        <v>5.5000000000000007E-2</v>
      </c>
      <c r="G54" s="2259"/>
      <c r="H54" s="2192"/>
      <c r="I54" s="2257"/>
      <c r="J54" s="1883">
        <v>2</v>
      </c>
      <c r="K54" s="2869" t="s">
        <v>1853</v>
      </c>
      <c r="L54" s="2869"/>
      <c r="M54" s="778">
        <f t="shared" ref="M54:O55" si="1">D56</f>
        <v>0</v>
      </c>
      <c r="N54" s="1883" t="str">
        <f t="shared" si="1"/>
        <v>销售额×税（费）率</v>
      </c>
      <c r="O54" s="779">
        <f t="shared" si="1"/>
        <v>5.0000000000000001E-4</v>
      </c>
      <c r="P54" s="1845"/>
    </row>
    <row r="55" spans="1:16" ht="12" customHeight="1">
      <c r="A55" s="99" t="s">
        <v>1854</v>
      </c>
      <c r="B55" s="2945" t="s">
        <v>1855</v>
      </c>
      <c r="C55" s="2834"/>
      <c r="D55" s="98">
        <f>C69</f>
        <v>0</v>
      </c>
      <c r="E55" s="20" t="s">
        <v>1856</v>
      </c>
      <c r="F55" s="100">
        <f>'数据-取费表'!E29</f>
        <v>5.5000000000000007E-2</v>
      </c>
      <c r="G55" s="2259"/>
      <c r="H55" s="2260"/>
      <c r="I55" s="2257"/>
      <c r="J55" s="1883">
        <v>3</v>
      </c>
      <c r="K55" s="2869" t="s">
        <v>1857</v>
      </c>
      <c r="L55" s="2869"/>
      <c r="M55" s="778">
        <f t="shared" si="1"/>
        <v>0</v>
      </c>
      <c r="N55" s="1883" t="str">
        <f t="shared" si="1"/>
        <v>增值额×税（费）率</v>
      </c>
      <c r="O55" s="780" t="str">
        <f t="shared" si="1"/>
        <v>——</v>
      </c>
      <c r="P55" s="1845"/>
    </row>
    <row r="56" spans="1:16" ht="24" customHeight="1">
      <c r="A56" s="2826" t="s">
        <v>1858</v>
      </c>
      <c r="B56" s="2966"/>
      <c r="C56" s="2966"/>
      <c r="D56" s="101">
        <f>IF(H56="个人住宅",0,ROUND(D46*I56,0))</f>
        <v>0</v>
      </c>
      <c r="E56" s="10" t="s">
        <v>1859</v>
      </c>
      <c r="F56" s="100">
        <f>IF(H56="正常",I56,"免征")</f>
        <v>5.0000000000000001E-4</v>
      </c>
      <c r="G56" s="2259"/>
      <c r="H56" s="2256" t="s">
        <v>1860</v>
      </c>
      <c r="I56" s="102">
        <f>'数据-取费表'!E37</f>
        <v>5.0000000000000001E-4</v>
      </c>
      <c r="J56" s="1883" t="str">
        <f>IF(H60="非个人房产","",4)</f>
        <v/>
      </c>
      <c r="K56" s="2869" t="str">
        <f>IF(H60="非个人房产","——","个人所得税")</f>
        <v>——</v>
      </c>
      <c r="L56" s="2869"/>
      <c r="M56" s="781" t="str">
        <f>D60</f>
        <v>——</v>
      </c>
      <c r="N56" s="1886" t="str">
        <f>E60</f>
        <v>——</v>
      </c>
      <c r="O56" s="782" t="str">
        <f>F60</f>
        <v>——</v>
      </c>
      <c r="P56" s="1845"/>
    </row>
    <row r="57" spans="1:16" ht="24.75">
      <c r="A57" s="2826" t="s">
        <v>1861</v>
      </c>
      <c r="B57" s="2966"/>
      <c r="C57" s="2966"/>
      <c r="D57" s="101">
        <f>IF(H57="个人住宅",D58,D59)</f>
        <v>0</v>
      </c>
      <c r="E57" s="10" t="s">
        <v>1862</v>
      </c>
      <c r="F57" s="100" t="str">
        <f>IF(H57="正常",F59,"免征")</f>
        <v>——</v>
      </c>
      <c r="G57" s="2261" t="s">
        <v>1863</v>
      </c>
      <c r="H57" s="2262" t="s">
        <v>1860</v>
      </c>
      <c r="I57" s="1022"/>
      <c r="J57" s="1883" t="str">
        <f>IF(项目基本情况!I6="上海银行",IF(J56="",4,J56+1),"")</f>
        <v/>
      </c>
      <c r="K57" s="2886" t="str">
        <f>IF(项目基本情况!I6="上海银行","其他处置费用","")</f>
        <v/>
      </c>
      <c r="L57" s="2887"/>
      <c r="M57" s="778" t="str">
        <f>IF(项目基本情况!I6="上海银行",M70,"")</f>
        <v/>
      </c>
      <c r="N57" s="2867" t="str">
        <f>IF(项目基本情况!I6="上海银行","包含处置中涉及的律师、诉讼、拍卖、评估等费用","")</f>
        <v/>
      </c>
      <c r="O57" s="2868"/>
      <c r="P57" s="1845"/>
    </row>
    <row r="58" spans="1:16" ht="12.75">
      <c r="A58" s="99" t="s">
        <v>1836</v>
      </c>
      <c r="B58" s="2954" t="s">
        <v>1864</v>
      </c>
      <c r="C58" s="2956"/>
      <c r="D58" s="103">
        <v>0</v>
      </c>
      <c r="E58" s="13" t="s">
        <v>1838</v>
      </c>
      <c r="F58" s="70"/>
      <c r="G58" s="2259"/>
      <c r="H58" s="1022"/>
      <c r="I58" s="1022"/>
      <c r="J58" s="2869">
        <f>IF(AND(J56="",J57=""),4,IF(项目基本情况!I6="上海银行",J57+1,J56+1))</f>
        <v>4</v>
      </c>
      <c r="K58" s="2869" t="s">
        <v>1865</v>
      </c>
      <c r="L58" s="2263" t="s">
        <v>1866</v>
      </c>
      <c r="M58" s="783"/>
      <c r="N58" s="784">
        <f>SUMIF(M53:M57,"&lt;9e307")</f>
        <v>0</v>
      </c>
      <c r="O58" s="2264"/>
      <c r="P58" s="1841" t="e">
        <f>N58/M50</f>
        <v>#VALUE!</v>
      </c>
    </row>
    <row r="59" spans="1:16" ht="24.75">
      <c r="A59" s="99" t="s">
        <v>1847</v>
      </c>
      <c r="B59" s="2954" t="s">
        <v>1867</v>
      </c>
      <c r="C59" s="2955"/>
      <c r="D59" s="101">
        <f>IF(H59="转让取得",C82,C98)</f>
        <v>0</v>
      </c>
      <c r="E59" s="10" t="s">
        <v>1862</v>
      </c>
      <c r="F59" s="14" t="s">
        <v>48</v>
      </c>
      <c r="G59" s="2259"/>
      <c r="H59" s="2262" t="s">
        <v>1868</v>
      </c>
      <c r="I59" s="1022"/>
      <c r="J59" s="2869"/>
      <c r="K59" s="2869"/>
      <c r="L59" s="2263" t="s">
        <v>1869</v>
      </c>
      <c r="M59" s="785"/>
      <c r="N59" s="2265" t="str">
        <f>IF(H19="元",NUMBERSTRING(INT(N58),2)&amp;"元整",NUMBERSTRING(INT(N58*10000),2)&amp;"元整")</f>
        <v>零元整</v>
      </c>
      <c r="O59" s="2266"/>
      <c r="P59" s="1845"/>
    </row>
    <row r="60" spans="1:16" ht="24.75" thickBot="1">
      <c r="A60" s="2827" t="s">
        <v>1870</v>
      </c>
      <c r="B60" s="2830"/>
      <c r="C60" s="2830"/>
      <c r="D60" s="104" t="str">
        <f>IF(H60="非个人房产","——",IF(H60="个人住宅",0,ROUND(D46*I60,0)))</f>
        <v>——</v>
      </c>
      <c r="E60" s="105" t="str">
        <f>IF(H60="非个人房产","——","销售额×税（费）率")</f>
        <v>——</v>
      </c>
      <c r="F60" s="106" t="str">
        <f>IF(H60="非个人房产","——",IF(H60="个人住宅","免征",I60))</f>
        <v>——</v>
      </c>
      <c r="G60" s="2267" t="s">
        <v>1863</v>
      </c>
      <c r="H60" s="2262" t="s">
        <v>1992</v>
      </c>
      <c r="I60" s="107">
        <v>0.01</v>
      </c>
      <c r="J60" s="2923">
        <f>J58+1</f>
        <v>5</v>
      </c>
      <c r="K60" s="2869" t="s">
        <v>1872</v>
      </c>
      <c r="L60" s="1883" t="s">
        <v>1866</v>
      </c>
      <c r="M60" s="786"/>
      <c r="N60" s="787" t="e">
        <f>M50-N58</f>
        <v>#VALUE!</v>
      </c>
      <c r="O60" s="2268"/>
      <c r="P60" s="1845"/>
    </row>
    <row r="61" spans="1:16" ht="12" customHeight="1">
      <c r="A61" s="2064"/>
      <c r="B61" s="2192"/>
      <c r="C61" s="2192"/>
      <c r="D61" s="2192"/>
      <c r="E61" s="1022"/>
      <c r="F61" s="1022"/>
      <c r="G61" s="1022"/>
      <c r="H61" s="2245"/>
      <c r="I61" s="2192"/>
      <c r="J61" s="2924"/>
      <c r="K61" s="2869"/>
      <c r="L61" s="2263" t="s">
        <v>1869</v>
      </c>
      <c r="M61" s="785"/>
      <c r="N61" s="2265" t="e">
        <f>IF(H19="元",NUMBERSTRING(INT(N60),2)&amp;"元整",NUMBERSTRING(INT(N60*10000),2)&amp;"元整")</f>
        <v>#VALUE!</v>
      </c>
      <c r="O61" s="2266"/>
      <c r="P61" s="1845"/>
    </row>
    <row r="62" spans="1:16" ht="13.5" thickBot="1">
      <c r="A62" s="2970" t="s">
        <v>1873</v>
      </c>
      <c r="B62" s="2970"/>
      <c r="C62" s="2970"/>
      <c r="D62" s="2970"/>
      <c r="E62" s="2970"/>
      <c r="F62" s="1022"/>
      <c r="G62" s="1022"/>
      <c r="H62" s="2245"/>
      <c r="I62" s="2192"/>
      <c r="J62" s="1883">
        <f>J60+1</f>
        <v>6</v>
      </c>
      <c r="K62" s="2869" t="s">
        <v>1874</v>
      </c>
      <c r="L62" s="2869"/>
      <c r="M62" s="788"/>
      <c r="N62" s="789" t="e">
        <f>IF(H19="元",ROUND(N60/项目基本情况!C12,0),ROUND(N60*10000/项目基本情况!C12,0))</f>
        <v>#VALUE!</v>
      </c>
      <c r="O62" s="2269"/>
      <c r="P62" s="1845"/>
    </row>
    <row r="63" spans="1:16" ht="12.75">
      <c r="A63" s="2907" t="s">
        <v>1875</v>
      </c>
      <c r="B63" s="2908"/>
      <c r="C63" s="1885"/>
      <c r="D63" s="1885" t="s">
        <v>1876</v>
      </c>
      <c r="E63" s="108" t="s">
        <v>1877</v>
      </c>
      <c r="F63" s="1022"/>
      <c r="G63" s="1022"/>
      <c r="H63" s="2245"/>
      <c r="I63" s="2192"/>
      <c r="J63" s="1845"/>
      <c r="K63" s="1845"/>
      <c r="L63" s="1845"/>
      <c r="M63" s="1845"/>
      <c r="N63" s="1845"/>
      <c r="O63" s="1845"/>
      <c r="P63" s="1845"/>
    </row>
    <row r="64" spans="1:16" ht="12.75">
      <c r="A64" s="109">
        <v>1</v>
      </c>
      <c r="B64" s="110" t="s">
        <v>1878</v>
      </c>
      <c r="C64" s="111">
        <f>ROUND((C65+C66)/(1+'数据-取费表'!F30),0)</f>
        <v>0</v>
      </c>
      <c r="D64" s="112"/>
      <c r="E64" s="113"/>
      <c r="F64" s="1022"/>
      <c r="G64" s="1022"/>
      <c r="H64" s="2245"/>
      <c r="I64" s="2192"/>
      <c r="J64" s="2888" t="s">
        <v>1879</v>
      </c>
      <c r="K64" s="2270" t="s">
        <v>1880</v>
      </c>
      <c r="L64" s="1844" t="e">
        <f>IF(M50&gt;10000,M50*0.5%,IF(AND(M50&gt;1000,M50&lt;=10000),M50*1%,IF(AND(M50&gt;100,M50&lt;=1000),M50*3%,IF(AND(M50&gt;10,M50&lt;=100),M50*5%,M50*8%))))</f>
        <v>#VALUE!</v>
      </c>
      <c r="M64" s="14" t="e">
        <f>ROUND(L64,1)</f>
        <v>#VALUE!</v>
      </c>
      <c r="N64" s="1845"/>
      <c r="O64" s="1845"/>
      <c r="P64" s="1845"/>
    </row>
    <row r="65" spans="1:35" ht="12.75">
      <c r="A65" s="114" t="s">
        <v>71</v>
      </c>
      <c r="B65" s="115" t="s">
        <v>1881</v>
      </c>
      <c r="C65" s="116">
        <f>D46</f>
        <v>0</v>
      </c>
      <c r="D65" s="117" t="s">
        <v>41</v>
      </c>
      <c r="E65" s="118"/>
      <c r="F65" s="1022"/>
      <c r="G65" s="1022"/>
      <c r="H65" s="2245"/>
      <c r="I65" s="2192"/>
      <c r="J65" s="2888"/>
      <c r="K65" s="2270" t="s">
        <v>1882</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1883</v>
      </c>
      <c r="O65" s="1845"/>
      <c r="P65" s="1845"/>
    </row>
    <row r="66" spans="1:35" ht="12.75">
      <c r="A66" s="114" t="s">
        <v>72</v>
      </c>
      <c r="B66" s="115" t="s">
        <v>1884</v>
      </c>
      <c r="C66" s="119"/>
      <c r="D66" s="117"/>
      <c r="E66" s="118"/>
      <c r="F66" s="1022"/>
      <c r="G66" s="1022"/>
      <c r="H66" s="2245"/>
      <c r="I66" s="2192"/>
      <c r="J66" s="2888"/>
      <c r="K66" s="2270" t="s">
        <v>1885</v>
      </c>
      <c r="L66" s="1844" t="e">
        <f>IF(M50&gt;1000,M50*0.1%,IF(AND(M50&gt;500,M50&lt;=1000),M50*0.5%,IF(AND(M50&gt;50,M50&lt;=500),M50*1%,IF(AND(M50&gt;1,M50&lt;=50),M50*1.5%))))</f>
        <v>#VALUE!</v>
      </c>
      <c r="M66" s="14" t="e">
        <f t="shared" si="2"/>
        <v>#VALUE!</v>
      </c>
      <c r="N66" s="1845" t="s">
        <v>1883</v>
      </c>
      <c r="O66" s="1845"/>
      <c r="P66" s="1845"/>
    </row>
    <row r="67" spans="1:35" ht="12.75">
      <c r="A67" s="120" t="s">
        <v>47</v>
      </c>
      <c r="B67" s="121" t="s">
        <v>1886</v>
      </c>
      <c r="C67" s="122"/>
      <c r="D67" s="123" t="s">
        <v>41</v>
      </c>
      <c r="E67" s="1861" t="s">
        <v>1887</v>
      </c>
      <c r="F67" s="1022"/>
      <c r="G67" s="1022"/>
      <c r="H67" s="2245"/>
      <c r="I67" s="2192"/>
      <c r="J67" s="2888"/>
      <c r="K67" s="2270" t="s">
        <v>1888</v>
      </c>
      <c r="L67" s="1844" t="e">
        <f>M50*0.5%</f>
        <v>#VALUE!</v>
      </c>
      <c r="M67" s="14" t="e">
        <f>IF(L67&gt;0.5,0.5,ROUND(L67,0))</f>
        <v>#VALUE!</v>
      </c>
      <c r="N67" s="1845" t="s">
        <v>1889</v>
      </c>
      <c r="O67" s="1845"/>
      <c r="P67" s="1845"/>
    </row>
    <row r="68" spans="1:35" ht="12.75">
      <c r="A68" s="120" t="s">
        <v>42</v>
      </c>
      <c r="B68" s="121" t="s">
        <v>1890</v>
      </c>
      <c r="C68" s="124">
        <f>C64-C67</f>
        <v>0</v>
      </c>
      <c r="D68" s="117" t="s">
        <v>41</v>
      </c>
      <c r="E68" s="118"/>
      <c r="F68" s="1022"/>
      <c r="G68" s="1022"/>
      <c r="H68" s="2245"/>
      <c r="I68" s="2192"/>
      <c r="J68" s="2888"/>
      <c r="K68" s="2270" t="s">
        <v>1891</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1892</v>
      </c>
      <c r="C69" s="127">
        <f>IF(C68&lt;=0,0,ROUND(C68*D69,0))</f>
        <v>0</v>
      </c>
      <c r="D69" s="128">
        <f>'数据-取费表'!E29</f>
        <v>5.5000000000000007E-2</v>
      </c>
      <c r="E69" s="129"/>
      <c r="F69" s="1022"/>
      <c r="G69" s="1022"/>
      <c r="H69" s="2245"/>
      <c r="I69" s="2192"/>
      <c r="J69" s="2888"/>
      <c r="K69" s="2270" t="s">
        <v>1893</v>
      </c>
      <c r="L69" s="1844" t="e">
        <f>IF(M50&gt;10000,M50*0.5%,IF(AND(M50&gt;5000,M50&lt;=10000),M50*1%,IF(AND(M50&gt;1000,M50&lt;=5000),M50*2%,IF(AND(M50&gt;200,M50&lt;=1000),M50*3%,M50*5%))))</f>
        <v>#VALUE!</v>
      </c>
      <c r="M69" s="14" t="e">
        <f>ROUND(L69,1)</f>
        <v>#VALUE!</v>
      </c>
      <c r="N69" s="1845"/>
      <c r="O69" s="1845"/>
      <c r="P69" s="1845"/>
    </row>
    <row r="70" spans="1:35" s="2219" customFormat="1" ht="7.5" customHeight="1">
      <c r="A70" s="2271"/>
      <c r="B70" s="2272"/>
      <c r="C70" s="2273"/>
      <c r="D70" s="2274"/>
      <c r="E70" s="2275"/>
      <c r="F70" s="1022"/>
      <c r="G70" s="1022"/>
      <c r="H70" s="2245"/>
      <c r="I70" s="2192"/>
      <c r="J70" s="2888"/>
      <c r="K70" s="2270" t="s">
        <v>1894</v>
      </c>
      <c r="L70" s="2276"/>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909" t="s">
        <v>1895</v>
      </c>
      <c r="B71" s="2910"/>
      <c r="C71" s="2910"/>
      <c r="D71" s="2910"/>
      <c r="E71" s="2910"/>
      <c r="F71" s="2910"/>
      <c r="G71" s="2910"/>
      <c r="H71" s="2910"/>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07" t="s">
        <v>1875</v>
      </c>
      <c r="B72" s="2908"/>
      <c r="C72" s="1885"/>
      <c r="D72" s="1885" t="s">
        <v>1876</v>
      </c>
      <c r="E72" s="130" t="s">
        <v>1877</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1896</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1898</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1899</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1900</v>
      </c>
      <c r="C76" s="137"/>
      <c r="D76" s="117" t="s">
        <v>41</v>
      </c>
      <c r="E76" s="138" t="s">
        <v>1901</v>
      </c>
      <c r="F76" s="2281" t="s">
        <v>1902</v>
      </c>
      <c r="G76" s="138" t="s">
        <v>1903</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1904</v>
      </c>
      <c r="C77" s="117">
        <f>IF(F76="购房发票",ROUND(C76*H76*D77,0),0)</f>
        <v>0</v>
      </c>
      <c r="D77" s="141">
        <v>0.05</v>
      </c>
      <c r="E77" s="2945" t="s">
        <v>1905</v>
      </c>
      <c r="F77" s="2946"/>
      <c r="G77" s="2946"/>
      <c r="H77" s="2947"/>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2" t="s">
        <v>1908</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1909</v>
      </c>
      <c r="C79" s="144">
        <f>ROUND(D46*D79/(1+'数据-取费表'!F30),0)</f>
        <v>0</v>
      </c>
      <c r="D79" s="145">
        <f>'数据-取费表'!E31</f>
        <v>5.000000000000001E-3</v>
      </c>
      <c r="E79" s="2876" t="s">
        <v>1910</v>
      </c>
      <c r="F79" s="2877"/>
      <c r="G79" s="2877"/>
      <c r="H79" s="2897"/>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1911</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09" t="s">
        <v>1914</v>
      </c>
      <c r="B84" s="2910"/>
      <c r="C84" s="2910"/>
      <c r="D84" s="2910"/>
      <c r="E84" s="2910"/>
      <c r="F84" s="2910"/>
      <c r="G84" s="2910"/>
      <c r="H84" s="2910"/>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07" t="s">
        <v>1875</v>
      </c>
      <c r="B85" s="2908"/>
      <c r="C85" s="1885"/>
      <c r="D85" s="1885" t="s">
        <v>1876</v>
      </c>
      <c r="E85" s="130" t="s">
        <v>1877</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1896</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1898</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1915</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1916</v>
      </c>
      <c r="C89" s="157"/>
      <c r="D89" s="145"/>
      <c r="E89" s="158" t="s">
        <v>1917</v>
      </c>
      <c r="F89" s="1882"/>
      <c r="G89" s="159" t="s">
        <v>1918</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1906</v>
      </c>
      <c r="C90" s="144">
        <f>ROUND(C89*D90,0)</f>
        <v>0</v>
      </c>
      <c r="D90" s="145">
        <f>'数据-取费表'!E36+'数据-取费表'!E37</f>
        <v>3.0499999999999999E-2</v>
      </c>
      <c r="E90" s="158" t="s">
        <v>1919</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1920</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1921</v>
      </c>
      <c r="C92" s="144">
        <f>IF(H92="——",成本法!C33,I92)</f>
        <v>0</v>
      </c>
      <c r="D92" s="145"/>
      <c r="E92" s="2876" t="s">
        <v>1922</v>
      </c>
      <c r="F92" s="2877"/>
      <c r="G92" s="2877"/>
      <c r="H92" s="2285" t="s">
        <v>1923</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1924</v>
      </c>
      <c r="C93" s="144">
        <f>ROUND((C88+C91+C92)*D93,0)</f>
        <v>0</v>
      </c>
      <c r="D93" s="145">
        <v>0.1</v>
      </c>
      <c r="E93" s="2876" t="s">
        <v>1925</v>
      </c>
      <c r="F93" s="2877"/>
      <c r="G93" s="2877"/>
      <c r="H93" s="2897"/>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1909</v>
      </c>
      <c r="C94" s="144">
        <f>ROUND(D46*D94/(1+'数据-取费表'!F30),0)</f>
        <v>0</v>
      </c>
      <c r="D94" s="145">
        <f>'数据-取费表'!E31</f>
        <v>5.000000000000001E-3</v>
      </c>
      <c r="E94" s="2876" t="s">
        <v>1910</v>
      </c>
      <c r="F94" s="2877"/>
      <c r="G94" s="2877"/>
      <c r="H94" s="2897"/>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1926</v>
      </c>
      <c r="C95" s="144">
        <f>ROUND((C88+C91+C92)*D95,0)</f>
        <v>0</v>
      </c>
      <c r="D95" s="145">
        <v>0.2</v>
      </c>
      <c r="E95" s="2876" t="s">
        <v>1927</v>
      </c>
      <c r="F95" s="2877"/>
      <c r="G95" s="2877"/>
      <c r="H95" s="2897"/>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1911</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1928</v>
      </c>
      <c r="B99" s="2192"/>
      <c r="C99" s="2192"/>
      <c r="D99" s="2192"/>
      <c r="E99" s="1022"/>
      <c r="F99" s="1022"/>
      <c r="G99" s="1022"/>
      <c r="H99" s="2245"/>
      <c r="I99" s="2192"/>
    </row>
    <row r="100" spans="1:35" ht="15.75">
      <c r="A100" s="2894" t="s">
        <v>1929</v>
      </c>
      <c r="B100" s="2895"/>
      <c r="C100" s="2895"/>
      <c r="D100" s="2896"/>
      <c r="E100" s="2192"/>
      <c r="F100" s="2904" t="s">
        <v>1930</v>
      </c>
      <c r="G100" s="2905"/>
      <c r="H100" s="2905"/>
      <c r="I100" s="2906"/>
    </row>
    <row r="101" spans="1:35" ht="15.75">
      <c r="A101" s="2911" t="s">
        <v>1931</v>
      </c>
      <c r="B101" s="2912"/>
      <c r="C101" s="720">
        <f>C4</f>
        <v>0</v>
      </c>
      <c r="D101" s="721">
        <f>D4</f>
        <v>0</v>
      </c>
      <c r="E101" s="2192"/>
      <c r="F101" s="2913" t="s">
        <v>1932</v>
      </c>
      <c r="G101" s="2915"/>
      <c r="H101" s="2996" t="s">
        <v>1933</v>
      </c>
      <c r="I101" s="2914"/>
    </row>
    <row r="102" spans="1:35" ht="15.75">
      <c r="A102" s="2997" t="s">
        <v>1993</v>
      </c>
      <c r="B102" s="2287" t="str">
        <f>IF(H19="元","总价（元）","总价（万元）")</f>
        <v>总价（元）</v>
      </c>
      <c r="C102" s="720" t="e">
        <f ca="1">C19</f>
        <v>#REF!</v>
      </c>
      <c r="D102" s="721" t="e">
        <f ca="1">D19</f>
        <v>#REF!</v>
      </c>
      <c r="E102" s="2192"/>
      <c r="F102" s="2998"/>
      <c r="G102" s="2999"/>
      <c r="H102" s="2974">
        <f>典型户型修正!B25</f>
        <v>0</v>
      </c>
      <c r="I102" s="2914"/>
    </row>
    <row r="103" spans="1:35" ht="15.75">
      <c r="A103" s="2997"/>
      <c r="B103" s="2287" t="s">
        <v>1935</v>
      </c>
      <c r="C103" s="722" t="e">
        <f ca="1">C20</f>
        <v>#REF!</v>
      </c>
      <c r="D103" s="723" t="e">
        <f ca="1">D20</f>
        <v>#REF!</v>
      </c>
      <c r="E103" s="2192"/>
      <c r="F103" s="2988" t="s">
        <v>1936</v>
      </c>
      <c r="G103" s="2989"/>
      <c r="H103" s="2288" t="str">
        <f>C109</f>
        <v>总价（元）</v>
      </c>
      <c r="I103" s="1862">
        <f>H124</f>
        <v>0</v>
      </c>
    </row>
    <row r="104" spans="1:35" ht="15">
      <c r="A104" s="2997" t="s">
        <v>1994</v>
      </c>
      <c r="B104" s="2289" t="str">
        <f>B102</f>
        <v>总价（元）</v>
      </c>
      <c r="C104" s="1190" t="e">
        <f ca="1">ROUND(IF('数据-取费表'!B4="总价",G19,IF(H19="元",G20*'数据-取费表'!E5,G20*'数据-取费表'!E5/10000)),0)</f>
        <v>#REF!</v>
      </c>
      <c r="D104" s="725"/>
      <c r="E104" s="2192"/>
      <c r="F104" s="2988"/>
      <c r="G104" s="2989"/>
      <c r="H104" s="2288" t="s">
        <v>1935</v>
      </c>
      <c r="I104" s="1050" t="e">
        <f>I124</f>
        <v>#DIV/0!</v>
      </c>
    </row>
    <row r="105" spans="1:35" ht="15.75">
      <c r="A105" s="2997"/>
      <c r="B105" s="2287" t="s">
        <v>1935</v>
      </c>
      <c r="C105" s="1191" t="e">
        <f ca="1">ROUND(IF('数据-取费表'!B4="楼面单价",G20,IF(H19="元",G19/'数据-取费表'!E5,G19*10000/'数据-取费表'!E5)),0)</f>
        <v>#REF!</v>
      </c>
      <c r="D105" s="725"/>
      <c r="E105" s="2192"/>
      <c r="F105" s="2900"/>
      <c r="G105" s="2901"/>
      <c r="H105" s="2935"/>
      <c r="I105" s="2936"/>
    </row>
    <row r="106" spans="1:35" ht="15.75">
      <c r="A106" s="3004" t="s">
        <v>1995</v>
      </c>
      <c r="B106" s="2327" t="str">
        <f>B102</f>
        <v>总价（元）</v>
      </c>
      <c r="C106" s="724">
        <f>H124</f>
        <v>0</v>
      </c>
      <c r="D106" s="1189"/>
      <c r="E106" s="2192"/>
      <c r="F106" s="2939" t="s">
        <v>1939</v>
      </c>
      <c r="G106" s="2940"/>
      <c r="H106" s="2291" t="str">
        <f>C111</f>
        <v>总额（元）</v>
      </c>
      <c r="I106" s="1862">
        <f>SUMIF(I107:I109,"&lt;9E307")</f>
        <v>0</v>
      </c>
    </row>
    <row r="107" spans="1:35" ht="15.75" thickBot="1">
      <c r="A107" s="2934"/>
      <c r="B107" s="2290" t="s">
        <v>1935</v>
      </c>
      <c r="C107" s="726" t="e">
        <f>I124</f>
        <v>#DIV/0!</v>
      </c>
      <c r="D107" s="727"/>
      <c r="E107" s="2192"/>
      <c r="F107" s="2902" t="s">
        <v>1941</v>
      </c>
      <c r="G107" s="2903"/>
      <c r="H107" s="2291" t="str">
        <f>C112</f>
        <v>总额（元）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3000" t="s">
        <v>1938</v>
      </c>
      <c r="B108" s="3001"/>
      <c r="C108" s="3001"/>
      <c r="D108" s="3002"/>
      <c r="E108" s="2192"/>
      <c r="F108" s="2902" t="s">
        <v>1942</v>
      </c>
      <c r="G108" s="2903"/>
      <c r="H108" s="2291" t="str">
        <f>C113</f>
        <v>总额（元）</v>
      </c>
      <c r="I108" s="1050">
        <f>C38</f>
        <v>0</v>
      </c>
      <c r="K108" s="2292"/>
    </row>
    <row r="109" spans="1:35" ht="15">
      <c r="A109" s="2941" t="s">
        <v>1996</v>
      </c>
      <c r="B109" s="2942"/>
      <c r="C109" s="2288" t="str">
        <f>B102</f>
        <v>总价（元）</v>
      </c>
      <c r="D109" s="1051">
        <f>H124</f>
        <v>0</v>
      </c>
      <c r="E109" s="2192"/>
      <c r="F109" s="2902" t="s">
        <v>1944</v>
      </c>
      <c r="G109" s="2903"/>
      <c r="H109" s="2291" t="str">
        <f>C114</f>
        <v>总额（元）</v>
      </c>
      <c r="I109" s="1050">
        <f>C39</f>
        <v>0</v>
      </c>
    </row>
    <row r="110" spans="1:35" ht="15.75">
      <c r="A110" s="2941"/>
      <c r="B110" s="2942"/>
      <c r="C110" s="2288" t="s">
        <v>1935</v>
      </c>
      <c r="D110" s="1052" t="e">
        <f>I124</f>
        <v>#DIV/0!</v>
      </c>
      <c r="E110" s="2192"/>
      <c r="F110" s="2900"/>
      <c r="G110" s="2901"/>
      <c r="H110" s="2937"/>
      <c r="I110" s="2938"/>
    </row>
    <row r="111" spans="1:35" ht="28.5" customHeight="1">
      <c r="A111" s="2984" t="s">
        <v>1943</v>
      </c>
      <c r="B111" s="2985"/>
      <c r="C111" s="2291" t="str">
        <f>IF(H19="元","总额（元）","总额（万元）")</f>
        <v>总额（元）</v>
      </c>
      <c r="D111" s="1051">
        <f>IF(D37="正常操作",I107+I108+I109,I108+I109)</f>
        <v>0</v>
      </c>
      <c r="E111" s="2192"/>
      <c r="F111" s="2882" t="str">
        <f>IF(项目基本情况!F5="已注销","——","3.房地产抵押价值")</f>
        <v>3.房地产抵押价值</v>
      </c>
      <c r="G111" s="2883"/>
      <c r="H111" s="2328" t="str">
        <f>C115</f>
        <v>总价（元）</v>
      </c>
      <c r="I111" s="1862">
        <f>IF(F111="——","——",I103-I106)</f>
        <v>0</v>
      </c>
    </row>
    <row r="112" spans="1:35" ht="15">
      <c r="A112" s="2902" t="s">
        <v>1941</v>
      </c>
      <c r="B112" s="2903"/>
      <c r="C112" s="2291" t="str">
        <f>C111</f>
        <v>总额（元）</v>
      </c>
      <c r="D112" s="637">
        <f>IF(D37="同一抵押权人同一抵押物续贷",C37&amp;"（未扣减，详见特别提示）",C37)</f>
        <v>0</v>
      </c>
      <c r="E112" s="2192"/>
      <c r="F112" s="2884"/>
      <c r="G112" s="2885"/>
      <c r="H112" s="2288" t="s">
        <v>1935</v>
      </c>
      <c r="I112" s="2294" t="e">
        <f>D116</f>
        <v>#DIV/0!</v>
      </c>
    </row>
    <row r="113" spans="1:26" ht="15.75">
      <c r="A113" s="2902" t="s">
        <v>1942</v>
      </c>
      <c r="B113" s="2903"/>
      <c r="C113" s="2291" t="str">
        <f>C111</f>
        <v>总额（元）</v>
      </c>
      <c r="D113" s="637">
        <f>C38</f>
        <v>0</v>
      </c>
      <c r="E113" s="2192"/>
      <c r="F113" s="2882" t="str">
        <f>IF(项目基本情况!F5="已注销及未注销","4.抵押担保权已注销时的房地产抵押价值",IF(项目基本情况!F5="已注销","3.抵押担保权已注销时的房地产抵押价值","——"))</f>
        <v>——</v>
      </c>
      <c r="G113" s="2883"/>
      <c r="H113" s="2328" t="str">
        <f>C117</f>
        <v>总价（元）</v>
      </c>
      <c r="I113" s="1862" t="str">
        <f>IF(F113="——","——",I103-I108-I109)</f>
        <v>——</v>
      </c>
    </row>
    <row r="114" spans="1:26" ht="15">
      <c r="A114" s="2902" t="s">
        <v>1944</v>
      </c>
      <c r="B114" s="2903"/>
      <c r="C114" s="2291" t="str">
        <f>C111</f>
        <v>总额（元）</v>
      </c>
      <c r="D114" s="637">
        <f>C39</f>
        <v>0</v>
      </c>
      <c r="E114" s="2192"/>
      <c r="F114" s="2884"/>
      <c r="G114" s="2885"/>
      <c r="H114" s="2288" t="s">
        <v>1935</v>
      </c>
      <c r="I114" s="1050" t="str">
        <f>D118</f>
        <v>——</v>
      </c>
    </row>
    <row r="115" spans="1:26" ht="15.75">
      <c r="A115" s="2941" t="str">
        <f>IF(项目基本情况!F5="已注销","——","3.房地产抵押价值")</f>
        <v>3.房地产抵押价值</v>
      </c>
      <c r="B115" s="2942"/>
      <c r="C115" s="2288" t="str">
        <f>B102</f>
        <v>总价（元）</v>
      </c>
      <c r="D115" s="1051">
        <f>IF(A115="——","——",D109-D111)</f>
        <v>0</v>
      </c>
      <c r="E115" s="2192"/>
      <c r="F115" s="2882" t="str">
        <f>IF(项目基本情况!G5="抵押净值",IF(OR(项目基本情况!F5="已注销",项目基本情况!F5="房地产抵押价值"),"4.抵押净值","5.抵押净值"),"——")</f>
        <v>——</v>
      </c>
      <c r="G115" s="2883"/>
      <c r="H115" s="2288" t="str">
        <f>C119</f>
        <v>总价（元）</v>
      </c>
      <c r="I115" s="1862" t="str">
        <f>IF(F115="——","——",N60)</f>
        <v>——</v>
      </c>
    </row>
    <row r="116" spans="1:26" ht="15.75" thickBot="1">
      <c r="A116" s="2941"/>
      <c r="B116" s="2942"/>
      <c r="C116" s="2288" t="s">
        <v>1997</v>
      </c>
      <c r="D116" s="1052" t="e">
        <f>ROUND(IF(D115=D109,D110,IF(H19="元",D115/B124,D115*10000/B124)),0)</f>
        <v>#DIV/0!</v>
      </c>
      <c r="E116" s="2192"/>
      <c r="F116" s="2975"/>
      <c r="G116" s="2976"/>
      <c r="H116" s="2296" t="s">
        <v>1997</v>
      </c>
      <c r="I116" s="1864" t="str">
        <f>D120</f>
        <v>——</v>
      </c>
    </row>
    <row r="117" spans="1:26" ht="15.75">
      <c r="A117" s="2941" t="str">
        <f>IF(项目基本情况!F5="已注销及未注销","4.抵押担保权已注销时的房地产抵押价值",IF(项目基本情况!F5="已注销","3.抵押担保权已注销时的房地产抵押价值","——"))</f>
        <v>——</v>
      </c>
      <c r="B117" s="2942"/>
      <c r="C117" s="2288" t="str">
        <f>B102</f>
        <v>总价（元）</v>
      </c>
      <c r="D117" s="1051" t="str">
        <f>IF(A117="——","——",D109-D113-D114)</f>
        <v>——</v>
      </c>
      <c r="E117" s="2192"/>
      <c r="F117" s="2878"/>
      <c r="G117" s="2878"/>
      <c r="H117" s="2920"/>
      <c r="I117" s="2920"/>
      <c r="N117" s="55"/>
      <c r="O117" s="55"/>
    </row>
    <row r="118" spans="1:26" s="1845" customFormat="1" ht="15">
      <c r="A118" s="2941"/>
      <c r="B118" s="2942"/>
      <c r="C118" s="2288" t="s">
        <v>1997</v>
      </c>
      <c r="D118" s="1052" t="str">
        <f>IF(A117="——","——",IF(H19="元",ROUND(D117/B124,0),ROUND(D117*10000/B124,0)))</f>
        <v>——</v>
      </c>
      <c r="E118" s="2192"/>
      <c r="F118" s="3003" t="str">
        <f>IF(B32="总价","（以上估价结果中楼面单价为总价除以建筑面积得出）","（以上估价结果中总价为楼面单价乘以建筑面积得出）")</f>
        <v>（以上估价结果中总价为楼面单价乘以建筑面积得出）</v>
      </c>
      <c r="G118" s="3003"/>
      <c r="H118" s="3003"/>
      <c r="I118" s="3003"/>
      <c r="J118" s="798"/>
      <c r="K118" s="798"/>
      <c r="L118" s="798"/>
      <c r="M118" s="798"/>
      <c r="N118" s="55"/>
      <c r="O118" s="55"/>
      <c r="P118" s="798"/>
      <c r="Q118" s="798"/>
      <c r="R118" s="798"/>
      <c r="S118" s="798"/>
      <c r="T118" s="798"/>
      <c r="U118" s="798"/>
      <c r="V118" s="798"/>
      <c r="W118" s="798"/>
      <c r="X118" s="798"/>
      <c r="Y118" s="798"/>
      <c r="Z118" s="798"/>
    </row>
    <row r="119" spans="1:26" s="1845" customFormat="1" ht="15">
      <c r="A119" s="2941" t="str">
        <f>IF(项目基本情况!G5="抵押净值",IF(OR(项目基本情况!F5="已注销",项目基本情况!F5="房地产抵押价值"),"4.抵押净值","5.抵押净值"),"——")</f>
        <v>——</v>
      </c>
      <c r="B119" s="2942"/>
      <c r="C119" s="2288" t="str">
        <f>B102</f>
        <v>总价（元）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82"/>
      <c r="B120" s="2983"/>
      <c r="C120" s="2296" t="s">
        <v>1997</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921" t="s">
        <v>1998</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93" t="s">
        <v>1946</v>
      </c>
      <c r="B122" s="2891" t="s">
        <v>1999</v>
      </c>
      <c r="C122" s="2891" t="s">
        <v>2000</v>
      </c>
      <c r="D122" s="2898" t="s">
        <v>1949</v>
      </c>
      <c r="E122" s="2899"/>
      <c r="F122" s="2889" t="s">
        <v>2001</v>
      </c>
      <c r="G122" s="2889"/>
      <c r="H122" s="2889" t="s">
        <v>1950</v>
      </c>
      <c r="I122" s="289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93"/>
      <c r="B123" s="2892"/>
      <c r="C123" s="2892"/>
      <c r="D123" s="1887" t="s">
        <v>1951</v>
      </c>
      <c r="E123" s="1887" t="s">
        <v>1952</v>
      </c>
      <c r="F123" s="1887" t="s">
        <v>1951</v>
      </c>
      <c r="G123" s="1887" t="s">
        <v>1953</v>
      </c>
      <c r="H123" s="1887"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8"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93" t="s">
        <v>1954</v>
      </c>
      <c r="B125" s="2889"/>
      <c r="C125" s="2889"/>
      <c r="D125" s="2925" t="str">
        <f>IF(H19="元",NUMBERSTRING(INT(D124),2)&amp;"元整",NUMBERSTRING(INT(D124*10000),2)&amp;"元整")</f>
        <v>零元整</v>
      </c>
      <c r="E125" s="2926"/>
      <c r="F125" s="2925" t="str">
        <f>IF(H19="元",NUMBERSTRING(INT(F124),2)&amp;"元整",NUMBERSTRING(INT(F124*10000),2)&amp;"元整")</f>
        <v>零元整</v>
      </c>
      <c r="G125" s="2926"/>
      <c r="H125" s="2925" t="str">
        <f>IF(H19="元",NUMBERSTRING(INT(H124),2)&amp;"元整",NUMBERSTRING(INT(H124*10000),2)&amp;"元整")</f>
        <v>零元整</v>
      </c>
      <c r="I125" s="299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7" t="str">
        <f>IF(项目基本情况!D5="房地产市场价值","——",MID(A111,3,LEN(A111)-2))</f>
        <v>估价师所知悉的法定优先受偿款</v>
      </c>
      <c r="B126" s="2928"/>
      <c r="C126" s="2929"/>
      <c r="D126" s="2918">
        <f>I106</f>
        <v>0</v>
      </c>
      <c r="E126" s="2928"/>
      <c r="F126" s="2928"/>
      <c r="G126" s="2928"/>
      <c r="H126" s="2928"/>
      <c r="I126" s="297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0" t="s">
        <v>1954</v>
      </c>
      <c r="B127" s="2931"/>
      <c r="C127" s="2932"/>
      <c r="D127" s="2978">
        <f>H110</f>
        <v>0</v>
      </c>
      <c r="E127" s="2979"/>
      <c r="F127" s="2979"/>
      <c r="G127" s="2979"/>
      <c r="H127" s="2979"/>
      <c r="I127" s="298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16" t="str">
        <f>IF(项目基本情况!D5="房地产市场价值","——",MID(A115,3,LEN(A115)-2))</f>
        <v>房地产抵押价值</v>
      </c>
      <c r="B128" s="2917"/>
      <c r="C128" s="2917"/>
      <c r="D128" s="2918">
        <f>I111</f>
        <v>0</v>
      </c>
      <c r="E128" s="2928"/>
      <c r="F128" s="2928"/>
      <c r="G128" s="2928"/>
      <c r="H128" s="2928"/>
      <c r="I128" s="297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93" t="s">
        <v>1954</v>
      </c>
      <c r="B129" s="2889"/>
      <c r="C129" s="2889"/>
      <c r="D129" s="2978" t="e">
        <f>I112</f>
        <v>#DIV/0!</v>
      </c>
      <c r="E129" s="2979"/>
      <c r="F129" s="2979"/>
      <c r="G129" s="2979"/>
      <c r="H129" s="2979"/>
      <c r="I129" s="298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16" t="str">
        <f>IF(项目基本情况!D5="房地产市场价值","——",MID(A117,3,LEN(A117)-2))</f>
        <v/>
      </c>
      <c r="B130" s="2917"/>
      <c r="C130" s="2917"/>
      <c r="D130" s="2873" t="str">
        <f>I113</f>
        <v>——</v>
      </c>
      <c r="E130" s="2874"/>
      <c r="F130" s="2874"/>
      <c r="G130" s="2874"/>
      <c r="H130" s="2874"/>
      <c r="I130" s="287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93" t="s">
        <v>1954</v>
      </c>
      <c r="B131" s="2889"/>
      <c r="C131" s="2973"/>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16" t="str">
        <f>IF(项目基本情况!D5="房地产市场价值","——",MID(F115,3,LEN(F115)-2))</f>
        <v/>
      </c>
      <c r="B132" s="2917"/>
      <c r="C132" s="2918"/>
      <c r="D132" s="2981" t="str">
        <f>I115</f>
        <v>——</v>
      </c>
      <c r="E132" s="2981"/>
      <c r="F132" s="2981"/>
      <c r="G132" s="2981"/>
      <c r="H132" s="2981"/>
      <c r="I132" s="298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86" t="s">
        <v>1954</v>
      </c>
      <c r="B133" s="2987"/>
      <c r="C133" s="2987"/>
      <c r="D133" s="2991">
        <f>H117</f>
        <v>0</v>
      </c>
      <c r="E133" s="2992"/>
      <c r="F133" s="2992"/>
      <c r="G133" s="2992"/>
      <c r="H133" s="2992"/>
      <c r="I133" s="299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71" t="str">
        <f>IF(B32="总价","（以上估价结果中楼面单价为总价除以建筑面积得出）","（以上估价结果中总价为楼面单价乘以建筑面积得出）")</f>
        <v>（以上估价结果中总价为楼面单价乘以建筑面积得出）</v>
      </c>
      <c r="B135" s="2971"/>
      <c r="C135" s="2971"/>
      <c r="D135" s="2971"/>
      <c r="E135" s="2971"/>
      <c r="F135" s="2971"/>
      <c r="G135" s="2971"/>
      <c r="H135" s="2971"/>
      <c r="I135" s="297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1955</v>
      </c>
      <c r="B136" s="2298"/>
      <c r="C136" s="2299" t="s">
        <v>1956</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1957</v>
      </c>
      <c r="G142" s="2311"/>
      <c r="H142" s="2311"/>
      <c r="I142" s="2312" t="s">
        <v>1958</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1960</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1960</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1"/>
      <c r="C1" s="162"/>
      <c r="D1" s="162"/>
      <c r="E1" s="162"/>
      <c r="F1" s="162"/>
      <c r="G1" s="163"/>
    </row>
    <row r="2" spans="1:7" s="164" customFormat="1" ht="18" customHeight="1">
      <c r="A2" s="165" t="s">
        <v>2003</v>
      </c>
      <c r="B2" s="166">
        <f ca="1">IF(D2="——",IF(C2="元",C52,ROUND(C52/10000,0)),IF(C2="元",C52,ROUND(C52/10000,0))-E2)</f>
        <v>1964160</v>
      </c>
      <c r="C2" s="163" t="str">
        <f>'数据-取费表'!B3</f>
        <v>元</v>
      </c>
      <c r="D2" s="2330" t="s">
        <v>1254</v>
      </c>
      <c r="E2" s="1546" t="e">
        <f ca="1">SUMIF(INDIRECT("'"&amp;G2&amp;"'"&amp;"!A:A"),"承租人权益价值",INDIRECT("'"&amp;G2&amp;"'"&amp;"!c:c"))</f>
        <v>#REF!</v>
      </c>
      <c r="F2" s="2331" t="str">
        <f>C2</f>
        <v>元</v>
      </c>
      <c r="G2" s="1906"/>
    </row>
    <row r="3" spans="1:7" s="164" customFormat="1" ht="18" customHeight="1" thickBot="1">
      <c r="A3" s="167" t="s">
        <v>2004</v>
      </c>
      <c r="B3" s="168">
        <f ca="1">ROUND(C52/IF(B1="仅计算典型户型",'数据-取费表'!E5,'数据-取费表'!B5),0)</f>
        <v>13984</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C6+C7+C8</f>
        <v>1030500</v>
      </c>
      <c r="D5" s="195" t="s">
        <v>2009</v>
      </c>
      <c r="E5" s="1532" t="s">
        <v>2010</v>
      </c>
      <c r="F5" s="1532" t="s">
        <v>2011</v>
      </c>
      <c r="G5" s="174"/>
    </row>
    <row r="6" spans="1:7" s="175" customFormat="1" ht="13.5" customHeight="1">
      <c r="A6" s="176" t="s">
        <v>2012</v>
      </c>
      <c r="B6" s="177" t="s">
        <v>2013</v>
      </c>
      <c r="C6" s="1531">
        <v>1000000</v>
      </c>
      <c r="D6" s="1533"/>
      <c r="E6" s="1534"/>
      <c r="F6" s="1534"/>
      <c r="G6" s="179"/>
    </row>
    <row r="7" spans="1:7" s="175" customFormat="1" ht="13.5" customHeight="1">
      <c r="A7" s="176" t="s">
        <v>2014</v>
      </c>
      <c r="B7" s="177" t="s">
        <v>2015</v>
      </c>
      <c r="C7" s="199">
        <f>ROUND(C6*F7,0)</f>
        <v>30500</v>
      </c>
      <c r="D7" s="199"/>
      <c r="E7" s="1534"/>
      <c r="F7" s="1535">
        <f>'数据-取费表'!E36+'数据-取费表'!E37</f>
        <v>3.0499999999999999E-2</v>
      </c>
      <c r="G7" s="179"/>
    </row>
    <row r="8" spans="1:7" s="180" customFormat="1">
      <c r="A8" s="176" t="s">
        <v>2016</v>
      </c>
      <c r="B8" s="177" t="s">
        <v>2017</v>
      </c>
      <c r="C8" s="199">
        <f>IF(G8="已包含在土地购买价格中","0",'数据-取费表'!E13)</f>
        <v>0</v>
      </c>
      <c r="D8" s="1536"/>
      <c r="E8" s="199"/>
      <c r="F8" s="1535"/>
      <c r="G8" s="2332"/>
    </row>
    <row r="9" spans="1:7" s="175" customFormat="1" ht="13.5" customHeight="1">
      <c r="A9" s="1304" t="s">
        <v>954</v>
      </c>
      <c r="B9" s="181" t="s">
        <v>2018</v>
      </c>
      <c r="C9" s="1537">
        <f>ROUND(D9*E9,0)</f>
        <v>22474</v>
      </c>
      <c r="D9" s="1538">
        <f>IF('数据-取费表'!B10="住宅",IF(B1="仅计算典型户型",'数据-取费表'!E5,'数据-取费表'!B5),0)</f>
        <v>140.46</v>
      </c>
      <c r="E9" s="1537">
        <f>'数据-取费表'!E11</f>
        <v>160</v>
      </c>
      <c r="F9" s="1535"/>
      <c r="G9" s="182"/>
    </row>
    <row r="10" spans="1:7" s="175" customFormat="1" ht="13.5" customHeight="1">
      <c r="A10" s="1304" t="s">
        <v>955</v>
      </c>
      <c r="B10" s="181" t="s">
        <v>2019</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2020</v>
      </c>
      <c r="C11" s="195"/>
      <c r="D11" s="199"/>
      <c r="E11" s="1534"/>
      <c r="F11" s="1534"/>
      <c r="G11" s="179"/>
    </row>
    <row r="12" spans="1:7" s="175" customFormat="1" ht="13.5" hidden="1" customHeight="1">
      <c r="A12" s="176" t="s">
        <v>5</v>
      </c>
      <c r="B12" s="177" t="s">
        <v>2021</v>
      </c>
      <c r="C12" s="195">
        <v>0</v>
      </c>
      <c r="D12" s="199"/>
      <c r="E12" s="1539"/>
      <c r="F12" s="1535">
        <v>3.0499999999999999E-2</v>
      </c>
      <c r="G12" s="179"/>
    </row>
    <row r="13" spans="1:7" s="175" customFormat="1" ht="13.5" hidden="1" customHeight="1">
      <c r="A13" s="176" t="s">
        <v>6</v>
      </c>
      <c r="B13" s="177" t="s">
        <v>2022</v>
      </c>
      <c r="C13" s="195"/>
      <c r="D13" s="199"/>
      <c r="E13" s="1534"/>
      <c r="F13" s="1534"/>
      <c r="G13" s="179"/>
    </row>
    <row r="14" spans="1:7" s="175" customFormat="1" ht="13.5" hidden="1" customHeight="1">
      <c r="A14" s="176" t="s">
        <v>7</v>
      </c>
      <c r="B14" s="177" t="s">
        <v>2017</v>
      </c>
      <c r="C14" s="195"/>
      <c r="D14" s="199"/>
      <c r="E14" s="1534"/>
      <c r="F14" s="1534"/>
      <c r="G14" s="179" t="s">
        <v>2023</v>
      </c>
    </row>
    <row r="15" spans="1:7" s="175" customFormat="1" ht="13.5" hidden="1" customHeight="1">
      <c r="A15" s="176" t="s">
        <v>8</v>
      </c>
      <c r="B15" s="177" t="s">
        <v>2024</v>
      </c>
      <c r="C15" s="199"/>
      <c r="D15" s="199"/>
      <c r="E15" s="1534"/>
      <c r="F15" s="1534"/>
      <c r="G15" s="179" t="s">
        <v>2025</v>
      </c>
    </row>
    <row r="16" spans="1:7" s="175" customFormat="1" ht="13.5" hidden="1" customHeight="1">
      <c r="A16" s="176" t="s">
        <v>9</v>
      </c>
      <c r="B16" s="177" t="s">
        <v>2017</v>
      </c>
      <c r="C16" s="199"/>
      <c r="D16" s="199"/>
      <c r="E16" s="1534"/>
      <c r="F16" s="1534"/>
      <c r="G16" s="179"/>
    </row>
    <row r="17" spans="1:7" s="175" customFormat="1" ht="13.5" hidden="1" customHeight="1">
      <c r="A17" s="176" t="s">
        <v>10</v>
      </c>
      <c r="B17" s="177" t="s">
        <v>2026</v>
      </c>
      <c r="C17" s="1540"/>
      <c r="D17" s="1540"/>
      <c r="E17" s="1540"/>
      <c r="F17" s="1540"/>
      <c r="G17" s="179" t="s">
        <v>2025</v>
      </c>
    </row>
    <row r="18" spans="1:7" s="175" customFormat="1" ht="13.5" hidden="1" customHeight="1">
      <c r="A18" s="176" t="s">
        <v>11</v>
      </c>
      <c r="B18" s="177" t="s">
        <v>2027</v>
      </c>
      <c r="C18" s="199">
        <v>0</v>
      </c>
      <c r="D18" s="199"/>
      <c r="E18" s="1534"/>
      <c r="F18" s="1535">
        <v>3.0499999999999999E-2</v>
      </c>
      <c r="G18" s="179" t="s">
        <v>2028</v>
      </c>
    </row>
    <row r="19" spans="1:7" s="180" customFormat="1" ht="13.5" customHeight="1">
      <c r="A19" s="204" t="s">
        <v>2029</v>
      </c>
      <c r="B19" s="173" t="s">
        <v>2030</v>
      </c>
      <c r="C19" s="195">
        <f>IF(G19="已包含在土地取得成本中","0",ROUND(D19*E19,0))</f>
        <v>28092</v>
      </c>
      <c r="D19" s="1541">
        <f>IF(B1="仅计算典型户型",'数据-取费表'!E5,'数据-取费表'!B5)</f>
        <v>140.46</v>
      </c>
      <c r="E19" s="195">
        <f>'数据-取费表'!E15</f>
        <v>200</v>
      </c>
      <c r="F19" s="196"/>
      <c r="G19" s="2332"/>
    </row>
    <row r="20" spans="1:7" s="175" customFormat="1" ht="13.5" customHeight="1">
      <c r="A20" s="204" t="s">
        <v>2031</v>
      </c>
      <c r="B20" s="173" t="s">
        <v>2032</v>
      </c>
      <c r="C20" s="183">
        <f>ROUND((C5+C19)*F20,0)</f>
        <v>10586</v>
      </c>
      <c r="D20" s="183"/>
      <c r="E20" s="183"/>
      <c r="F20" s="187">
        <f>'数据-取费表'!E25</f>
        <v>0.01</v>
      </c>
      <c r="G20" s="184" t="s">
        <v>2033</v>
      </c>
    </row>
    <row r="21" spans="1:7" s="175" customFormat="1" ht="13.5" customHeight="1">
      <c r="A21" s="204" t="s">
        <v>2034</v>
      </c>
      <c r="B21" s="173" t="s">
        <v>2035</v>
      </c>
      <c r="C21" s="185">
        <f>F21</f>
        <v>0.01</v>
      </c>
      <c r="D21" s="186" t="s">
        <v>2036</v>
      </c>
      <c r="E21" s="183"/>
      <c r="F21" s="187">
        <f>'数据-取费表'!E26</f>
        <v>0.01</v>
      </c>
      <c r="G21" s="184" t="s">
        <v>2037</v>
      </c>
    </row>
    <row r="22" spans="1:7" s="175" customFormat="1" ht="13.5" customHeight="1">
      <c r="A22" s="204" t="s">
        <v>2038</v>
      </c>
      <c r="B22" s="173" t="s">
        <v>2039</v>
      </c>
      <c r="C22" s="205">
        <f ca="1">ROUND(SUM(C23:C25),0)</f>
        <v>76688</v>
      </c>
      <c r="D22" s="185">
        <f ca="1">C26</f>
        <v>4.0000000000000002E-4</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5">
        <f ca="1">ROUND(IF('数据-取费表'!B23&lt;=1,C5*F22*'数据-取费表'!B24,C5*(POWER((1+F22),'数据-取费表'!B24)-1)),0)</f>
        <v>74288</v>
      </c>
      <c r="D23" s="188"/>
      <c r="E23" s="188"/>
      <c r="F23" s="189"/>
      <c r="G23" s="190" t="s">
        <v>2042</v>
      </c>
    </row>
    <row r="24" spans="1:7" s="175" customFormat="1" ht="13.5" customHeight="1">
      <c r="A24" s="176" t="s">
        <v>2014</v>
      </c>
      <c r="B24" s="177" t="s">
        <v>2043</v>
      </c>
      <c r="C24" s="1455">
        <f ca="1">ROUND(IF('数据-取费表'!B23&lt;=1,C19*F22*('数据-取费表'!B20/2+'数据-取费表'!B22),C19*(POWER((1+F22),('数据-取费表'!B20/2+'数据-取费表'!B22))-1)),0)</f>
        <v>2025</v>
      </c>
      <c r="D24" s="188"/>
      <c r="E24" s="188"/>
      <c r="F24" s="189"/>
      <c r="G24" s="190" t="s">
        <v>2044</v>
      </c>
    </row>
    <row r="25" spans="1:7" s="175" customFormat="1" ht="24">
      <c r="A25" s="176" t="s">
        <v>2016</v>
      </c>
      <c r="B25" s="177" t="s">
        <v>2045</v>
      </c>
      <c r="C25" s="1455">
        <f ca="1">ROUND(IF('数据-取费表'!B23&lt;=1,C20*F22*'数据-取费表'!B24/2,C20*(POWER((1+F22),'数据-取费表'!B24/2)-1)),0)</f>
        <v>375</v>
      </c>
      <c r="D25" s="188"/>
      <c r="E25" s="191"/>
      <c r="F25" s="189"/>
      <c r="G25" s="192" t="s">
        <v>2046</v>
      </c>
    </row>
    <row r="26" spans="1:7" s="175" customFormat="1">
      <c r="A26" s="176" t="s">
        <v>2047</v>
      </c>
      <c r="B26" s="177" t="s">
        <v>2048</v>
      </c>
      <c r="C26" s="188">
        <f ca="1">ROUND(IF('数据-取费表'!B23&lt;=1,F21*F22*'数据-取费表'!B24/2,F21*(POWER((1+F22),'数据-取费表'!B24/2)-1)),4)</f>
        <v>4.0000000000000002E-4</v>
      </c>
      <c r="D26" s="188"/>
      <c r="E26" s="191"/>
      <c r="F26" s="189"/>
      <c r="G26" s="193"/>
    </row>
    <row r="27" spans="1:7" s="175" customFormat="1" ht="25.5">
      <c r="A27" s="1305" t="s">
        <v>2049</v>
      </c>
      <c r="B27" s="194" t="s">
        <v>2050</v>
      </c>
      <c r="C27" s="195">
        <f>C28</f>
        <v>213836</v>
      </c>
      <c r="D27" s="185">
        <f>C29</f>
        <v>2E-3</v>
      </c>
      <c r="E27" s="186" t="s">
        <v>2036</v>
      </c>
      <c r="F27" s="196">
        <f>'数据-取费表'!E28</f>
        <v>0.2</v>
      </c>
      <c r="G27" s="197" t="s">
        <v>2051</v>
      </c>
    </row>
    <row r="28" spans="1:7" s="175" customFormat="1" ht="13.5" customHeight="1">
      <c r="A28" s="176" t="s">
        <v>2040</v>
      </c>
      <c r="B28" s="198" t="s">
        <v>2052</v>
      </c>
      <c r="C28" s="199">
        <f>ROUND((C5+C19+C20)*F27*'数据-取费表'!B22/'数据-取费表'!B21,0)</f>
        <v>213836</v>
      </c>
      <c r="D28" s="185"/>
      <c r="E28" s="186"/>
      <c r="F28" s="196"/>
      <c r="G28" s="197"/>
    </row>
    <row r="29" spans="1:7" s="175" customFormat="1" ht="13.5" customHeight="1">
      <c r="A29" s="176" t="s">
        <v>2014</v>
      </c>
      <c r="B29" s="198" t="s">
        <v>2053</v>
      </c>
      <c r="C29" s="188">
        <f>ROUND(C21*F27*'数据-取费表'!B22/'数据-取费表'!B21,4)</f>
        <v>2E-3</v>
      </c>
      <c r="D29" s="185"/>
      <c r="E29" s="186"/>
      <c r="F29" s="196"/>
      <c r="G29" s="197"/>
    </row>
    <row r="30" spans="1:7" s="175" customFormat="1" ht="13.5" customHeight="1">
      <c r="A30" s="1305" t="s">
        <v>2054</v>
      </c>
      <c r="B30" s="173" t="s">
        <v>2055</v>
      </c>
      <c r="C30" s="185">
        <f>ROUND(F30/(1+'数据-取费表'!F30),4)</f>
        <v>5.2400000000000002E-2</v>
      </c>
      <c r="D30" s="186" t="s">
        <v>2036</v>
      </c>
      <c r="E30" s="191"/>
      <c r="F30" s="187">
        <f>'数据-取费表'!E29</f>
        <v>5.5000000000000007E-2</v>
      </c>
      <c r="G30" s="184" t="s">
        <v>2056</v>
      </c>
    </row>
    <row r="31" spans="1:7" ht="16.5" customHeight="1">
      <c r="A31" s="204">
        <v>1</v>
      </c>
      <c r="B31" s="173" t="s">
        <v>2057</v>
      </c>
      <c r="C31" s="195">
        <f ca="1">ROUND((C5+C19+C20+C22+C27)/(1-C21-D22-D27-C30),0)</f>
        <v>1453916</v>
      </c>
      <c r="D31" s="1541"/>
      <c r="E31" s="195"/>
      <c r="F31" s="1542"/>
      <c r="G31" s="184" t="s">
        <v>2058</v>
      </c>
    </row>
    <row r="32" spans="1:7" s="172" customFormat="1" ht="15.75">
      <c r="A32" s="201" t="s">
        <v>2059</v>
      </c>
      <c r="B32" s="202"/>
      <c r="C32" s="1543"/>
      <c r="D32" s="1543"/>
      <c r="E32" s="1543"/>
      <c r="F32" s="1543"/>
      <c r="G32" s="203"/>
    </row>
    <row r="33" spans="1:7" s="175" customFormat="1" ht="13.5" customHeight="1">
      <c r="A33" s="204" t="s">
        <v>2060</v>
      </c>
      <c r="B33" s="173" t="s">
        <v>2061</v>
      </c>
      <c r="C33" s="205">
        <f>SUM(C34:C38)</f>
        <v>439570</v>
      </c>
      <c r="D33" s="183"/>
      <c r="E33" s="1532"/>
      <c r="F33" s="191"/>
      <c r="G33" s="184"/>
    </row>
    <row r="34" spans="1:7" s="206" customFormat="1" ht="13.5" customHeight="1">
      <c r="A34" s="176" t="s">
        <v>2040</v>
      </c>
      <c r="B34" s="177" t="s">
        <v>2062</v>
      </c>
      <c r="C34" s="199">
        <f>IF(B1="仅计算典型户型",'数据-取费表'!F18,'数据-取费表'!E18)</f>
        <v>379242</v>
      </c>
      <c r="D34" s="1533"/>
      <c r="E34" s="199"/>
      <c r="F34" s="1544" t="str">
        <f>IF('数据-取费表'!B25=0,"",'数据-取费表'!E20)</f>
        <v/>
      </c>
      <c r="G34" s="179"/>
    </row>
    <row r="35" spans="1:7" ht="13.5" customHeight="1">
      <c r="A35" s="176" t="s">
        <v>2014</v>
      </c>
      <c r="B35" s="177" t="s">
        <v>2063</v>
      </c>
      <c r="C35" s="199">
        <f>ROUND(C34*F35,0)</f>
        <v>11377</v>
      </c>
      <c r="D35" s="199"/>
      <c r="E35" s="199"/>
      <c r="F35" s="1545">
        <f>'数据-取费表'!E21</f>
        <v>0.03</v>
      </c>
      <c r="G35" s="179" t="s">
        <v>2064</v>
      </c>
    </row>
    <row r="36" spans="1:7" ht="24">
      <c r="A36" s="176" t="s">
        <v>2016</v>
      </c>
      <c r="B36" s="177" t="s">
        <v>2065</v>
      </c>
      <c r="C36" s="199">
        <f>ROUND(IF('数据-取费表'!B10="住宅",C34*F36,0),0)</f>
        <v>15170</v>
      </c>
      <c r="D36" s="199"/>
      <c r="E36" s="199"/>
      <c r="F36" s="1545">
        <f>'数据-取费表'!E22</f>
        <v>0.04</v>
      </c>
      <c r="G36" s="207" t="s">
        <v>2066</v>
      </c>
    </row>
    <row r="37" spans="1:7" s="206" customFormat="1" ht="13.5" customHeight="1">
      <c r="A37" s="176" t="s">
        <v>2047</v>
      </c>
      <c r="B37" s="177" t="s">
        <v>2067</v>
      </c>
      <c r="C37" s="199">
        <f>ROUND(E37*D37,0)</f>
        <v>28092</v>
      </c>
      <c r="D37" s="1533">
        <f>IF(B1="仅计算典型户型",'数据-取费表'!E5,'数据-取费表'!B5)</f>
        <v>140.46</v>
      </c>
      <c r="E37" s="199">
        <f>'数据-取费表'!E23</f>
        <v>200</v>
      </c>
      <c r="F37" s="1545"/>
      <c r="G37" s="208" t="s">
        <v>2068</v>
      </c>
    </row>
    <row r="38" spans="1:7" ht="13.5" customHeight="1">
      <c r="A38" s="176" t="s">
        <v>2069</v>
      </c>
      <c r="B38" s="177" t="s">
        <v>2070</v>
      </c>
      <c r="C38" s="199">
        <f>ROUND(C34*F38,0)</f>
        <v>5689</v>
      </c>
      <c r="D38" s="199"/>
      <c r="E38" s="199"/>
      <c r="F38" s="1545">
        <f>'数据-取费表'!E24</f>
        <v>1.4999999999999999E-2</v>
      </c>
      <c r="G38" s="179" t="s">
        <v>2064</v>
      </c>
    </row>
    <row r="39" spans="1:7" s="175" customFormat="1" ht="13.5" customHeight="1">
      <c r="A39" s="204" t="s">
        <v>2029</v>
      </c>
      <c r="B39" s="173" t="s">
        <v>2032</v>
      </c>
      <c r="C39" s="183">
        <f>ROUND(C33*F20,0)</f>
        <v>4396</v>
      </c>
      <c r="D39" s="183"/>
      <c r="E39" s="183"/>
      <c r="F39" s="187"/>
      <c r="G39" s="184" t="s">
        <v>2071</v>
      </c>
    </row>
    <row r="40" spans="1:7" s="175" customFormat="1" ht="13.5" customHeight="1">
      <c r="A40" s="204" t="s">
        <v>2031</v>
      </c>
      <c r="B40" s="173" t="s">
        <v>2035</v>
      </c>
      <c r="C40" s="1819">
        <f>F21</f>
        <v>0.01</v>
      </c>
      <c r="D40" s="186" t="s">
        <v>2072</v>
      </c>
      <c r="E40" s="183"/>
      <c r="F40" s="187"/>
      <c r="G40" s="184" t="s">
        <v>2073</v>
      </c>
    </row>
    <row r="41" spans="1:7" s="175" customFormat="1" ht="13.5" customHeight="1">
      <c r="A41" s="204" t="s">
        <v>2034</v>
      </c>
      <c r="B41" s="173" t="s">
        <v>2039</v>
      </c>
      <c r="C41" s="183">
        <f ca="1">ROUND(SUM(C42:C43),0)</f>
        <v>15724</v>
      </c>
      <c r="D41" s="185">
        <f ca="1">C44</f>
        <v>4.0000000000000002E-4</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15568</v>
      </c>
      <c r="D42" s="188"/>
      <c r="E42" s="188"/>
      <c r="F42" s="189"/>
      <c r="G42" s="3006" t="s">
        <v>2074</v>
      </c>
    </row>
    <row r="43" spans="1:7" ht="13.5" customHeight="1">
      <c r="A43" s="176" t="s">
        <v>2014</v>
      </c>
      <c r="B43" s="177" t="s">
        <v>2043</v>
      </c>
      <c r="C43" s="188">
        <f ca="1">ROUND(IF('数据-取费表'!B23&lt;=1,C39*F22*'数据-取费表'!B22/2,C39*(POWER((1+F22),'数据-取费表'!B22/2)-1)),0)</f>
        <v>156</v>
      </c>
      <c r="D43" s="188"/>
      <c r="E43" s="188"/>
      <c r="F43" s="189"/>
      <c r="G43" s="3007"/>
    </row>
    <row r="44" spans="1:7" ht="13.5" customHeight="1">
      <c r="A44" s="176" t="s">
        <v>2016</v>
      </c>
      <c r="B44" s="177" t="s">
        <v>2045</v>
      </c>
      <c r="C44" s="188">
        <f ca="1">ROUND(IF('数据-取费表'!B23&lt;=1,C40*F22*'数据-取费表'!B22/2,C40*(POWER((1+F22),'数据-取费表'!B22/2)-1)),4)</f>
        <v>4.0000000000000002E-4</v>
      </c>
      <c r="D44" s="188"/>
      <c r="E44" s="188"/>
      <c r="F44" s="189"/>
      <c r="G44" s="3008"/>
    </row>
    <row r="45" spans="1:7" s="175" customFormat="1" ht="13.5" customHeight="1">
      <c r="A45" s="204" t="s">
        <v>2038</v>
      </c>
      <c r="B45" s="194" t="s">
        <v>2050</v>
      </c>
      <c r="C45" s="195">
        <f>C46</f>
        <v>88793</v>
      </c>
      <c r="D45" s="185">
        <f>C47</f>
        <v>2E-3</v>
      </c>
      <c r="E45" s="186" t="s">
        <v>2072</v>
      </c>
      <c r="F45" s="196"/>
      <c r="G45" s="197" t="s">
        <v>2075</v>
      </c>
    </row>
    <row r="46" spans="1:7" s="175" customFormat="1" ht="13.5" customHeight="1">
      <c r="A46" s="176" t="s">
        <v>2040</v>
      </c>
      <c r="B46" s="198" t="s">
        <v>2076</v>
      </c>
      <c r="C46" s="199">
        <f>ROUND((C33+C39)*F27,0)</f>
        <v>88793</v>
      </c>
      <c r="D46" s="209"/>
      <c r="E46" s="186"/>
      <c r="F46" s="196"/>
      <c r="G46" s="197"/>
    </row>
    <row r="47" spans="1:7" s="175" customFormat="1" ht="13.5" customHeight="1">
      <c r="A47" s="176" t="s">
        <v>2014</v>
      </c>
      <c r="B47" s="198" t="s">
        <v>2077</v>
      </c>
      <c r="C47" s="188">
        <f>ROUND(C40*F27,4)</f>
        <v>2E-3</v>
      </c>
      <c r="D47" s="209"/>
      <c r="E47" s="186"/>
      <c r="F47" s="196"/>
      <c r="G47" s="197"/>
    </row>
    <row r="48" spans="1:7" s="175" customFormat="1" ht="13.5" customHeight="1">
      <c r="A48" s="1305" t="s">
        <v>2049</v>
      </c>
      <c r="B48" s="173" t="s">
        <v>2078</v>
      </c>
      <c r="C48" s="1819">
        <f>ROUND(F30/(1+'数据-取费表'!F30),4)</f>
        <v>5.2400000000000002E-2</v>
      </c>
      <c r="D48" s="186" t="s">
        <v>2072</v>
      </c>
      <c r="E48" s="183"/>
      <c r="F48" s="187"/>
      <c r="G48" s="184" t="s">
        <v>2079</v>
      </c>
    </row>
    <row r="49" spans="1:7" ht="16.5" customHeight="1">
      <c r="A49" s="1305" t="s">
        <v>2080</v>
      </c>
      <c r="B49" s="173" t="s">
        <v>2081</v>
      </c>
      <c r="C49" s="183">
        <f ca="1">ROUND((C33+C39+C41+C45)/(1-C40-D41-D45-C48),0)</f>
        <v>586487</v>
      </c>
      <c r="D49" s="183"/>
      <c r="E49" s="183"/>
      <c r="F49" s="210"/>
      <c r="G49" s="184" t="s">
        <v>2082</v>
      </c>
    </row>
    <row r="50" spans="1:7" s="206" customFormat="1" ht="24">
      <c r="A50" s="1305" t="s">
        <v>2083</v>
      </c>
      <c r="B50" s="173" t="s">
        <v>2084</v>
      </c>
      <c r="C50" s="183"/>
      <c r="D50" s="183"/>
      <c r="E50" s="183"/>
      <c r="F50" s="210">
        <f>IF('数据-取费表'!B25=0,'数据-取费表'!E20,1)</f>
        <v>0.87</v>
      </c>
      <c r="G50" s="197" t="s">
        <v>2085</v>
      </c>
    </row>
    <row r="51" spans="1:7" ht="16.5" customHeight="1">
      <c r="A51" s="1305" t="s">
        <v>2086</v>
      </c>
      <c r="B51" s="173" t="s">
        <v>2087</v>
      </c>
      <c r="C51" s="183">
        <f ca="1">ROUND(C49*F50,0)</f>
        <v>510244</v>
      </c>
      <c r="D51" s="183"/>
      <c r="E51" s="183"/>
      <c r="F51" s="210"/>
      <c r="G51" s="184" t="s">
        <v>2088</v>
      </c>
    </row>
    <row r="52" spans="1:7" s="172" customFormat="1" ht="16.5" thickBot="1">
      <c r="A52" s="211" t="s">
        <v>2089</v>
      </c>
      <c r="B52" s="212"/>
      <c r="C52" s="213">
        <f ca="1">C31+C51</f>
        <v>1964160</v>
      </c>
      <c r="D52" s="212"/>
      <c r="E52" s="212"/>
      <c r="F52" s="212"/>
      <c r="G52" s="214"/>
    </row>
    <row r="55" spans="1:7" ht="15">
      <c r="B55" s="216" t="s">
        <v>2090</v>
      </c>
      <c r="C55" s="217"/>
    </row>
    <row r="56" spans="1:7">
      <c r="B56" s="219" t="s">
        <v>2091</v>
      </c>
      <c r="C56" s="220">
        <f ca="1">ROUND(C51/C52,3)</f>
        <v>0.26</v>
      </c>
    </row>
    <row r="57" spans="1:7">
      <c r="B57" s="219" t="s">
        <v>2092</v>
      </c>
      <c r="C57" s="221">
        <f ca="1">1-C56</f>
        <v>0.74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0.04</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3" t="s">
        <v>2852</v>
      </c>
      <c r="E1" s="2704"/>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1728894</v>
      </c>
      <c r="C2" s="2333" t="str">
        <f>'数据-取费表'!B3</f>
        <v>元</v>
      </c>
      <c r="D2" s="1214"/>
      <c r="E2" s="1215"/>
      <c r="F2" s="1215"/>
      <c r="G2" s="1240"/>
      <c r="H2" s="729"/>
      <c r="I2" s="1216"/>
      <c r="J2" s="1216"/>
      <c r="K2" s="1217"/>
      <c r="L2" s="1216"/>
      <c r="M2" s="1216"/>
    </row>
    <row r="3" spans="1:37" ht="18" customHeight="1" thickBot="1">
      <c r="A3" s="310" t="s">
        <v>2004</v>
      </c>
      <c r="B3" s="766">
        <f ca="1">ROUND(IF('数据-取费表'!B28="租赁期内按合同租金",(C40+L47+J29)/F43,(C40+L47)/F43),0)</f>
        <v>12309</v>
      </c>
      <c r="C3" s="2333" t="s">
        <v>2094</v>
      </c>
      <c r="D3" s="1214"/>
      <c r="E3" s="1215"/>
      <c r="F3" s="1215"/>
      <c r="G3" s="1240"/>
      <c r="H3" s="311" t="s">
        <v>2095</v>
      </c>
      <c r="I3" s="1216"/>
      <c r="J3" s="1216"/>
      <c r="K3" s="1217"/>
      <c r="L3" s="1216"/>
      <c r="M3" s="1216"/>
    </row>
    <row r="4" spans="1:37" ht="18" customHeight="1">
      <c r="A4" s="312" t="s">
        <v>2096</v>
      </c>
      <c r="B4" s="313" t="s">
        <v>2097</v>
      </c>
      <c r="C4" s="313" t="s">
        <v>2098</v>
      </c>
      <c r="D4" s="313" t="s">
        <v>2099</v>
      </c>
      <c r="E4" s="314" t="s">
        <v>2100</v>
      </c>
      <c r="F4" s="315"/>
      <c r="G4" s="1238"/>
      <c r="H4" s="312" t="s">
        <v>2096</v>
      </c>
      <c r="I4" s="313" t="s">
        <v>2097</v>
      </c>
      <c r="J4" s="313" t="s">
        <v>2098</v>
      </c>
      <c r="K4" s="313" t="s">
        <v>2099</v>
      </c>
      <c r="L4" s="314" t="s">
        <v>2100</v>
      </c>
      <c r="M4" s="315"/>
    </row>
    <row r="5" spans="1:37" ht="18" customHeight="1">
      <c r="A5" s="316">
        <v>1</v>
      </c>
      <c r="B5" s="317" t="s">
        <v>2101</v>
      </c>
      <c r="C5" s="318">
        <f ca="1">C6+C10+C12</f>
        <v>44215</v>
      </c>
      <c r="D5" s="2334" t="s">
        <v>2102</v>
      </c>
      <c r="E5" s="1214"/>
      <c r="F5" s="1383"/>
      <c r="G5" s="1238"/>
      <c r="H5" s="316">
        <v>1</v>
      </c>
      <c r="I5" s="317" t="s">
        <v>2101</v>
      </c>
      <c r="J5" s="318">
        <f ca="1">J6+J10+J12</f>
        <v>0</v>
      </c>
      <c r="K5" s="2334" t="s">
        <v>2102</v>
      </c>
      <c r="L5" s="1214"/>
      <c r="M5" s="1383"/>
    </row>
    <row r="6" spans="1:37" ht="18" customHeight="1">
      <c r="A6" s="1384" t="s">
        <v>2103</v>
      </c>
      <c r="B6" s="2025" t="s">
        <v>2104</v>
      </c>
      <c r="C6" s="318">
        <f>ROUND(F6*F8*F7*(1-F9),0)</f>
        <v>44160</v>
      </c>
      <c r="D6" s="80" t="s">
        <v>2801</v>
      </c>
      <c r="E6" s="319" t="s">
        <v>2105</v>
      </c>
      <c r="F6" s="320">
        <f>'数据-取费表'!B29</f>
        <v>4000</v>
      </c>
      <c r="G6" s="1238"/>
      <c r="H6" s="1384" t="s">
        <v>2103</v>
      </c>
      <c r="I6" s="2025" t="s">
        <v>2104</v>
      </c>
      <c r="J6" s="318">
        <f>ROUND(M6*M8*M7*(1-M9),0)</f>
        <v>0</v>
      </c>
      <c r="K6" s="80" t="s">
        <v>2801</v>
      </c>
      <c r="L6" s="319" t="s">
        <v>2105</v>
      </c>
      <c r="M6" s="320">
        <f>'数据-取费表'!B36</f>
        <v>0</v>
      </c>
    </row>
    <row r="7" spans="1:37" ht="18" customHeight="1">
      <c r="A7" s="1447"/>
      <c r="B7" s="322"/>
      <c r="C7" s="323"/>
      <c r="D7" s="324"/>
      <c r="E7" s="319" t="s">
        <v>2106</v>
      </c>
      <c r="F7" s="320">
        <f>IF('数据-取费表'!B41="",IF(D1="仅计算典型户型",'数据-取费表'!E5,'数据-取费表'!B5),'数据-取费表'!B41)</f>
        <v>1</v>
      </c>
      <c r="G7" s="1238"/>
      <c r="H7" s="321"/>
      <c r="I7" s="322"/>
      <c r="J7" s="323"/>
      <c r="K7" s="324"/>
      <c r="L7" s="319" t="s">
        <v>2106</v>
      </c>
      <c r="M7" s="320">
        <f>IF('数据-取费表'!B41="",IF(D1="仅计算典型户型",'数据-取费表'!E5,'数据-取费表'!B5),'数据-取费表'!B41)</f>
        <v>1</v>
      </c>
    </row>
    <row r="8" spans="1:37" ht="18" customHeight="1">
      <c r="A8" s="1447"/>
      <c r="B8" s="322"/>
      <c r="C8" s="323"/>
      <c r="D8" s="324"/>
      <c r="E8" s="319" t="s">
        <v>2107</v>
      </c>
      <c r="F8" s="320">
        <f>'数据-取费表'!B42</f>
        <v>12</v>
      </c>
      <c r="G8" s="1238"/>
      <c r="H8" s="321"/>
      <c r="I8" s="322"/>
      <c r="J8" s="323"/>
      <c r="K8" s="324"/>
      <c r="L8" s="319" t="s">
        <v>2108</v>
      </c>
      <c r="M8" s="320">
        <f>'数据-取费表'!B42</f>
        <v>12</v>
      </c>
    </row>
    <row r="9" spans="1:37" ht="18" customHeight="1">
      <c r="A9" s="1447"/>
      <c r="B9" s="322"/>
      <c r="C9" s="323"/>
      <c r="D9" s="328"/>
      <c r="E9" s="319" t="s">
        <v>2109</v>
      </c>
      <c r="F9" s="329">
        <f>'数据-取费表'!B32</f>
        <v>0.08</v>
      </c>
      <c r="G9" s="1238"/>
      <c r="H9" s="321"/>
      <c r="I9" s="322"/>
      <c r="J9" s="1386"/>
      <c r="K9" s="95"/>
      <c r="L9" s="330" t="s">
        <v>2109</v>
      </c>
      <c r="M9" s="329">
        <f>'数据-取费表'!B38</f>
        <v>0</v>
      </c>
    </row>
    <row r="10" spans="1:37" ht="18" customHeight="1">
      <c r="A10" s="1384" t="s">
        <v>2110</v>
      </c>
      <c r="B10" s="2335" t="s">
        <v>2111</v>
      </c>
      <c r="C10" s="1385">
        <f ca="1">ROUND(IF(F10="押一",C6/12*F11,IF(F10="押二",C6/12*2*F11,IF(F10="押三",C6/12*3*F11,C11*F11))),0)</f>
        <v>55</v>
      </c>
      <c r="D10" s="2336" t="s">
        <v>2809</v>
      </c>
      <c r="E10" s="330" t="s">
        <v>2112</v>
      </c>
      <c r="F10" s="2337" t="s">
        <v>2113</v>
      </c>
      <c r="G10" s="1238"/>
      <c r="H10" s="1384" t="s">
        <v>2110</v>
      </c>
      <c r="I10" s="2335" t="s">
        <v>2111</v>
      </c>
      <c r="J10" s="1385">
        <f ca="1">ROUND(IF(M10="押一",J6/12*M11,IF(M10="押二",J6/12*2*M11,IF(M10="押三",J6/12*3*M11,J11*M11))),0)</f>
        <v>0</v>
      </c>
      <c r="K10" s="80" t="s">
        <v>2809</v>
      </c>
      <c r="L10" s="330" t="s">
        <v>2112</v>
      </c>
      <c r="M10" s="2337"/>
    </row>
    <row r="11" spans="1:37" s="341" customFormat="1" ht="18" customHeight="1">
      <c r="A11" s="348"/>
      <c r="B11" s="2338" t="s">
        <v>2114</v>
      </c>
      <c r="C11" s="1418"/>
      <c r="D11" s="324"/>
      <c r="E11" s="330" t="s">
        <v>2115</v>
      </c>
      <c r="F11" s="331">
        <f ca="1">'数据-取费表'!B30</f>
        <v>1.4999999999999999E-2</v>
      </c>
      <c r="G11" s="1239"/>
      <c r="H11" s="325"/>
      <c r="I11" s="2338" t="s">
        <v>2116</v>
      </c>
      <c r="J11" s="1418"/>
      <c r="K11" s="324"/>
      <c r="L11" s="330" t="s">
        <v>2115</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2117</v>
      </c>
      <c r="B12" s="2339" t="s">
        <v>2118</v>
      </c>
      <c r="C12" s="1425"/>
      <c r="D12" s="2340"/>
      <c r="E12" s="1431"/>
      <c r="F12" s="1426"/>
      <c r="G12" s="1238"/>
      <c r="H12" s="1424" t="s">
        <v>2117</v>
      </c>
      <c r="I12" s="2339" t="s">
        <v>2118</v>
      </c>
      <c r="J12" s="1425"/>
      <c r="K12" s="1441"/>
      <c r="L12" s="1431"/>
      <c r="M12" s="1442"/>
    </row>
    <row r="13" spans="1:37" s="341" customFormat="1" ht="18" customHeight="1" thickTop="1">
      <c r="A13" s="1420">
        <v>2</v>
      </c>
      <c r="B13" s="1421" t="s">
        <v>2119</v>
      </c>
      <c r="C13" s="327">
        <f ca="1">ROUND(C29*F13,0)</f>
        <v>510244</v>
      </c>
      <c r="D13" s="1422" t="s">
        <v>2120</v>
      </c>
      <c r="E13" s="1422" t="s">
        <v>2121</v>
      </c>
      <c r="F13" s="1423">
        <f>'数据-取费表'!E20</f>
        <v>0.87</v>
      </c>
      <c r="G13" s="1239"/>
      <c r="H13" s="1420">
        <v>2</v>
      </c>
      <c r="I13" s="1421" t="s">
        <v>2119</v>
      </c>
      <c r="J13" s="1386">
        <f ca="1">ROUND(J14*J15,0)</f>
        <v>0</v>
      </c>
      <c r="K13" s="1427" t="s">
        <v>2120</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379242</v>
      </c>
      <c r="D14" s="1888" t="s">
        <v>2124</v>
      </c>
      <c r="E14" s="1889"/>
      <c r="F14" s="979"/>
      <c r="G14" s="1239"/>
      <c r="H14" s="337" t="s">
        <v>2103</v>
      </c>
      <c r="I14" s="319" t="s">
        <v>2125</v>
      </c>
      <c r="J14" s="14">
        <f ca="1">C29</f>
        <v>586487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11377</v>
      </c>
      <c r="D15" s="339" t="s">
        <v>2128</v>
      </c>
      <c r="E15" s="339" t="s">
        <v>2129</v>
      </c>
      <c r="F15" s="340">
        <f>'数据-取费表'!E21</f>
        <v>0.03</v>
      </c>
      <c r="G15" s="1238"/>
      <c r="H15" s="1430" t="s">
        <v>2130</v>
      </c>
      <c r="I15" s="1431" t="s">
        <v>2131</v>
      </c>
      <c r="J15" s="1443">
        <f>'数据-取费表'!B39</f>
        <v>0</v>
      </c>
      <c r="K15" s="1444"/>
      <c r="L15" s="1445"/>
      <c r="M15" s="1446"/>
    </row>
    <row r="16" spans="1:37" s="341" customFormat="1" ht="18" customHeight="1" thickTop="1">
      <c r="A16" s="337" t="s">
        <v>2132</v>
      </c>
      <c r="B16" s="319" t="s">
        <v>2133</v>
      </c>
      <c r="C16" s="14">
        <f>ROUND(C14*F16,0)</f>
        <v>15170</v>
      </c>
      <c r="D16" s="319" t="s">
        <v>2128</v>
      </c>
      <c r="E16" s="319" t="s">
        <v>2129</v>
      </c>
      <c r="F16" s="342">
        <f>IF('数据-取费表'!B10="住宅",'数据-取费表'!E22,0)</f>
        <v>0.04</v>
      </c>
      <c r="G16" s="1239"/>
      <c r="H16" s="1420" t="s">
        <v>14</v>
      </c>
      <c r="I16" s="1421" t="s">
        <v>2134</v>
      </c>
      <c r="J16" s="327">
        <f ca="1">ROUND(J17+J22+J23+J24,0)</f>
        <v>5865</v>
      </c>
      <c r="K16" s="1427" t="s">
        <v>2135</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28092</v>
      </c>
      <c r="D17" s="319" t="s">
        <v>2138</v>
      </c>
      <c r="E17" s="319" t="s">
        <v>2139</v>
      </c>
      <c r="F17" s="16">
        <f>'数据-取费表'!E23</f>
        <v>200</v>
      </c>
      <c r="G17" s="1239"/>
      <c r="H17" s="337" t="s">
        <v>2140</v>
      </c>
      <c r="I17" s="319" t="s">
        <v>2141</v>
      </c>
      <c r="J17" s="14">
        <f ca="1">ROUND(IF(项目基本情况!B7="自然人",J5*M17,J18+J19+J20),0)</f>
        <v>0</v>
      </c>
      <c r="K17" s="1888" t="s">
        <v>2142</v>
      </c>
      <c r="L17" s="1893" t="s">
        <v>2143</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5689</v>
      </c>
      <c r="D18" s="319" t="s">
        <v>2128</v>
      </c>
      <c r="E18" s="319" t="s">
        <v>2129</v>
      </c>
      <c r="F18" s="342">
        <f>'数据-取费表'!E24</f>
        <v>1.4999999999999999E-2</v>
      </c>
      <c r="G18" s="1238"/>
      <c r="H18" s="337" t="s">
        <v>2146</v>
      </c>
      <c r="I18" s="319" t="s">
        <v>2147</v>
      </c>
      <c r="J18" s="14" t="str">
        <f>IF(项目基本情况!B7="自然人","——",ROUND(J5*M18/(1+'数据-取费表'!F30),0))</f>
        <v>——</v>
      </c>
      <c r="K18" s="1893" t="s">
        <v>2148</v>
      </c>
      <c r="L18" s="319" t="s">
        <v>2129</v>
      </c>
      <c r="M18" s="342">
        <f>'数据-取费表'!E29</f>
        <v>5.5000000000000007E-2</v>
      </c>
    </row>
    <row r="19" spans="1:37" s="341" customFormat="1" ht="18" customHeight="1">
      <c r="A19" s="337" t="s">
        <v>2140</v>
      </c>
      <c r="B19" s="319" t="s">
        <v>2149</v>
      </c>
      <c r="C19" s="14">
        <f>SUM(C14:C18)</f>
        <v>439570</v>
      </c>
      <c r="D19" s="56" t="s">
        <v>2150</v>
      </c>
      <c r="E19" s="1898"/>
      <c r="F19" s="16"/>
      <c r="G19" s="1239"/>
      <c r="H19" s="337" t="s">
        <v>2126</v>
      </c>
      <c r="I19" s="319" t="s">
        <v>2151</v>
      </c>
      <c r="J19" s="14" t="str">
        <f>IF(项目基本情况!B7="自然人","——",IF(K19="按租金收入计税",ROUND(J5*M19,1),ROUND(C29*M19*0.7,1)))</f>
        <v>——</v>
      </c>
      <c r="K19" s="2014" t="s">
        <v>2152</v>
      </c>
      <c r="L19" s="319" t="s">
        <v>2129</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4396</v>
      </c>
      <c r="D20" s="344" t="s">
        <v>2154</v>
      </c>
      <c r="E20" s="319" t="s">
        <v>2155</v>
      </c>
      <c r="F20" s="342">
        <f>'数据-取费表'!E25</f>
        <v>0.01</v>
      </c>
      <c r="G20" s="1239"/>
      <c r="H20" s="337" t="s">
        <v>2132</v>
      </c>
      <c r="I20" s="80" t="s">
        <v>2156</v>
      </c>
      <c r="J20" s="15" t="str">
        <f>IF(项目基本情况!B7="自然人","——",ROUND(M20*M21,0))</f>
        <v>——</v>
      </c>
      <c r="K20" s="346" t="s">
        <v>2157</v>
      </c>
      <c r="L20" s="319" t="s">
        <v>2158</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0.01</v>
      </c>
      <c r="D21" s="344" t="s">
        <v>2161</v>
      </c>
      <c r="E21" s="319" t="s">
        <v>2162</v>
      </c>
      <c r="F21" s="342">
        <f>'数据-取费表'!E26</f>
        <v>0.01</v>
      </c>
      <c r="G21" s="1238"/>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8"/>
      <c r="F22" s="16"/>
      <c r="G22" s="1238"/>
      <c r="H22" s="337" t="s">
        <v>2130</v>
      </c>
      <c r="I22" s="319" t="s">
        <v>2166</v>
      </c>
      <c r="J22" s="14">
        <f ca="1">ROUND(J14*M22,0)</f>
        <v>5865</v>
      </c>
      <c r="K22" s="1893" t="s">
        <v>2167</v>
      </c>
      <c r="L22" s="319" t="s">
        <v>2129</v>
      </c>
      <c r="M22" s="350">
        <f>'数据-取费表'!B44</f>
        <v>0.01</v>
      </c>
    </row>
    <row r="23" spans="1:37" ht="18" customHeight="1">
      <c r="A23" s="337" t="s">
        <v>2146</v>
      </c>
      <c r="B23" s="319" t="s">
        <v>2168</v>
      </c>
      <c r="C23" s="14">
        <f ca="1">IF('数据-取费表'!B23&lt;=1,ROUND(C19*F24*F23/2,0)+ROUND(C20*F24*F23/2,0),ROUND(C19*(POWER((1+F24),F23/2)-1),0)+ROUND(C20*(POWER((1+F24),F23/2)-1),0))</f>
        <v>15724</v>
      </c>
      <c r="D23" s="2008" t="str">
        <f>IF(F23&lt;=1,"(建造成本+管理费用)×利率×(建设周期÷2)","(建造成本+管理费用)×((1+利率)^(建设周期÷2)-1)")</f>
        <v>(建造成本+管理费用)×((1+利率)^(建设周期÷2)-1)</v>
      </c>
      <c r="E23" s="319" t="s">
        <v>2169</v>
      </c>
      <c r="F23" s="347">
        <f>'数据-取费表'!B21</f>
        <v>1.5</v>
      </c>
      <c r="G23" s="1238"/>
      <c r="H23" s="337" t="s">
        <v>2159</v>
      </c>
      <c r="I23" s="319" t="s">
        <v>2170</v>
      </c>
      <c r="J23" s="14">
        <f ca="1">ROUND(J13*M23,0)</f>
        <v>0</v>
      </c>
      <c r="K23" s="1893" t="s">
        <v>2171</v>
      </c>
      <c r="L23" s="319" t="s">
        <v>2172</v>
      </c>
      <c r="M23" s="351">
        <f>'数据-取费表'!B45</f>
        <v>1E-3</v>
      </c>
    </row>
    <row r="24" spans="1:37" s="341" customFormat="1" ht="18" customHeight="1" thickBot="1">
      <c r="A24" s="337" t="s">
        <v>2173</v>
      </c>
      <c r="B24" s="319" t="s">
        <v>2174</v>
      </c>
      <c r="C24" s="14">
        <f ca="1">ROUND(IF('数据-取费表'!B23&lt;=1,F21*F24*F23/2,F21*(POWER((1+F24),F23/2)-1)),4)</f>
        <v>4.0000000000000002E-4</v>
      </c>
      <c r="D24" s="2008" t="str">
        <f>IF(F23&lt;=1,"销售费用×利率×(建设周期÷2)","销售费用×((1+利率)^(建设周期÷2)-1)")</f>
        <v>销售费用×((1+利率)^(建设周期÷2)-1)</v>
      </c>
      <c r="E24" s="319" t="s">
        <v>2175</v>
      </c>
      <c r="F24" s="352">
        <f ca="1">'数据-取费表'!E27</f>
        <v>4.7500000000000001E-2</v>
      </c>
      <c r="G24" s="1239"/>
      <c r="H24" s="1430" t="s">
        <v>2164</v>
      </c>
      <c r="I24" s="1431" t="s">
        <v>2153</v>
      </c>
      <c r="J24" s="1432">
        <f ca="1">ROUND(J5*M24,0)</f>
        <v>0</v>
      </c>
      <c r="K24" s="1433" t="s">
        <v>2176</v>
      </c>
      <c r="L24" s="1431" t="s">
        <v>2172</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8"/>
      <c r="F25" s="16"/>
      <c r="G25" s="1239"/>
      <c r="H25" s="1420" t="s">
        <v>22</v>
      </c>
      <c r="I25" s="1435" t="s">
        <v>2180</v>
      </c>
      <c r="J25" s="327">
        <f ca="1">J5-J16</f>
        <v>-5865</v>
      </c>
      <c r="K25" s="1436" t="s">
        <v>2181</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88793</v>
      </c>
      <c r="D26" s="344" t="s">
        <v>2183</v>
      </c>
      <c r="E26" s="330" t="s">
        <v>2184</v>
      </c>
      <c r="F26" s="329">
        <f>'数据-取费表'!E28</f>
        <v>0.2</v>
      </c>
      <c r="G26" s="791"/>
      <c r="H26" s="316" t="s">
        <v>23</v>
      </c>
      <c r="I26" s="317" t="s">
        <v>2185</v>
      </c>
      <c r="J26" s="318">
        <f ca="1">IF(J5&lt;&gt;0,ROUND(J25*(1-((1+M28)/(1+M26))^M27)/(M26-M28),0),0)</f>
        <v>0</v>
      </c>
      <c r="K26" s="346" t="s">
        <v>2186</v>
      </c>
      <c r="L26" s="319" t="s">
        <v>2187</v>
      </c>
      <c r="M26" s="329">
        <f>'数据-取费表'!B16</f>
        <v>0.04</v>
      </c>
    </row>
    <row r="27" spans="1:37" ht="18" customHeight="1">
      <c r="A27" s="337" t="s">
        <v>2188</v>
      </c>
      <c r="B27" s="319" t="s">
        <v>2189</v>
      </c>
      <c r="C27" s="14">
        <f>ROUND(F21*F26,4)</f>
        <v>2E-3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5.2400000000000002E-2</v>
      </c>
      <c r="D28" s="344" t="s">
        <v>2195</v>
      </c>
      <c r="E28" s="319" t="s">
        <v>2155</v>
      </c>
      <c r="F28" s="342">
        <f>'数据-取费表'!E29</f>
        <v>5.5000000000000007E-2</v>
      </c>
      <c r="G28" s="791"/>
      <c r="H28" s="325"/>
      <c r="I28" s="326"/>
      <c r="J28" s="327"/>
      <c r="K28" s="349"/>
      <c r="L28" s="319" t="s">
        <v>2196</v>
      </c>
      <c r="M28" s="329">
        <f>'数据-取费表'!B37</f>
        <v>0</v>
      </c>
    </row>
    <row r="29" spans="1:37" ht="18" customHeight="1" thickBot="1">
      <c r="A29" s="1430" t="s">
        <v>2197</v>
      </c>
      <c r="B29" s="1431" t="s">
        <v>2198</v>
      </c>
      <c r="C29" s="1432">
        <f ca="1">ROUND((C19+C20+C23+C26)/(1-F21-C24-C27-C28),0)</f>
        <v>586487</v>
      </c>
      <c r="D29" s="1433"/>
      <c r="E29" s="1431"/>
      <c r="F29" s="1434"/>
      <c r="G29" s="791"/>
      <c r="H29" s="356" t="s">
        <v>24</v>
      </c>
      <c r="I29" s="357" t="s">
        <v>2199</v>
      </c>
      <c r="J29" s="358">
        <f ca="1">ROUND(J26/(1+F40)^F41,0)</f>
        <v>0</v>
      </c>
      <c r="K29" s="359" t="s">
        <v>2200</v>
      </c>
      <c r="L29" s="360"/>
      <c r="M29" s="361">
        <f>IF(D1="仅计算典型户型",'数据-取费表'!E5,'数据-取费表'!B5)</f>
        <v>140.46</v>
      </c>
    </row>
    <row r="30" spans="1:37" ht="18" customHeight="1" thickTop="1">
      <c r="A30" s="1420" t="s">
        <v>14</v>
      </c>
      <c r="B30" s="1421" t="s">
        <v>2201</v>
      </c>
      <c r="C30" s="327">
        <f ca="1">ROUND(C31+C36+C37+C38,0)</f>
        <v>9028</v>
      </c>
      <c r="D30" s="1427" t="s">
        <v>2202</v>
      </c>
      <c r="E30" s="1428"/>
      <c r="F30" s="1429"/>
      <c r="G30" s="791"/>
      <c r="H30" s="1218"/>
      <c r="I30" s="1219"/>
      <c r="J30" s="1220"/>
      <c r="K30" s="1221"/>
      <c r="L30" s="1222"/>
      <c r="M30" s="1223"/>
    </row>
    <row r="31" spans="1:37" ht="18" customHeight="1">
      <c r="A31" s="337" t="s">
        <v>2103</v>
      </c>
      <c r="B31" s="319" t="s">
        <v>2141</v>
      </c>
      <c r="C31" s="14">
        <f ca="1">ROUND(IF(项目基本情况!B7="自然人",C5*F31,C32+C33+C34),1)</f>
        <v>2210.8000000000002</v>
      </c>
      <c r="D31" s="1888" t="s">
        <v>2203</v>
      </c>
      <c r="E31" s="1893" t="s">
        <v>2204</v>
      </c>
      <c r="F31" s="343">
        <f>IF(项目基本情况!B7="企业","",IF('数据-取费表'!B10="住宅",5%,IF(F6*F7*F8/12/(1+'数据-取费表'!F30)&gt;20000,12%,7%)))</f>
        <v>0.05</v>
      </c>
      <c r="G31" s="791"/>
      <c r="H31" s="1218"/>
      <c r="I31" s="1219"/>
      <c r="J31" s="1220"/>
      <c r="K31" s="1221"/>
      <c r="L31" s="1222"/>
      <c r="M31" s="1223"/>
    </row>
    <row r="32" spans="1:37" ht="18" customHeight="1">
      <c r="A32" s="337" t="s">
        <v>2122</v>
      </c>
      <c r="B32" s="319" t="s">
        <v>2205</v>
      </c>
      <c r="C32" s="14" t="str">
        <f>IF(项目基本情况!B7="自然人","——",ROUND(C5*F32/(1+'数据-取费表'!F30),0))</f>
        <v>——</v>
      </c>
      <c r="D32" s="1893" t="s">
        <v>2206</v>
      </c>
      <c r="E32" s="319" t="s">
        <v>2155</v>
      </c>
      <c r="F32" s="352">
        <f>'数据-取费表'!E29</f>
        <v>5.5000000000000007E-2</v>
      </c>
      <c r="G32" s="791"/>
      <c r="H32" s="1224"/>
      <c r="I32" s="1225"/>
      <c r="J32" s="1226"/>
      <c r="K32" s="1227"/>
      <c r="L32" s="1228"/>
      <c r="M32" s="1229"/>
    </row>
    <row r="33" spans="1:18" ht="18" customHeight="1">
      <c r="A33" s="337" t="s">
        <v>2126</v>
      </c>
      <c r="B33" s="319" t="s">
        <v>2151</v>
      </c>
      <c r="C33" s="14" t="str">
        <f>IF(项目基本情况!B7="自然人","——",IF(D33="按租金收入计税",ROUND(C5*F33,1),IF(D33="按房产原值计税",ROUND(C29*F33*0.7,1),'数据-取费表'!B43)))</f>
        <v>——</v>
      </c>
      <c r="D33" s="2014" t="s">
        <v>2152</v>
      </c>
      <c r="E33" s="319" t="s">
        <v>2129</v>
      </c>
      <c r="F33" s="342">
        <f>IF(D33="按票据","——",IF(D33="按租金收入计税",'数据-取费表'!E39,'数据-取费表'!E38))</f>
        <v>1.2E-2</v>
      </c>
      <c r="G33" s="791"/>
      <c r="H33" s="1230"/>
      <c r="I33" s="363" t="s">
        <v>2207</v>
      </c>
      <c r="J33" s="364"/>
      <c r="K33" s="1231"/>
      <c r="L33" s="1230"/>
      <c r="M33" s="1230"/>
    </row>
    <row r="34" spans="1:18" ht="18" customHeight="1">
      <c r="A34" s="1384" t="s">
        <v>2132</v>
      </c>
      <c r="B34" s="80" t="s">
        <v>2156</v>
      </c>
      <c r="C34" s="15" t="str">
        <f>IF(项目基本情况!B7="自然人","——",ROUND(F34*F35,0))</f>
        <v>——</v>
      </c>
      <c r="D34" s="346" t="s">
        <v>2157</v>
      </c>
      <c r="E34" s="319" t="s">
        <v>2158</v>
      </c>
      <c r="F34" s="347">
        <f>'数据-取费表'!E40</f>
        <v>0</v>
      </c>
      <c r="G34" s="791"/>
      <c r="H34" s="1218"/>
      <c r="I34" s="365" t="s">
        <v>2208</v>
      </c>
      <c r="J34" s="366">
        <f ca="1">ROUND(C13*J35,0)</f>
        <v>0</v>
      </c>
      <c r="K34" s="1232"/>
      <c r="L34" s="1233"/>
      <c r="M34" s="1233"/>
    </row>
    <row r="35" spans="1:18" ht="24.6" customHeight="1">
      <c r="A35" s="1388"/>
      <c r="B35" s="328"/>
      <c r="C35" s="19"/>
      <c r="D35" s="349"/>
      <c r="E35" s="319" t="s">
        <v>2163</v>
      </c>
      <c r="F35" s="320">
        <f>IF(D1="仅计算典型户型",'数据-取费表'!E6,'数据-取费表'!B6)</f>
        <v>0</v>
      </c>
      <c r="G35" s="791"/>
      <c r="H35" s="1218"/>
      <c r="I35" s="367" t="s">
        <v>2209</v>
      </c>
      <c r="J35" s="368">
        <f>'数据-取费表'!B17</f>
        <v>0</v>
      </c>
      <c r="K35" s="1231"/>
      <c r="L35" s="1230"/>
      <c r="M35" s="1230"/>
    </row>
    <row r="36" spans="1:18" ht="18" customHeight="1">
      <c r="A36" s="1387" t="s">
        <v>2110</v>
      </c>
      <c r="B36" s="319" t="s">
        <v>2210</v>
      </c>
      <c r="C36" s="14">
        <f ca="1">ROUND(C29*F36,0)</f>
        <v>5865</v>
      </c>
      <c r="D36" s="1893" t="s">
        <v>2211</v>
      </c>
      <c r="E36" s="319" t="s">
        <v>2155</v>
      </c>
      <c r="F36" s="350">
        <f>'数据-取费表'!B44</f>
        <v>0.01</v>
      </c>
      <c r="G36" s="791"/>
      <c r="H36" s="1230"/>
      <c r="I36" s="369" t="s">
        <v>2212</v>
      </c>
      <c r="J36" s="370"/>
      <c r="K36" s="1234"/>
      <c r="L36" s="1230"/>
      <c r="M36" s="1230"/>
    </row>
    <row r="37" spans="1:18" ht="18" customHeight="1">
      <c r="A37" s="337" t="s">
        <v>2159</v>
      </c>
      <c r="B37" s="319" t="s">
        <v>2170</v>
      </c>
      <c r="C37" s="14">
        <f ca="1">ROUND(C13*F37,0)</f>
        <v>510</v>
      </c>
      <c r="D37" s="1893" t="s">
        <v>2171</v>
      </c>
      <c r="E37" s="319" t="s">
        <v>2172</v>
      </c>
      <c r="F37" s="351">
        <f>'数据-取费表'!B45</f>
        <v>1E-3</v>
      </c>
      <c r="G37" s="791"/>
      <c r="H37" s="1230"/>
      <c r="I37" s="216" t="s">
        <v>2213</v>
      </c>
      <c r="J37" s="371"/>
      <c r="K37" s="1234"/>
      <c r="L37" s="1230"/>
      <c r="M37" s="1230"/>
    </row>
    <row r="38" spans="1:18" ht="18" customHeight="1" thickBot="1">
      <c r="A38" s="1430" t="s">
        <v>2164</v>
      </c>
      <c r="B38" s="1431" t="s">
        <v>2153</v>
      </c>
      <c r="C38" s="1432">
        <f ca="1">ROUND(C5*F38,0)</f>
        <v>442</v>
      </c>
      <c r="D38" s="1433" t="s">
        <v>2176</v>
      </c>
      <c r="E38" s="1431" t="s">
        <v>2172</v>
      </c>
      <c r="F38" s="1426">
        <f>'数据-取费表'!B46</f>
        <v>0.01</v>
      </c>
      <c r="G38" s="791"/>
      <c r="H38" s="1230"/>
      <c r="I38" s="365" t="s">
        <v>2214</v>
      </c>
      <c r="J38" s="220">
        <f ca="1">ROUND(J34/C39,3)</f>
        <v>0</v>
      </c>
      <c r="K38" s="1235"/>
      <c r="L38" s="1230"/>
      <c r="M38" s="1230"/>
    </row>
    <row r="39" spans="1:18" ht="18" customHeight="1" thickTop="1">
      <c r="A39" s="1420" t="s">
        <v>22</v>
      </c>
      <c r="B39" s="1435" t="s">
        <v>2215</v>
      </c>
      <c r="C39" s="327">
        <f ca="1">C5-C30</f>
        <v>35187</v>
      </c>
      <c r="D39" s="1436" t="s">
        <v>2216</v>
      </c>
      <c r="E39" s="1437"/>
      <c r="F39" s="1438"/>
      <c r="G39" s="791"/>
      <c r="H39" s="1230"/>
      <c r="I39" s="365" t="s">
        <v>2217</v>
      </c>
      <c r="J39" s="220">
        <f ca="1">1-J38</f>
        <v>1</v>
      </c>
      <c r="K39" s="1235"/>
      <c r="L39" s="1230"/>
      <c r="M39" s="1230"/>
    </row>
    <row r="40" spans="1:18" s="791" customFormat="1" ht="18" customHeight="1">
      <c r="A40" s="316" t="s">
        <v>23</v>
      </c>
      <c r="B40" s="317" t="s">
        <v>2218</v>
      </c>
      <c r="C40" s="318">
        <f ca="1">ROUND(C39*(1-((1+F42)/(1+F40))^F41)/(F40-F42),0)</f>
        <v>1728894</v>
      </c>
      <c r="D40" s="346" t="s">
        <v>2186</v>
      </c>
      <c r="E40" s="319" t="s">
        <v>2187</v>
      </c>
      <c r="F40" s="329">
        <f>'数据-取费表'!B16</f>
        <v>0.04</v>
      </c>
      <c r="H40" s="1236"/>
      <c r="I40" s="216" t="s">
        <v>2219</v>
      </c>
      <c r="J40" s="217"/>
      <c r="K40" s="1235"/>
      <c r="L40" s="1236"/>
      <c r="M40" s="1236"/>
      <c r="Q40" s="795"/>
    </row>
    <row r="41" spans="1:18" s="791" customFormat="1" ht="18" customHeight="1">
      <c r="A41" s="321"/>
      <c r="B41" s="322"/>
      <c r="C41" s="323"/>
      <c r="D41" s="354" t="s">
        <v>2220</v>
      </c>
      <c r="E41" s="1825" t="s">
        <v>2831</v>
      </c>
      <c r="F41" s="355">
        <f>IF('数据-取费表'!B28="租赁期内按合同租金",'数据-取费表'!B34,IF(E41="收益年期(n)",'数据-取费表'!B33,'数据-取费表'!B13))</f>
        <v>58.5</v>
      </c>
      <c r="H41" s="1237"/>
      <c r="I41" s="219" t="s">
        <v>2091</v>
      </c>
      <c r="J41" s="220">
        <f ca="1">ROUND(C13/C40,3)</f>
        <v>0.29499999999999998</v>
      </c>
      <c r="K41" s="1234"/>
      <c r="L41" s="1237"/>
      <c r="M41" s="1237"/>
      <c r="Q41" s="795"/>
    </row>
    <row r="42" spans="1:18" s="791" customFormat="1" ht="18" customHeight="1">
      <c r="A42" s="325"/>
      <c r="B42" s="326"/>
      <c r="C42" s="327"/>
      <c r="D42" s="349"/>
      <c r="E42" s="319" t="s">
        <v>2196</v>
      </c>
      <c r="F42" s="329">
        <f>'数据-取费表'!B31</f>
        <v>3.5000000000000003E-2</v>
      </c>
      <c r="H42" s="1237"/>
      <c r="I42" s="219" t="s">
        <v>2092</v>
      </c>
      <c r="J42" s="221">
        <f ca="1">1-J41</f>
        <v>0.70500000000000007</v>
      </c>
      <c r="K42" s="1234"/>
      <c r="L42" s="1237"/>
      <c r="M42" s="1237"/>
      <c r="Q42" s="795"/>
    </row>
    <row r="43" spans="1:18" s="791" customFormat="1" ht="18" customHeight="1" thickBot="1">
      <c r="A43" s="356" t="s">
        <v>24</v>
      </c>
      <c r="B43" s="357" t="s">
        <v>2221</v>
      </c>
      <c r="C43" s="358">
        <f ca="1">ROUND(C40/F43,0)</f>
        <v>12309</v>
      </c>
      <c r="D43" s="359" t="s">
        <v>2222</v>
      </c>
      <c r="E43" s="360" t="s">
        <v>2223</v>
      </c>
      <c r="F43" s="361">
        <f>IF(D1="仅计算典型户型",'数据-取费表'!E5,'数据-取费表'!B5)</f>
        <v>140.46</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1728894</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-1872201</v>
      </c>
      <c r="D47" s="2342" t="str">
        <f>C2</f>
        <v>元</v>
      </c>
      <c r="E47" s="776"/>
      <c r="F47" s="776"/>
      <c r="I47" s="2343" t="s">
        <v>2234</v>
      </c>
      <c r="J47" s="1343"/>
      <c r="K47" s="1344"/>
      <c r="L47" s="1357">
        <f>IF(M48="住宅",0,IF(L49&gt;J52,L61,J61))</f>
        <v>0</v>
      </c>
      <c r="O47" s="1371" t="s">
        <v>960</v>
      </c>
      <c r="P47" s="1368" t="s">
        <v>2235</v>
      </c>
      <c r="Q47" s="1369">
        <f ca="1">C29</f>
        <v>586487</v>
      </c>
      <c r="R47" s="1370" t="s">
        <v>2230</v>
      </c>
    </row>
    <row r="48" spans="1:18" s="791" customFormat="1" ht="15.75" thickBot="1">
      <c r="A48" s="312" t="s">
        <v>2236</v>
      </c>
      <c r="B48" s="313" t="s">
        <v>2237</v>
      </c>
      <c r="C48" s="313" t="s">
        <v>2238</v>
      </c>
      <c r="D48" s="313" t="s">
        <v>2239</v>
      </c>
      <c r="E48" s="1297" t="s">
        <v>2240</v>
      </c>
      <c r="F48" s="1298"/>
      <c r="I48" s="2344" t="s">
        <v>2241</v>
      </c>
      <c r="J48" s="2345" t="s">
        <v>2872</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2830</v>
      </c>
      <c r="K49" s="2349" t="s">
        <v>2246</v>
      </c>
      <c r="L49" s="1128">
        <f>'数据-取费表'!B13</f>
        <v>58.5</v>
      </c>
      <c r="O49" s="1371" t="s">
        <v>962</v>
      </c>
      <c r="P49" s="1368" t="s">
        <v>2247</v>
      </c>
      <c r="Q49" s="1372">
        <f>J53</f>
        <v>0</v>
      </c>
      <c r="R49" s="1370"/>
    </row>
    <row r="50" spans="1:18" s="791" customFormat="1" ht="15.75" thickBot="1">
      <c r="A50" s="345" t="s">
        <v>2103</v>
      </c>
      <c r="B50" s="2025" t="s">
        <v>2248</v>
      </c>
      <c r="C50" s="318">
        <f>ROUND(F50*F52*F51*(1-F53),0)</f>
        <v>0</v>
      </c>
      <c r="D50" s="93" t="s">
        <v>2802</v>
      </c>
      <c r="E50" s="2350" t="s">
        <v>2249</v>
      </c>
      <c r="F50" s="1299"/>
      <c r="I50" s="2347" t="s">
        <v>2250</v>
      </c>
      <c r="J50" s="1128">
        <f>'数据-取费表'!B26</f>
        <v>2008</v>
      </c>
      <c r="K50" s="2351" t="s">
        <v>2251</v>
      </c>
      <c r="L50" s="1346"/>
      <c r="O50" s="1371" t="s">
        <v>963</v>
      </c>
      <c r="P50" s="1368" t="s">
        <v>2252</v>
      </c>
      <c r="Q50" s="1369">
        <f>J54</f>
        <v>50</v>
      </c>
      <c r="R50" s="1370" t="s">
        <v>2253</v>
      </c>
    </row>
    <row r="51" spans="1:18" s="791" customFormat="1" ht="15.75" thickBot="1">
      <c r="A51" s="321"/>
      <c r="B51" s="322"/>
      <c r="C51" s="323"/>
      <c r="D51" s="324"/>
      <c r="E51" s="339" t="s">
        <v>2106</v>
      </c>
      <c r="F51" s="1296">
        <f>F7</f>
        <v>1</v>
      </c>
      <c r="I51" s="2347" t="s">
        <v>2254</v>
      </c>
      <c r="J51" s="1347">
        <f>SUMPRODUCT((I64:I66=J48)*(J63:L63=J49)*(J64:L66))</f>
        <v>60</v>
      </c>
      <c r="K51" s="2351" t="s">
        <v>2255</v>
      </c>
      <c r="L51" s="1346"/>
      <c r="O51" s="1367" t="s">
        <v>964</v>
      </c>
      <c r="P51" s="1368" t="str">
        <f>IF(C2="元","收益价值(元)","收益价值(万元)")</f>
        <v>收益价值(元)</v>
      </c>
      <c r="Q51" s="1369">
        <f ca="1">ROUND(IF(C2="元",Q45+Q46,(Q45+Q46)/10000),0)</f>
        <v>1728894</v>
      </c>
      <c r="R51" s="1370" t="s">
        <v>965</v>
      </c>
    </row>
    <row r="52" spans="1:18" s="791" customFormat="1" ht="16.5" thickBot="1">
      <c r="A52" s="321"/>
      <c r="B52" s="322"/>
      <c r="C52" s="323"/>
      <c r="D52" s="324"/>
      <c r="E52" s="319" t="s">
        <v>2108</v>
      </c>
      <c r="F52" s="320">
        <f>F8</f>
        <v>12</v>
      </c>
      <c r="I52" s="2352" t="s">
        <v>2256</v>
      </c>
      <c r="J52" s="1348">
        <f>IF(J50="",J51,J50+J51-YEAR('数据-取费表'!B2))</f>
        <v>50</v>
      </c>
      <c r="K52" s="2353" t="s">
        <v>2257</v>
      </c>
      <c r="L52" s="1349">
        <f ca="1">ROUND(-PV('数据-取费表'!B15,L49,(C40-C13*J35)),0)</f>
        <v>38864643</v>
      </c>
      <c r="O52" s="1361" t="s">
        <v>2258</v>
      </c>
      <c r="P52" s="1362"/>
      <c r="Q52" s="1358"/>
      <c r="R52" s="1362"/>
    </row>
    <row r="53" spans="1:18" s="791" customFormat="1" ht="15.75" thickBot="1">
      <c r="A53" s="325"/>
      <c r="B53" s="326"/>
      <c r="C53" s="327"/>
      <c r="D53" s="328"/>
      <c r="E53" s="319" t="s">
        <v>2109</v>
      </c>
      <c r="F53" s="1356"/>
      <c r="I53" s="2354" t="s">
        <v>2259</v>
      </c>
      <c r="J53" s="1350"/>
      <c r="K53" s="2354" t="s">
        <v>2260</v>
      </c>
      <c r="L53" s="1350"/>
      <c r="O53" s="1363" t="s">
        <v>2225</v>
      </c>
      <c r="P53" s="1364" t="s">
        <v>2226</v>
      </c>
      <c r="Q53" s="1365" t="s">
        <v>2227</v>
      </c>
      <c r="R53" s="1366" t="s">
        <v>2228</v>
      </c>
    </row>
    <row r="54" spans="1:18" s="791" customFormat="1" ht="29.25" customHeight="1" thickBot="1">
      <c r="A54" s="1384" t="s">
        <v>2110</v>
      </c>
      <c r="B54" s="2335" t="s">
        <v>2111</v>
      </c>
      <c r="C54" s="1385">
        <f ca="1">ROUND(IF(F54="押一",C50/12*F11,IF(F54="押二",C50/12*2*F11,IF(F54="押三",C50/12*3*F11,C55*F11))),0)</f>
        <v>0</v>
      </c>
      <c r="D54" s="2336" t="s">
        <v>2810</v>
      </c>
      <c r="E54" s="330" t="s">
        <v>2112</v>
      </c>
      <c r="F54" s="2337"/>
      <c r="I54" s="2355" t="s">
        <v>2261</v>
      </c>
      <c r="J54" s="1351">
        <f>IF(M48="住宅",J52,IF(E1="——",MIN(J52,L49),IF(E1="在建（套用方法）",MIN(J52,L49-'数据-取费表'!B25),IF(E1="土地（套用方法）",MIN(J52,L49-'数据-取费表'!B21)))))</f>
        <v>50</v>
      </c>
      <c r="K54" s="3009" t="s">
        <v>2800</v>
      </c>
      <c r="L54" s="3010"/>
      <c r="O54" s="1367" t="s">
        <v>958</v>
      </c>
      <c r="P54" s="1368" t="s">
        <v>2229</v>
      </c>
      <c r="Q54" s="1369">
        <f ca="1">C40+J29</f>
        <v>1728894</v>
      </c>
      <c r="R54" s="1370" t="s">
        <v>2230</v>
      </c>
    </row>
    <row r="55" spans="1:18" s="791" customFormat="1" ht="20.25" thickBot="1">
      <c r="A55" s="1384"/>
      <c r="B55" s="2356" t="s">
        <v>2116</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2117</v>
      </c>
      <c r="B56" s="2339" t="s">
        <v>2118</v>
      </c>
      <c r="C56" s="1425"/>
      <c r="D56" s="1441"/>
      <c r="E56" s="2359"/>
      <c r="F56" s="1501"/>
      <c r="I56" s="2360" t="s">
        <v>2264</v>
      </c>
      <c r="J56" s="1871" t="e">
        <f>ROUND(IF(J48="钢混",J58/J51,1-(1-2%)*(J51-J58)/J51),3)</f>
        <v>#VALUE!</v>
      </c>
      <c r="K56" s="2361" t="s">
        <v>2265</v>
      </c>
      <c r="L56" s="1352"/>
      <c r="O56" s="1371" t="s">
        <v>960</v>
      </c>
      <c r="P56" s="1368" t="s">
        <v>2266</v>
      </c>
      <c r="Q56" s="1369">
        <f>IF(L56="比较法",L50,IF(L56="基准地价",L51,0))</f>
        <v>0</v>
      </c>
      <c r="R56" s="1370" t="s">
        <v>2230</v>
      </c>
    </row>
    <row r="57" spans="1:18" s="791" customFormat="1" ht="44.25" thickTop="1" thickBot="1">
      <c r="A57" s="1420">
        <v>2</v>
      </c>
      <c r="B57" s="1421" t="s">
        <v>2119</v>
      </c>
      <c r="C57" s="1500">
        <f ca="1">C13</f>
        <v>510244</v>
      </c>
      <c r="D57" s="1294"/>
      <c r="E57" s="1295"/>
      <c r="F57" s="1302"/>
      <c r="I57" s="2362" t="s">
        <v>2267</v>
      </c>
      <c r="J57" s="1355"/>
      <c r="K57" s="2347" t="s">
        <v>2268</v>
      </c>
      <c r="L57" s="1128">
        <f>IF(L49&lt;J52,"——",L49-J52)</f>
        <v>8.5</v>
      </c>
      <c r="O57" s="1371" t="s">
        <v>961</v>
      </c>
      <c r="P57" s="1368" t="s">
        <v>2269</v>
      </c>
      <c r="Q57" s="1372">
        <f>L53</f>
        <v>0</v>
      </c>
      <c r="R57" s="1370"/>
    </row>
    <row r="58" spans="1:18" s="791" customFormat="1" ht="29.25" thickBot="1">
      <c r="A58" s="1301"/>
      <c r="B58" s="319" t="s">
        <v>2198</v>
      </c>
      <c r="C58" s="188">
        <f ca="1">C29</f>
        <v>586487</v>
      </c>
      <c r="D58" s="1294"/>
      <c r="E58" s="1295"/>
      <c r="F58" s="1302"/>
      <c r="I58" s="2363" t="s">
        <v>2270</v>
      </c>
      <c r="J58" s="1354" t="str">
        <f>IF(OR(M48="住宅",J52&lt;L49,J57="是"),"——",J52-L49)</f>
        <v>——</v>
      </c>
      <c r="K58" s="2347" t="s">
        <v>2271</v>
      </c>
      <c r="L58" s="1128">
        <f ca="1">IF(L49&lt;J52,"——",IF(L56="比较法",L50,IF(L56="基准地价",L51,L52)))</f>
        <v>38864643</v>
      </c>
      <c r="O58" s="1371" t="s">
        <v>962</v>
      </c>
      <c r="P58" s="1368" t="s">
        <v>2272</v>
      </c>
      <c r="Q58" s="1369" t="e">
        <f>L59</f>
        <v>#DIV/0!</v>
      </c>
      <c r="R58" s="1370" t="s">
        <v>2273</v>
      </c>
    </row>
    <row r="59" spans="1:18" s="791" customFormat="1" ht="29.25" thickBot="1">
      <c r="A59" s="332" t="s">
        <v>14</v>
      </c>
      <c r="B59" s="333" t="s">
        <v>2201</v>
      </c>
      <c r="C59" s="334">
        <f ca="1">ROUND(C60+C65+C66+C67,0)</f>
        <v>6375</v>
      </c>
      <c r="D59" s="12" t="s">
        <v>2202</v>
      </c>
      <c r="E59" s="1898"/>
      <c r="F59" s="16"/>
      <c r="I59" s="2363" t="s">
        <v>2274</v>
      </c>
      <c r="J59" s="1870" t="e">
        <f>IF(J56&lt;0.4,0.4,J56)</f>
        <v>#VALUE!</v>
      </c>
      <c r="K59" s="2353" t="s">
        <v>2275</v>
      </c>
      <c r="L59" s="1128" t="e">
        <f>ROUND(POWER(1+L53,L48-L49)*(POWER(1+L53,L49)-1)/(POWER(1+L53,L48)-1),4)</f>
        <v>#DIV/0!</v>
      </c>
      <c r="O59" s="1371" t="s">
        <v>963</v>
      </c>
      <c r="P59" s="1368" t="str">
        <f>K60</f>
        <v>建设期及建筑物耐用年限下的土地年期修正系数Kn</v>
      </c>
      <c r="Q59" s="1369" t="e">
        <f>L60</f>
        <v>#DIV/0!</v>
      </c>
      <c r="R59" s="1370" t="s">
        <v>2276</v>
      </c>
    </row>
    <row r="60" spans="1:18" s="791" customFormat="1" ht="29.25" thickBot="1">
      <c r="A60" s="337" t="s">
        <v>15</v>
      </c>
      <c r="B60" s="319" t="s">
        <v>2141</v>
      </c>
      <c r="C60" s="14">
        <f ca="1">ROUND(IF(项目基本情况!B7="自然人",C49*F60,C61+C62+C63),1)</f>
        <v>0</v>
      </c>
      <c r="D60" s="1888" t="s">
        <v>2203</v>
      </c>
      <c r="E60" s="1893" t="s">
        <v>2204</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1728894</v>
      </c>
      <c r="R60" s="1370" t="s">
        <v>965</v>
      </c>
    </row>
    <row r="61" spans="1:18" s="791" customFormat="1" ht="16.5" thickBot="1">
      <c r="A61" s="337" t="s">
        <v>16</v>
      </c>
      <c r="B61" s="319" t="s">
        <v>2205</v>
      </c>
      <c r="C61" s="14" t="str">
        <f>IF(项目基本情况!B7="自然人","——",ROUND(C49*F61/(1+'数据-取费表'!F30),0))</f>
        <v>——</v>
      </c>
      <c r="D61" s="1893" t="s">
        <v>2206</v>
      </c>
      <c r="E61" s="319" t="s">
        <v>2155</v>
      </c>
      <c r="F61" s="352">
        <f t="shared" ref="F61:F67" si="0">F32</f>
        <v>5.5000000000000007E-2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4" t="s">
        <v>2152</v>
      </c>
      <c r="E62" s="319" t="s">
        <v>2155</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0</v>
      </c>
      <c r="I63" s="2366" t="s">
        <v>2285</v>
      </c>
      <c r="J63" s="1874" t="s">
        <v>2286</v>
      </c>
      <c r="K63" s="1874" t="s">
        <v>2287</v>
      </c>
      <c r="L63" s="1874" t="s">
        <v>2288</v>
      </c>
      <c r="M63" s="1873" t="s">
        <v>2289</v>
      </c>
      <c r="O63" s="1367" t="s">
        <v>958</v>
      </c>
      <c r="P63" s="1368" t="s">
        <v>2229</v>
      </c>
      <c r="Q63" s="1369">
        <f ca="1">C40+J29</f>
        <v>1728894</v>
      </c>
      <c r="R63" s="1370" t="s">
        <v>2230</v>
      </c>
    </row>
    <row r="64" spans="1:18" s="791" customFormat="1" ht="20.25" thickBot="1">
      <c r="A64" s="348"/>
      <c r="B64" s="328"/>
      <c r="C64" s="19"/>
      <c r="D64" s="349"/>
      <c r="E64" s="319" t="s">
        <v>2290</v>
      </c>
      <c r="F64" s="320">
        <f t="shared" si="0"/>
        <v>0</v>
      </c>
      <c r="I64" s="2366" t="s">
        <v>2291</v>
      </c>
      <c r="J64" s="1874">
        <v>70</v>
      </c>
      <c r="K64" s="1874">
        <v>50</v>
      </c>
      <c r="L64" s="1874">
        <v>80</v>
      </c>
      <c r="M64" s="1872">
        <v>0.02</v>
      </c>
      <c r="O64" s="1367" t="s">
        <v>959</v>
      </c>
      <c r="P64" s="1368" t="s">
        <v>2262</v>
      </c>
      <c r="Q64" s="1369">
        <f>L61</f>
        <v>0</v>
      </c>
      <c r="R64" s="1370" t="s">
        <v>2263</v>
      </c>
    </row>
    <row r="65" spans="1:18" s="791" customFormat="1" ht="23.25" thickBot="1">
      <c r="A65" s="337" t="s">
        <v>19</v>
      </c>
      <c r="B65" s="319" t="s">
        <v>2210</v>
      </c>
      <c r="C65" s="14">
        <f ca="1">ROUND(C58*F65,0)</f>
        <v>5865</v>
      </c>
      <c r="D65" s="1893" t="s">
        <v>2211</v>
      </c>
      <c r="E65" s="319" t="s">
        <v>2155</v>
      </c>
      <c r="F65" s="350">
        <f t="shared" si="0"/>
        <v>0.01</v>
      </c>
      <c r="I65" s="2366" t="s">
        <v>2292</v>
      </c>
      <c r="J65" s="1874">
        <v>50</v>
      </c>
      <c r="K65" s="1874">
        <v>35</v>
      </c>
      <c r="L65" s="1874">
        <v>60</v>
      </c>
      <c r="M65" s="1873">
        <v>0</v>
      </c>
      <c r="O65" s="1371" t="s">
        <v>960</v>
      </c>
      <c r="P65" s="1368" t="s">
        <v>2266</v>
      </c>
      <c r="Q65" s="1373">
        <f ca="1">L52</f>
        <v>38864643</v>
      </c>
      <c r="R65" s="1374" t="s">
        <v>2293</v>
      </c>
    </row>
    <row r="66" spans="1:18" s="791" customFormat="1" ht="20.25" thickBot="1">
      <c r="A66" s="337" t="s">
        <v>20</v>
      </c>
      <c r="B66" s="319" t="s">
        <v>2170</v>
      </c>
      <c r="C66" s="14">
        <f ca="1">ROUND(C57*F66,0)</f>
        <v>510</v>
      </c>
      <c r="D66" s="1893" t="s">
        <v>2171</v>
      </c>
      <c r="E66" s="319" t="s">
        <v>2172</v>
      </c>
      <c r="F66" s="351">
        <f t="shared" si="0"/>
        <v>1E-3</v>
      </c>
      <c r="I66" s="2366" t="s">
        <v>2294</v>
      </c>
      <c r="J66" s="1874">
        <v>40</v>
      </c>
      <c r="K66" s="1874">
        <v>30</v>
      </c>
      <c r="L66" s="1874">
        <v>50</v>
      </c>
      <c r="M66" s="1872">
        <v>0.02</v>
      </c>
      <c r="O66" s="1371" t="s">
        <v>961</v>
      </c>
      <c r="P66" s="1375" t="s">
        <v>2295</v>
      </c>
      <c r="Q66" s="1369">
        <f ca="1">ROUND(Q67-Q68*Q69,0)</f>
        <v>35187</v>
      </c>
      <c r="R66" s="1370"/>
    </row>
    <row r="67" spans="1:18" s="791" customFormat="1" ht="15.75" thickBot="1">
      <c r="A67" s="337" t="s">
        <v>21</v>
      </c>
      <c r="B67" s="319" t="s">
        <v>2153</v>
      </c>
      <c r="C67" s="14">
        <f ca="1">ROUND(C49*F67,0)</f>
        <v>0</v>
      </c>
      <c r="D67" s="1893" t="s">
        <v>2176</v>
      </c>
      <c r="E67" s="319" t="s">
        <v>2172</v>
      </c>
      <c r="F67" s="329">
        <f t="shared" si="0"/>
        <v>0.01</v>
      </c>
      <c r="O67" s="1371" t="s">
        <v>966</v>
      </c>
      <c r="P67" s="1375" t="s">
        <v>2296</v>
      </c>
      <c r="Q67" s="1369">
        <f ca="1">C39</f>
        <v>35187</v>
      </c>
      <c r="R67" s="1370" t="s">
        <v>2230</v>
      </c>
    </row>
    <row r="68" spans="1:18" ht="15.75" thickBot="1">
      <c r="A68" s="332" t="s">
        <v>22</v>
      </c>
      <c r="B68" s="89" t="s">
        <v>2180</v>
      </c>
      <c r="C68" s="334">
        <f ca="1">C49-C59</f>
        <v>-6375</v>
      </c>
      <c r="D68" s="1888" t="s">
        <v>2181</v>
      </c>
      <c r="E68" s="1892"/>
      <c r="F68" s="353"/>
      <c r="H68" s="791"/>
      <c r="I68" s="791"/>
      <c r="J68" s="791"/>
      <c r="K68" s="791"/>
      <c r="L68" s="791"/>
      <c r="M68" s="791"/>
      <c r="O68" s="1371" t="s">
        <v>967</v>
      </c>
      <c r="P68" s="1375" t="s">
        <v>2297</v>
      </c>
      <c r="Q68" s="1369">
        <f ca="1">C13</f>
        <v>510244</v>
      </c>
      <c r="R68" s="1370" t="s">
        <v>2230</v>
      </c>
    </row>
    <row r="69" spans="1:18" ht="15.75" thickBot="1">
      <c r="A69" s="316" t="s">
        <v>23</v>
      </c>
      <c r="B69" s="317" t="s">
        <v>2218</v>
      </c>
      <c r="C69" s="318">
        <f ca="1">ROUND(C68*(1-((1+F71)/(1+F69))^F70)/(F69-F71),0)</f>
        <v>-143307</v>
      </c>
      <c r="D69" s="346" t="s">
        <v>2186</v>
      </c>
      <c r="E69" s="319" t="s">
        <v>2187</v>
      </c>
      <c r="F69" s="329">
        <f>F40</f>
        <v>0.04</v>
      </c>
      <c r="H69" s="791"/>
      <c r="I69" s="791"/>
      <c r="J69" s="791"/>
      <c r="K69" s="791"/>
      <c r="L69" s="791"/>
      <c r="M69" s="791"/>
      <c r="O69" s="1371" t="s">
        <v>968</v>
      </c>
      <c r="P69" s="1375" t="s">
        <v>2298</v>
      </c>
      <c r="Q69" s="1372">
        <f>J35</f>
        <v>0</v>
      </c>
      <c r="R69" s="1370"/>
    </row>
    <row r="70" spans="1:18" ht="15.75" thickBot="1">
      <c r="A70" s="321"/>
      <c r="B70" s="322"/>
      <c r="C70" s="323"/>
      <c r="D70" s="354" t="s">
        <v>2220</v>
      </c>
      <c r="E70" s="319" t="s">
        <v>2192</v>
      </c>
      <c r="F70" s="355">
        <f>F41</f>
        <v>58.5</v>
      </c>
      <c r="H70" s="791"/>
      <c r="I70" s="791"/>
      <c r="J70" s="791"/>
      <c r="K70" s="791"/>
      <c r="L70" s="791"/>
      <c r="M70" s="791"/>
      <c r="O70" s="1371" t="s">
        <v>962</v>
      </c>
      <c r="P70" s="1368" t="s">
        <v>2269</v>
      </c>
      <c r="Q70" s="1372">
        <f>L53</f>
        <v>0</v>
      </c>
      <c r="R70" s="1370"/>
    </row>
    <row r="71" spans="1:18" ht="20.25" thickBot="1">
      <c r="A71" s="325"/>
      <c r="B71" s="326"/>
      <c r="C71" s="327"/>
      <c r="D71" s="349"/>
      <c r="E71" s="319" t="s">
        <v>2196</v>
      </c>
      <c r="F71" s="1356"/>
      <c r="H71" s="791"/>
      <c r="M71" s="791"/>
      <c r="O71" s="1371" t="s">
        <v>963</v>
      </c>
      <c r="P71" s="1368" t="s">
        <v>2272</v>
      </c>
      <c r="Q71" s="1369" t="e">
        <f>L59</f>
        <v>#DIV/0!</v>
      </c>
      <c r="R71" s="1370" t="s">
        <v>2273</v>
      </c>
    </row>
    <row r="72" spans="1:18" ht="15.75" thickBot="1">
      <c r="A72" s="356" t="s">
        <v>24</v>
      </c>
      <c r="B72" s="357" t="s">
        <v>2221</v>
      </c>
      <c r="C72" s="358">
        <f ca="1">ROUND(C69/F72,0)</f>
        <v>-1020</v>
      </c>
      <c r="D72" s="359" t="s">
        <v>2222</v>
      </c>
      <c r="E72" s="360" t="s">
        <v>2223</v>
      </c>
      <c r="F72" s="361">
        <f>F43</f>
        <v>140.46</v>
      </c>
      <c r="O72" s="1371" t="s">
        <v>969</v>
      </c>
      <c r="P72" s="1368" t="str">
        <f>K60</f>
        <v>建设期及建筑物耐用年限下的土地年期修正系数Kn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收益价值(元)</v>
      </c>
      <c r="Q73" s="1369">
        <f ca="1">ROUND(IF(C2="元",Q63+Q64,(Q63+Q64)/10000),0)</f>
        <v>1728894</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1" t="s">
        <v>1025</v>
      </c>
      <c r="B1" s="3012"/>
      <c r="C1" s="3013"/>
      <c r="D1" s="3014">
        <f>SUM(I10,I15,I20,I21,I23)</f>
        <v>0</v>
      </c>
      <c r="E1" s="3014"/>
      <c r="F1" s="3014"/>
      <c r="G1" s="3014"/>
      <c r="H1" s="3014"/>
      <c r="I1" s="3015"/>
    </row>
    <row r="2" spans="1:9">
      <c r="A2" s="3016" t="s">
        <v>1026</v>
      </c>
      <c r="B2" s="3017" t="s">
        <v>975</v>
      </c>
      <c r="C2" s="3017"/>
      <c r="D2" s="1389" t="s">
        <v>976</v>
      </c>
      <c r="E2" s="1389" t="s">
        <v>977</v>
      </c>
      <c r="F2" s="1389" t="s">
        <v>978</v>
      </c>
      <c r="G2" s="1389" t="s">
        <v>979</v>
      </c>
      <c r="H2" s="1389" t="s">
        <v>980</v>
      </c>
      <c r="I2" s="1390" t="s">
        <v>981</v>
      </c>
    </row>
    <row r="3" spans="1:9">
      <c r="A3" s="3016"/>
      <c r="B3" s="3017" t="s">
        <v>982</v>
      </c>
      <c r="C3" s="3017"/>
      <c r="D3" s="1391"/>
      <c r="E3" s="1389"/>
      <c r="F3" s="1392"/>
      <c r="G3" s="1392"/>
      <c r="H3" s="1393"/>
      <c r="I3" s="1394">
        <f>ROUND(D3*E3*F3*G3*H3/10000,0)</f>
        <v>0</v>
      </c>
    </row>
    <row r="4" spans="1:9">
      <c r="A4" s="3016"/>
      <c r="B4" s="3017" t="s">
        <v>983</v>
      </c>
      <c r="C4" s="3017"/>
      <c r="D4" s="1391"/>
      <c r="E4" s="1389"/>
      <c r="F4" s="1392"/>
      <c r="G4" s="1392"/>
      <c r="H4" s="1393"/>
      <c r="I4" s="1394">
        <f t="shared" ref="I4:I9" si="0">ROUND(D4*E4*F4*G4*H4/10000,0)</f>
        <v>0</v>
      </c>
    </row>
    <row r="5" spans="1:9">
      <c r="A5" s="3016"/>
      <c r="B5" s="3017" t="s">
        <v>984</v>
      </c>
      <c r="C5" s="3017"/>
      <c r="D5" s="1391"/>
      <c r="E5" s="1389"/>
      <c r="F5" s="1392"/>
      <c r="G5" s="1392"/>
      <c r="H5" s="1393"/>
      <c r="I5" s="1394">
        <f t="shared" si="0"/>
        <v>0</v>
      </c>
    </row>
    <row r="6" spans="1:9">
      <c r="A6" s="3016"/>
      <c r="B6" s="3017" t="s">
        <v>985</v>
      </c>
      <c r="C6" s="3017"/>
      <c r="D6" s="1391"/>
      <c r="E6" s="1389"/>
      <c r="F6" s="1392"/>
      <c r="G6" s="1392"/>
      <c r="H6" s="1393"/>
      <c r="I6" s="1394">
        <f t="shared" si="0"/>
        <v>0</v>
      </c>
    </row>
    <row r="7" spans="1:9">
      <c r="A7" s="3016"/>
      <c r="B7" s="3017" t="s">
        <v>986</v>
      </c>
      <c r="C7" s="3017"/>
      <c r="D7" s="1391"/>
      <c r="E7" s="1389"/>
      <c r="F7" s="1392"/>
      <c r="G7" s="1392"/>
      <c r="H7" s="1393"/>
      <c r="I7" s="1394">
        <f t="shared" si="0"/>
        <v>0</v>
      </c>
    </row>
    <row r="8" spans="1:9">
      <c r="A8" s="3016"/>
      <c r="B8" s="3017" t="s">
        <v>987</v>
      </c>
      <c r="C8" s="3017"/>
      <c r="D8" s="1391"/>
      <c r="E8" s="1389"/>
      <c r="F8" s="1392"/>
      <c r="G8" s="1392"/>
      <c r="H8" s="1393"/>
      <c r="I8" s="1394">
        <f t="shared" si="0"/>
        <v>0</v>
      </c>
    </row>
    <row r="9" spans="1:9">
      <c r="A9" s="3016"/>
      <c r="B9" s="3017" t="s">
        <v>988</v>
      </c>
      <c r="C9" s="3017"/>
      <c r="D9" s="1391"/>
      <c r="E9" s="1389"/>
      <c r="F9" s="1392"/>
      <c r="G9" s="1392"/>
      <c r="H9" s="1393"/>
      <c r="I9" s="1394">
        <f t="shared" si="0"/>
        <v>0</v>
      </c>
    </row>
    <row r="10" spans="1:9">
      <c r="A10" s="3016"/>
      <c r="B10" s="3018" t="s">
        <v>989</v>
      </c>
      <c r="C10" s="3018"/>
      <c r="D10" s="1395">
        <v>527</v>
      </c>
      <c r="E10" s="1395" t="e">
        <f>ROUND(D1*10000/D10/H9,0)</f>
        <v>#DIV/0!</v>
      </c>
      <c r="F10" s="1396"/>
      <c r="G10" s="1396"/>
      <c r="H10" s="1397"/>
      <c r="I10" s="1398">
        <f>SUM(I3:I9)</f>
        <v>0</v>
      </c>
    </row>
    <row r="11" spans="1:9" ht="14.25">
      <c r="A11" s="3016" t="s">
        <v>1027</v>
      </c>
      <c r="B11" s="3017" t="s">
        <v>990</v>
      </c>
      <c r="C11" s="3017"/>
      <c r="D11" s="1391" t="s">
        <v>991</v>
      </c>
      <c r="E11" s="1391" t="s">
        <v>992</v>
      </c>
      <c r="F11" s="1392" t="s">
        <v>993</v>
      </c>
      <c r="G11" s="1392" t="s">
        <v>980</v>
      </c>
      <c r="H11" s="1399" t="s">
        <v>994</v>
      </c>
      <c r="I11" s="1390" t="s">
        <v>981</v>
      </c>
    </row>
    <row r="12" spans="1:9">
      <c r="A12" s="3016"/>
      <c r="B12" s="3017" t="s">
        <v>995</v>
      </c>
      <c r="C12" s="3017"/>
      <c r="D12" s="1391"/>
      <c r="E12" s="1391"/>
      <c r="F12" s="1392"/>
      <c r="G12" s="1393"/>
      <c r="H12" s="1400"/>
      <c r="I12" s="1390">
        <f>ROUND(D12*E12*F12*G12/10000,0)</f>
        <v>0</v>
      </c>
    </row>
    <row r="13" spans="1:9">
      <c r="A13" s="3016"/>
      <c r="B13" s="3017" t="s">
        <v>996</v>
      </c>
      <c r="C13" s="3017"/>
      <c r="D13" s="1391"/>
      <c r="E13" s="1391"/>
      <c r="F13" s="1392"/>
      <c r="G13" s="1393"/>
      <c r="H13" s="1400"/>
      <c r="I13" s="1390">
        <f>ROUND(D13*E13*F13*G13/10000,0)</f>
        <v>0</v>
      </c>
    </row>
    <row r="14" spans="1:9">
      <c r="A14" s="3016"/>
      <c r="B14" s="3017" t="s">
        <v>997</v>
      </c>
      <c r="C14" s="3017"/>
      <c r="D14" s="1391"/>
      <c r="E14" s="1391"/>
      <c r="F14" s="1392"/>
      <c r="G14" s="1393"/>
      <c r="H14" s="1400"/>
      <c r="I14" s="1390">
        <f>ROUND(D14*E14*F14*G14/10000,0)</f>
        <v>0</v>
      </c>
    </row>
    <row r="15" spans="1:9">
      <c r="A15" s="3016"/>
      <c r="B15" s="3018" t="s">
        <v>989</v>
      </c>
      <c r="C15" s="3018"/>
      <c r="D15" s="1395"/>
      <c r="E15" s="1395">
        <f>SUM(E12:E14)</f>
        <v>0</v>
      </c>
      <c r="F15" s="1396"/>
      <c r="G15" s="1393"/>
      <c r="H15" s="1400"/>
      <c r="I15" s="1401">
        <f>SUM(I12:I14)</f>
        <v>0</v>
      </c>
    </row>
    <row r="16" spans="1:9" ht="24">
      <c r="A16" s="3016" t="s">
        <v>1028</v>
      </c>
      <c r="B16" s="3017" t="s">
        <v>998</v>
      </c>
      <c r="C16" s="3017"/>
      <c r="D16" s="1391" t="s">
        <v>976</v>
      </c>
      <c r="E16" s="1402" t="s">
        <v>999</v>
      </c>
      <c r="F16" s="1392" t="s">
        <v>1000</v>
      </c>
      <c r="G16" s="1393" t="s">
        <v>980</v>
      </c>
      <c r="H16" s="1399" t="s">
        <v>994</v>
      </c>
      <c r="I16" s="1390" t="s">
        <v>981</v>
      </c>
    </row>
    <row r="17" spans="1:9" ht="14.25">
      <c r="A17" s="3016"/>
      <c r="B17" s="3017" t="s">
        <v>1001</v>
      </c>
      <c r="C17" s="3017"/>
      <c r="D17" s="1391"/>
      <c r="E17" s="1391"/>
      <c r="F17" s="1392"/>
      <c r="G17" s="1393"/>
      <c r="H17" s="1403"/>
      <c r="I17" s="1404">
        <f>ROUND(D17*E17*F17*G17/10000,0)</f>
        <v>0</v>
      </c>
    </row>
    <row r="18" spans="1:9" ht="14.25">
      <c r="A18" s="3016"/>
      <c r="B18" s="3017" t="s">
        <v>1002</v>
      </c>
      <c r="C18" s="3017"/>
      <c r="D18" s="1391"/>
      <c r="E18" s="1391"/>
      <c r="F18" s="1392"/>
      <c r="G18" s="1393"/>
      <c r="H18" s="1403"/>
      <c r="I18" s="1404">
        <f>ROUND(D18*E18*F18*G18/10000,0)</f>
        <v>0</v>
      </c>
    </row>
    <row r="19" spans="1:9" ht="14.25">
      <c r="A19" s="3016"/>
      <c r="B19" s="3017" t="s">
        <v>1003</v>
      </c>
      <c r="C19" s="3017"/>
      <c r="D19" s="1391"/>
      <c r="E19" s="1391"/>
      <c r="F19" s="1392"/>
      <c r="G19" s="1393"/>
      <c r="H19" s="1403"/>
      <c r="I19" s="1404">
        <f>ROUND(D19*E19*F19*G19/10000,0)</f>
        <v>0</v>
      </c>
    </row>
    <row r="20" spans="1:9">
      <c r="A20" s="3016"/>
      <c r="B20" s="3018" t="s">
        <v>989</v>
      </c>
      <c r="C20" s="3018"/>
      <c r="D20" s="1395">
        <f>SUM(D17:D19)</f>
        <v>0</v>
      </c>
      <c r="E20" s="1395"/>
      <c r="F20" s="1396"/>
      <c r="G20" s="1393"/>
      <c r="H20" s="1400"/>
      <c r="I20" s="1401">
        <f>SUM(I17:I19)</f>
        <v>0</v>
      </c>
    </row>
    <row r="21" spans="1:9">
      <c r="A21" s="3016" t="s">
        <v>1029</v>
      </c>
      <c r="B21" s="3020"/>
      <c r="C21" s="3020"/>
      <c r="D21" s="3020"/>
      <c r="E21" s="3020"/>
      <c r="F21" s="3020"/>
      <c r="G21" s="3020"/>
      <c r="H21" s="1405">
        <v>0.1</v>
      </c>
      <c r="I21" s="1398">
        <f>ROUND(I10*H21,0)</f>
        <v>0</v>
      </c>
    </row>
    <row r="22" spans="1:9" ht="14.25">
      <c r="A22" s="3021" t="s">
        <v>1030</v>
      </c>
      <c r="B22" s="3022"/>
      <c r="C22" s="3023"/>
      <c r="D22" s="1406" t="s">
        <v>1004</v>
      </c>
      <c r="E22" s="1406" t="s">
        <v>1005</v>
      </c>
      <c r="F22" s="1407" t="s">
        <v>980</v>
      </c>
      <c r="G22" s="1407" t="s">
        <v>1006</v>
      </c>
      <c r="H22" s="1399" t="s">
        <v>994</v>
      </c>
      <c r="I22" s="1390" t="s">
        <v>981</v>
      </c>
    </row>
    <row r="23" spans="1:9" ht="14.25" thickBot="1">
      <c r="A23" s="3024"/>
      <c r="B23" s="3025"/>
      <c r="C23" s="3026"/>
      <c r="D23" s="1408"/>
      <c r="E23" s="1408"/>
      <c r="F23" s="1408"/>
      <c r="G23" s="1409"/>
      <c r="H23" s="1410"/>
      <c r="I23" s="1411">
        <f>ROUND(E23*D23*F23*(1-G23)/10000,0)</f>
        <v>0</v>
      </c>
    </row>
    <row r="26" spans="1:9">
      <c r="A26" s="1412" t="s">
        <v>1007</v>
      </c>
      <c r="B26" s="1412"/>
      <c r="C26" s="1412"/>
      <c r="D26" s="1412"/>
      <c r="E26" s="3027">
        <f>C27-C30-C31-C32</f>
        <v>0</v>
      </c>
      <c r="F26" s="3027"/>
      <c r="G26" s="3027"/>
      <c r="H26" s="1829" t="s">
        <v>1220</v>
      </c>
    </row>
    <row r="27" spans="1:9">
      <c r="A27" s="1413">
        <v>1</v>
      </c>
      <c r="B27" s="1414" t="s">
        <v>1008</v>
      </c>
      <c r="C27" s="1414">
        <f>C28+C29</f>
        <v>0</v>
      </c>
      <c r="D27" s="1414"/>
      <c r="E27" s="3028"/>
      <c r="F27" s="3028"/>
      <c r="G27" s="3028"/>
    </row>
    <row r="28" spans="1:9">
      <c r="A28" s="1415" t="s">
        <v>1009</v>
      </c>
      <c r="B28" s="1414" t="s">
        <v>1010</v>
      </c>
      <c r="C28" s="1414"/>
      <c r="D28" s="1414"/>
      <c r="E28" s="3028"/>
      <c r="F28" s="3028"/>
      <c r="G28" s="3028"/>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9"/>
      <c r="F32" s="3019"/>
      <c r="G32" s="3019"/>
    </row>
    <row r="33" spans="1:7" hidden="1">
      <c r="A33" s="3029" t="s">
        <v>1019</v>
      </c>
      <c r="B33" s="3030"/>
      <c r="C33" s="3030"/>
      <c r="D33" s="3031"/>
      <c r="E33" s="3027"/>
      <c r="F33" s="3027"/>
      <c r="G33" s="3027"/>
    </row>
    <row r="34" spans="1:7" hidden="1">
      <c r="A34" s="1417">
        <v>1</v>
      </c>
      <c r="B34" s="1414" t="s">
        <v>1020</v>
      </c>
      <c r="C34" s="1414"/>
      <c r="D34" s="1414"/>
      <c r="E34" s="3028"/>
      <c r="F34" s="3028"/>
      <c r="G34" s="3028"/>
    </row>
    <row r="35" spans="1:7" hidden="1">
      <c r="A35" s="1417">
        <v>2</v>
      </c>
      <c r="B35" s="1414" t="s">
        <v>1021</v>
      </c>
      <c r="C35" s="1414"/>
      <c r="D35" s="1414"/>
      <c r="E35" s="3028"/>
      <c r="F35" s="3028"/>
      <c r="G35" s="3028"/>
    </row>
    <row r="36" spans="1:7" hidden="1">
      <c r="A36" s="1417">
        <v>3</v>
      </c>
      <c r="B36" s="1414" t="s">
        <v>1022</v>
      </c>
      <c r="C36" s="1414"/>
      <c r="D36" s="1414"/>
      <c r="E36" s="3028"/>
      <c r="F36" s="3028"/>
      <c r="G36" s="3028"/>
    </row>
    <row r="37" spans="1:7" hidden="1">
      <c r="A37" s="1417">
        <v>4</v>
      </c>
      <c r="B37" s="1414" t="s">
        <v>1023</v>
      </c>
      <c r="C37" s="1414"/>
      <c r="D37" s="1414"/>
      <c r="E37" s="3028"/>
      <c r="F37" s="3028"/>
      <c r="G37" s="3028"/>
    </row>
    <row r="38" spans="1:7" hidden="1">
      <c r="A38" s="3029" t="s">
        <v>1024</v>
      </c>
      <c r="B38" s="3030"/>
      <c r="C38" s="3030"/>
      <c r="D38" s="3031"/>
      <c r="E38" s="3027"/>
      <c r="F38" s="3027"/>
      <c r="G38" s="302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35" t="s">
        <v>2304</v>
      </c>
      <c r="D4" s="3036"/>
      <c r="E4" s="3036"/>
      <c r="F4" s="3036"/>
      <c r="G4" s="3036"/>
      <c r="H4" s="3036"/>
      <c r="I4" s="3036"/>
      <c r="J4" s="3036"/>
      <c r="K4" s="3036"/>
      <c r="L4" s="3036"/>
      <c r="M4" s="3036"/>
      <c r="N4" s="3036"/>
      <c r="O4" s="3036"/>
      <c r="P4" s="3036"/>
      <c r="Q4" s="3036"/>
      <c r="R4" s="3036"/>
      <c r="S4" s="3037"/>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元</v>
      </c>
      <c r="D23" s="84"/>
      <c r="E23" s="84"/>
      <c r="F23" s="2371" t="s">
        <v>1254</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3" t="s">
        <v>2320</v>
      </c>
      <c r="V24" s="1342"/>
      <c r="W24" s="2374" t="s">
        <v>2321</v>
      </c>
      <c r="X24" s="2373" t="s">
        <v>2322</v>
      </c>
      <c r="Y24" s="1342"/>
      <c r="Z24" s="2375" t="s">
        <v>2321</v>
      </c>
    </row>
    <row r="25" spans="1:45">
      <c r="A25" s="334" t="s">
        <v>2323</v>
      </c>
      <c r="B25" s="14">
        <f>SUM(B27:B10000)</f>
        <v>0</v>
      </c>
      <c r="C25" s="3032" t="s">
        <v>45</v>
      </c>
      <c r="D25" s="3033"/>
      <c r="E25" s="3033"/>
      <c r="F25" s="3033"/>
      <c r="G25" s="3033"/>
      <c r="H25" s="3033"/>
      <c r="I25" s="3033"/>
      <c r="J25" s="3033"/>
      <c r="K25" s="3033"/>
      <c r="L25" s="3033"/>
      <c r="M25" s="3033"/>
      <c r="N25" s="3033"/>
      <c r="O25" s="3033"/>
      <c r="P25" s="3033"/>
      <c r="Q25" s="303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7" t="s">
        <v>2330</v>
      </c>
      <c r="W26" s="2378" t="s">
        <v>2331</v>
      </c>
      <c r="X26" s="1883"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2" zoomScale="90" zoomScaleNormal="90" workbookViewId="0">
      <selection activeCell="K33" sqref="K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t="s">
        <v>2852</v>
      </c>
      <c r="D1" s="2379"/>
      <c r="E1" s="2380" t="s">
        <v>2853</v>
      </c>
      <c r="F1" s="1740" t="s">
        <v>2335</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2003</v>
      </c>
      <c r="B2" s="1725">
        <f>IF(D2="——",IF(C2="元",ROUND(C49*D3,0),ROUND(C49*D3/10000,0)),IF(C2="元",ROUND(C49*D3,0),ROUND(C49*D3/10000,0))-E2)</f>
        <v>4811176</v>
      </c>
      <c r="C2" s="163" t="str">
        <f>'数据-取费表'!B3</f>
        <v>元</v>
      </c>
      <c r="D2" s="2382" t="s">
        <v>1254</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2004</v>
      </c>
      <c r="B3" s="378">
        <f>ROUND(IF(D2="——",C49,IF(C2="万元",B2*10000/D3,B2/D3)),0)</f>
        <v>34253</v>
      </c>
      <c r="C3" s="379" t="s">
        <v>2336</v>
      </c>
      <c r="D3" s="378">
        <f>IF(C1="仅计算典型户型",'数据-取费表'!E5,'数据-取费表'!B5)</f>
        <v>140.46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41" t="s">
        <v>2338</v>
      </c>
      <c r="D4" s="3042"/>
      <c r="E4" s="3043" t="s">
        <v>2339</v>
      </c>
      <c r="F4" s="3044"/>
      <c r="G4" s="3041" t="s">
        <v>2340</v>
      </c>
      <c r="H4" s="3042"/>
      <c r="I4" s="3041" t="s">
        <v>2341</v>
      </c>
      <c r="J4" s="3042"/>
      <c r="K4" s="2393"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38" t="s">
        <v>2340</v>
      </c>
      <c r="AC4" s="3038" t="s">
        <v>2341</v>
      </c>
    </row>
    <row r="5" spans="1:29" ht="15">
      <c r="A5" s="383"/>
      <c r="B5" s="384"/>
      <c r="C5" s="3060" t="s">
        <v>2874</v>
      </c>
      <c r="D5" s="3061"/>
      <c r="E5" s="3058" t="s">
        <v>2875</v>
      </c>
      <c r="F5" s="3059"/>
      <c r="G5" s="3060" t="s">
        <v>2876</v>
      </c>
      <c r="H5" s="3061"/>
      <c r="I5" s="3060" t="s">
        <v>2877</v>
      </c>
      <c r="J5" s="3061"/>
      <c r="K5" s="2394"/>
      <c r="L5" s="1243"/>
      <c r="M5" s="1244"/>
      <c r="N5" s="1244"/>
      <c r="O5" s="1244"/>
      <c r="P5" s="3047"/>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2394" t="s">
        <v>2349</v>
      </c>
      <c r="L6" s="1243"/>
      <c r="M6" s="1244"/>
      <c r="N6" s="1244"/>
      <c r="O6" s="1244"/>
      <c r="P6" s="3049"/>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391">
        <v>43200</v>
      </c>
      <c r="F7" s="392">
        <f>SUMIF(58:58,YEAR(E7)&amp;"-"&amp;MONTH(E7),59:59)</f>
        <v>100</v>
      </c>
      <c r="G7" s="391">
        <v>43199</v>
      </c>
      <c r="H7" s="390">
        <f>SUMIF(58:58,YEAR(G7)&amp;"-"&amp;MONTH(G7),59:59)</f>
        <v>100</v>
      </c>
      <c r="I7" s="391">
        <v>43167</v>
      </c>
      <c r="J7" s="390">
        <f>SUMIF(58:58,YEAR(I7)&amp;"-"&amp;MONTH(I7),59:59)</f>
        <v>101</v>
      </c>
      <c r="K7" s="2395"/>
      <c r="L7" s="1245"/>
      <c r="M7" s="1246"/>
      <c r="N7" s="1246"/>
      <c r="O7" s="1246"/>
      <c r="P7" s="3073" t="s">
        <v>2351</v>
      </c>
      <c r="Q7" s="3075"/>
      <c r="R7" s="749" t="s">
        <v>34</v>
      </c>
      <c r="S7" s="750">
        <f t="shared" ref="S7:S15" si="0">F7</f>
        <v>100</v>
      </c>
      <c r="T7" s="749" t="s">
        <v>34</v>
      </c>
      <c r="U7" s="750">
        <f t="shared" ref="U7:U15" si="1">H7</f>
        <v>100</v>
      </c>
      <c r="V7" s="749" t="s">
        <v>34</v>
      </c>
      <c r="W7" s="750">
        <f t="shared" ref="W7:W15" si="2">J7</f>
        <v>101</v>
      </c>
      <c r="X7" s="751"/>
      <c r="Y7" s="3073" t="s">
        <v>2351</v>
      </c>
      <c r="Z7" s="3074"/>
      <c r="AA7" s="752">
        <f>D7/F7</f>
        <v>1</v>
      </c>
      <c r="AB7" s="752">
        <f>D7/H7</f>
        <v>1</v>
      </c>
      <c r="AC7" s="752">
        <f>D7/J7</f>
        <v>0.99009900990099009</v>
      </c>
    </row>
    <row r="8" spans="1:29" s="35" customFormat="1" ht="15.75" thickBot="1">
      <c r="A8" s="387" t="s">
        <v>2352</v>
      </c>
      <c r="B8" s="388"/>
      <c r="C8" s="394" t="s">
        <v>2353</v>
      </c>
      <c r="D8" s="390">
        <v>100</v>
      </c>
      <c r="E8" s="2396" t="s">
        <v>2854</v>
      </c>
      <c r="F8" s="392">
        <f>SUMIF(61:61,E8,62:62)-SUMIF(61:61,C8,62:62)+100</f>
        <v>100</v>
      </c>
      <c r="G8" s="394" t="s">
        <v>2854</v>
      </c>
      <c r="H8" s="390">
        <f>SUMIF(61:61,G8,62:62)-SUMIF(61:61,C8,62:62)+100</f>
        <v>100</v>
      </c>
      <c r="I8" s="2396" t="s">
        <v>2854</v>
      </c>
      <c r="J8" s="390">
        <f>SUMIF(61:61,I8,62:62)-SUMIF(61:61,C8,62:62)+100</f>
        <v>100</v>
      </c>
      <c r="K8" s="2395"/>
      <c r="L8" s="1245"/>
      <c r="M8" s="1246"/>
      <c r="N8" s="1246"/>
      <c r="O8" s="1246"/>
      <c r="P8" s="3073" t="s">
        <v>2354</v>
      </c>
      <c r="Q8" s="3074"/>
      <c r="R8" s="749" t="s">
        <v>34</v>
      </c>
      <c r="S8" s="750">
        <f t="shared" si="0"/>
        <v>100</v>
      </c>
      <c r="T8" s="749" t="s">
        <v>34</v>
      </c>
      <c r="U8" s="750">
        <f t="shared" si="1"/>
        <v>100</v>
      </c>
      <c r="V8" s="749" t="s">
        <v>34</v>
      </c>
      <c r="W8" s="750">
        <f t="shared" si="2"/>
        <v>100</v>
      </c>
      <c r="X8" s="751"/>
      <c r="Y8" s="3073" t="s">
        <v>2354</v>
      </c>
      <c r="Z8" s="3074"/>
      <c r="AA8" s="752">
        <f t="shared" ref="AA8:AA46" si="3">D8/F8</f>
        <v>1</v>
      </c>
      <c r="AB8" s="752">
        <f t="shared" ref="AB8:AB46" si="4">D8/H8</f>
        <v>1</v>
      </c>
      <c r="AC8" s="752">
        <f t="shared" ref="AC8:AC46" si="5">D8/J8</f>
        <v>1</v>
      </c>
    </row>
    <row r="9" spans="1:29" s="35" customFormat="1">
      <c r="A9" s="395" t="s">
        <v>2355</v>
      </c>
      <c r="B9" s="28" t="s">
        <v>2356</v>
      </c>
      <c r="C9" s="2754" t="s">
        <v>2855</v>
      </c>
      <c r="D9" s="51">
        <v>100</v>
      </c>
      <c r="E9" s="397" t="s">
        <v>2814</v>
      </c>
      <c r="F9" s="398">
        <f>SUMIF(63:63,E9,64:64)-SUMIF(63:63,C9,64:64)+100</f>
        <v>100</v>
      </c>
      <c r="G9" s="399" t="s">
        <v>2814</v>
      </c>
      <c r="H9" s="51">
        <f>SUMIF(63:63,G9,64:64)-SUMIF(63:63,C9,64:64)+100</f>
        <v>100</v>
      </c>
      <c r="I9" s="399" t="s">
        <v>2814</v>
      </c>
      <c r="J9" s="51">
        <f>SUMIF(63:63,I9,64:64)-SUMIF(63:63,C9,64:64)+100</f>
        <v>100</v>
      </c>
      <c r="K9" s="2395"/>
      <c r="L9" s="1245"/>
      <c r="M9" s="1246"/>
      <c r="N9" s="1246"/>
      <c r="O9" s="1246"/>
      <c r="P9" s="3076"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29" s="407" customFormat="1" ht="27.75" thickBot="1">
      <c r="A10" s="401"/>
      <c r="B10" s="402" t="s">
        <v>2359</v>
      </c>
      <c r="C10" s="403" t="s">
        <v>2890</v>
      </c>
      <c r="D10" s="52">
        <v>100</v>
      </c>
      <c r="E10" s="404" t="s">
        <v>2890</v>
      </c>
      <c r="F10" s="405">
        <f>SUMIF(65:65,E10,66:66)-SUMIF(65:65,C10,66:66)+100</f>
        <v>100</v>
      </c>
      <c r="G10" s="2772" t="s">
        <v>2903</v>
      </c>
      <c r="H10" s="52">
        <f>SUMIF(65:65,G10,66:66)-SUMIF(65:65,C10,66:66)+100</f>
        <v>100.5</v>
      </c>
      <c r="I10" s="403" t="s">
        <v>2890</v>
      </c>
      <c r="J10" s="52">
        <f>SUMIF(65:65,I10,66:66)-SUMIF(65:65,C10,66:66)+100</f>
        <v>100</v>
      </c>
      <c r="K10" s="406">
        <v>0.5</v>
      </c>
      <c r="L10" s="1248"/>
      <c r="M10" s="1249"/>
      <c r="N10" s="1249"/>
      <c r="O10" s="1249"/>
      <c r="P10" s="3076"/>
      <c r="Q10" s="1887" t="str">
        <f t="shared" si="6"/>
        <v>土地使用年限（年）</v>
      </c>
      <c r="R10" s="749" t="s">
        <v>25</v>
      </c>
      <c r="S10" s="750">
        <f t="shared" si="0"/>
        <v>100</v>
      </c>
      <c r="T10" s="749" t="s">
        <v>25</v>
      </c>
      <c r="U10" s="750">
        <f t="shared" si="1"/>
        <v>100.5</v>
      </c>
      <c r="V10" s="749" t="s">
        <v>25</v>
      </c>
      <c r="W10" s="750">
        <f t="shared" si="2"/>
        <v>100</v>
      </c>
      <c r="X10" s="751"/>
      <c r="Y10" s="2889"/>
      <c r="Z10" s="23" t="str">
        <f t="shared" si="7"/>
        <v>土地使用年限（年）</v>
      </c>
      <c r="AA10" s="752">
        <f t="shared" si="3"/>
        <v>1</v>
      </c>
      <c r="AB10" s="752">
        <f t="shared" si="4"/>
        <v>0.99502487562189057</v>
      </c>
      <c r="AC10" s="752">
        <f t="shared" si="5"/>
        <v>1</v>
      </c>
    </row>
    <row r="11" spans="1:29" ht="15.75" hidden="1" thickBot="1">
      <c r="A11" s="408"/>
      <c r="B11" s="402" t="s">
        <v>2360</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076"/>
      <c r="Q11" s="1887" t="str">
        <f t="shared" si="6"/>
        <v>容积率</v>
      </c>
      <c r="R11" s="749" t="s">
        <v>28</v>
      </c>
      <c r="S11" s="750">
        <f t="shared" si="0"/>
        <v>100</v>
      </c>
      <c r="T11" s="749" t="s">
        <v>28</v>
      </c>
      <c r="U11" s="750">
        <f t="shared" si="1"/>
        <v>100</v>
      </c>
      <c r="V11" s="749" t="s">
        <v>28</v>
      </c>
      <c r="W11" s="750">
        <f t="shared" si="2"/>
        <v>100</v>
      </c>
      <c r="X11" s="751"/>
      <c r="Y11" s="2889"/>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76"/>
      <c r="Q12" s="1887">
        <f t="shared" si="6"/>
        <v>111</v>
      </c>
      <c r="R12" s="749" t="s">
        <v>28</v>
      </c>
      <c r="S12" s="750">
        <f t="shared" si="0"/>
        <v>100</v>
      </c>
      <c r="T12" s="749" t="s">
        <v>28</v>
      </c>
      <c r="U12" s="750">
        <f t="shared" si="1"/>
        <v>100</v>
      </c>
      <c r="V12" s="749" t="s">
        <v>28</v>
      </c>
      <c r="W12" s="750">
        <f t="shared" si="2"/>
        <v>100</v>
      </c>
      <c r="X12" s="751"/>
      <c r="Y12" s="2889"/>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76"/>
      <c r="Q13" s="1887">
        <f t="shared" si="6"/>
        <v>111</v>
      </c>
      <c r="R13" s="749" t="s">
        <v>28</v>
      </c>
      <c r="S13" s="750">
        <f t="shared" si="0"/>
        <v>100</v>
      </c>
      <c r="T13" s="749" t="s">
        <v>28</v>
      </c>
      <c r="U13" s="750">
        <f t="shared" si="1"/>
        <v>100</v>
      </c>
      <c r="V13" s="749" t="s">
        <v>28</v>
      </c>
      <c r="W13" s="750">
        <f t="shared" si="2"/>
        <v>100</v>
      </c>
      <c r="X13" s="751"/>
      <c r="Y13" s="2889"/>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76"/>
      <c r="Q14" s="1887">
        <f t="shared" si="6"/>
        <v>111</v>
      </c>
      <c r="R14" s="749" t="s">
        <v>28</v>
      </c>
      <c r="S14" s="750">
        <f t="shared" si="0"/>
        <v>100</v>
      </c>
      <c r="T14" s="749" t="s">
        <v>28</v>
      </c>
      <c r="U14" s="750">
        <f t="shared" si="1"/>
        <v>100</v>
      </c>
      <c r="V14" s="749" t="s">
        <v>28</v>
      </c>
      <c r="W14" s="750">
        <f t="shared" si="2"/>
        <v>100</v>
      </c>
      <c r="X14" s="751"/>
      <c r="Y14" s="2889"/>
      <c r="Z14" s="23">
        <f t="shared" si="7"/>
        <v>111</v>
      </c>
      <c r="AA14" s="752">
        <f t="shared" si="3"/>
        <v>1</v>
      </c>
      <c r="AB14" s="752">
        <f t="shared" si="4"/>
        <v>1</v>
      </c>
      <c r="AC14" s="752">
        <f t="shared" si="5"/>
        <v>1</v>
      </c>
    </row>
    <row r="15" spans="1:29" ht="71.25">
      <c r="A15" s="419" t="s">
        <v>2361</v>
      </c>
      <c r="B15" s="26" t="s">
        <v>1736</v>
      </c>
      <c r="C15" s="2401" t="str">
        <f>估价对象房地状况!C3</f>
        <v>周边有天恒乐活城、燕化星城等社区，综合评价居住社区成熟度较好</v>
      </c>
      <c r="D15" s="420">
        <v>100</v>
      </c>
      <c r="E15" s="2758" t="s">
        <v>2891</v>
      </c>
      <c r="F15" s="422">
        <f>SUMIF(76:76,E16,77:77)-SUMIF(76:76,C16,77:77)+100</f>
        <v>100</v>
      </c>
      <c r="G15" s="2758" t="s">
        <v>2891</v>
      </c>
      <c r="H15" s="420">
        <f>SUMIF(76:76,G16,77:77)-SUMIF(76:76,C16,77:77)+100</f>
        <v>100</v>
      </c>
      <c r="I15" s="2758" t="s">
        <v>2891</v>
      </c>
      <c r="J15" s="420">
        <f>SUMIF(76:76,I16,77:77)-SUMIF(76:76,C16,77:77)+100</f>
        <v>100</v>
      </c>
      <c r="K15" s="424"/>
      <c r="L15" s="1253"/>
      <c r="M15" s="1244"/>
      <c r="N15" s="1244"/>
      <c r="O15" s="1244"/>
      <c r="P15" s="3079" t="s">
        <v>2362</v>
      </c>
      <c r="Q15" s="1899" t="str">
        <f t="shared" si="6"/>
        <v>居住社区成熟度</v>
      </c>
      <c r="R15" s="753" t="s">
        <v>28</v>
      </c>
      <c r="S15" s="754">
        <f t="shared" si="0"/>
        <v>100</v>
      </c>
      <c r="T15" s="753" t="s">
        <v>28</v>
      </c>
      <c r="U15" s="754">
        <f t="shared" si="1"/>
        <v>100</v>
      </c>
      <c r="V15" s="753" t="s">
        <v>28</v>
      </c>
      <c r="W15" s="754">
        <f t="shared" si="2"/>
        <v>100</v>
      </c>
      <c r="X15" s="1900"/>
      <c r="Y15" s="3066" t="s">
        <v>2362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80"/>
      <c r="Q16" s="1899"/>
      <c r="R16" s="753"/>
      <c r="S16" s="754"/>
      <c r="T16" s="753"/>
      <c r="U16" s="754"/>
      <c r="V16" s="753"/>
      <c r="W16" s="754"/>
      <c r="X16" s="1900"/>
      <c r="Y16" s="3067"/>
      <c r="Z16" s="1902"/>
      <c r="AA16" s="1903">
        <v>1</v>
      </c>
      <c r="AB16" s="1903">
        <v>1</v>
      </c>
      <c r="AC16" s="1903">
        <v>1</v>
      </c>
    </row>
    <row r="17" spans="1:29" ht="94.5">
      <c r="A17" s="408"/>
      <c r="B17" s="431" t="s">
        <v>1746</v>
      </c>
      <c r="C17" s="2404" t="str">
        <f>估价对象房地状况!C6</f>
        <v>估价对象紧邻京周路，有901快车、839等多条公交线路及地铁燕房线燕山线通过，交通便捷度良好</v>
      </c>
      <c r="D17" s="430">
        <v>100</v>
      </c>
      <c r="E17" s="2759" t="s">
        <v>2892</v>
      </c>
      <c r="F17" s="433">
        <f>SUMIF(78:78,E18,79:79)-SUMIF(78:78,C18,79:79)+100</f>
        <v>100</v>
      </c>
      <c r="G17" s="2759" t="s">
        <v>2892</v>
      </c>
      <c r="H17" s="435">
        <f>SUMIF(78:78,G18,79:79)-SUMIF(78:78,C18,79:79)+100</f>
        <v>100</v>
      </c>
      <c r="I17" s="2759" t="s">
        <v>2892</v>
      </c>
      <c r="J17" s="435">
        <f>SUMIF(78:78,I18,79:79)-SUMIF(78:78,C18,79:79)+100</f>
        <v>100</v>
      </c>
      <c r="K17" s="424"/>
      <c r="L17" s="1253"/>
      <c r="M17" s="1244"/>
      <c r="N17" s="1244"/>
      <c r="O17" s="1244"/>
      <c r="P17" s="3080"/>
      <c r="Q17" s="1899" t="str">
        <f>B17</f>
        <v>交通便捷度</v>
      </c>
      <c r="R17" s="753" t="s">
        <v>28</v>
      </c>
      <c r="S17" s="754">
        <f>F17</f>
        <v>100</v>
      </c>
      <c r="T17" s="753" t="s">
        <v>28</v>
      </c>
      <c r="U17" s="754">
        <f>H17</f>
        <v>100</v>
      </c>
      <c r="V17" s="753" t="s">
        <v>28</v>
      </c>
      <c r="W17" s="754">
        <f>J17</f>
        <v>100</v>
      </c>
      <c r="X17" s="1900"/>
      <c r="Y17" s="3067"/>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80"/>
      <c r="Q18" s="1899"/>
      <c r="R18" s="753"/>
      <c r="S18" s="754"/>
      <c r="T18" s="753"/>
      <c r="U18" s="754"/>
      <c r="V18" s="753"/>
      <c r="W18" s="754"/>
      <c r="X18" s="1900"/>
      <c r="Y18" s="3067"/>
      <c r="Z18" s="1902"/>
      <c r="AA18" s="1903">
        <v>1</v>
      </c>
      <c r="AB18" s="1903">
        <v>1</v>
      </c>
      <c r="AC18" s="1903">
        <v>1</v>
      </c>
    </row>
    <row r="19" spans="1:29" ht="42.75">
      <c r="A19" s="408"/>
      <c r="B19" s="431" t="s">
        <v>1744</v>
      </c>
      <c r="C19" s="2404" t="str">
        <f>估价对象房地状况!C7</f>
        <v>估价对象所在区域公共配套设施较好</v>
      </c>
      <c r="D19" s="435">
        <v>100</v>
      </c>
      <c r="E19" s="2769" t="s">
        <v>2857</v>
      </c>
      <c r="F19" s="439">
        <f>SUMIF(80:80,E20,81:81)-SUMIF(80:80,C20,81:81)+100</f>
        <v>100</v>
      </c>
      <c r="G19" s="2769" t="s">
        <v>2857</v>
      </c>
      <c r="H19" s="430">
        <f>SUMIF(80:80,G20,81:81)-SUMIF(80:80,C20,81:81)+100</f>
        <v>100</v>
      </c>
      <c r="I19" s="2769" t="s">
        <v>2857</v>
      </c>
      <c r="J19" s="430">
        <f>SUMIF(80:80,I20,81:81)-SUMIF(80:80,C20,81:81)+100</f>
        <v>100</v>
      </c>
      <c r="K19" s="424"/>
      <c r="L19" s="1253"/>
      <c r="M19" s="1244"/>
      <c r="N19" s="1244"/>
      <c r="O19" s="1244"/>
      <c r="P19" s="3080"/>
      <c r="Q19" s="1899" t="str">
        <f>B19</f>
        <v>公共配套设施</v>
      </c>
      <c r="R19" s="753" t="s">
        <v>28</v>
      </c>
      <c r="S19" s="754">
        <f>F19</f>
        <v>100</v>
      </c>
      <c r="T19" s="753" t="s">
        <v>28</v>
      </c>
      <c r="U19" s="754">
        <f>H19</f>
        <v>100</v>
      </c>
      <c r="V19" s="753" t="s">
        <v>28</v>
      </c>
      <c r="W19" s="754">
        <f>J19</f>
        <v>100</v>
      </c>
      <c r="X19" s="1900"/>
      <c r="Y19" s="306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80"/>
      <c r="Q20" s="1899"/>
      <c r="R20" s="753"/>
      <c r="S20" s="754"/>
      <c r="T20" s="753"/>
      <c r="U20" s="754"/>
      <c r="V20" s="753"/>
      <c r="W20" s="754"/>
      <c r="X20" s="1900"/>
      <c r="Y20" s="3067"/>
      <c r="Z20" s="1902"/>
      <c r="AA20" s="1903">
        <v>1</v>
      </c>
      <c r="AB20" s="1903">
        <v>1</v>
      </c>
      <c r="AC20" s="1903">
        <v>1</v>
      </c>
    </row>
    <row r="21" spans="1:29" ht="15">
      <c r="A21" s="408"/>
      <c r="B21" s="2406" t="s">
        <v>1747</v>
      </c>
      <c r="C21" s="2404" t="str">
        <f>估价对象房地状况!C8</f>
        <v>七通一平</v>
      </c>
      <c r="D21" s="435">
        <v>100</v>
      </c>
      <c r="E21" s="2757" t="s">
        <v>2856</v>
      </c>
      <c r="F21" s="439">
        <f>SUMIF(82:82,E22,83:83)-SUMIF(82:82,C22,83:83)+100</f>
        <v>100</v>
      </c>
      <c r="G21" s="2757" t="s">
        <v>2856</v>
      </c>
      <c r="H21" s="430">
        <f>SUMIF(82:82,G22,83:83)-SUMIF(82:82,C22,83:83)+100</f>
        <v>100</v>
      </c>
      <c r="I21" s="2757" t="s">
        <v>2856</v>
      </c>
      <c r="J21" s="430">
        <f>SUMIF(82:82,I22,83:83)-SUMIF(82:82,C22,83:83)+100</f>
        <v>100</v>
      </c>
      <c r="K21" s="424"/>
      <c r="L21" s="1253"/>
      <c r="M21" s="1244"/>
      <c r="N21" s="1244"/>
      <c r="O21" s="1244"/>
      <c r="P21" s="3080"/>
      <c r="Q21" s="1899" t="str">
        <f>B21</f>
        <v>基础设施水平</v>
      </c>
      <c r="R21" s="753" t="s">
        <v>28</v>
      </c>
      <c r="S21" s="754">
        <f>F21</f>
        <v>100</v>
      </c>
      <c r="T21" s="753" t="s">
        <v>28</v>
      </c>
      <c r="U21" s="754">
        <f>H21</f>
        <v>100</v>
      </c>
      <c r="V21" s="753" t="s">
        <v>28</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2406"/>
      <c r="C22" s="437" t="s">
        <v>2893</v>
      </c>
      <c r="D22" s="427"/>
      <c r="E22" s="426" t="s">
        <v>2893</v>
      </c>
      <c r="F22" s="429"/>
      <c r="G22" s="426" t="s">
        <v>2893</v>
      </c>
      <c r="H22" s="427"/>
      <c r="I22" s="426" t="s">
        <v>2893</v>
      </c>
      <c r="J22" s="427"/>
      <c r="K22" s="2407"/>
      <c r="L22" s="1253"/>
      <c r="M22" s="1244"/>
      <c r="N22" s="1244"/>
      <c r="O22" s="1244"/>
      <c r="P22" s="3080"/>
      <c r="Q22" s="1899"/>
      <c r="R22" s="753"/>
      <c r="S22" s="754"/>
      <c r="T22" s="753"/>
      <c r="U22" s="754"/>
      <c r="V22" s="753"/>
      <c r="W22" s="754"/>
      <c r="X22" s="1900"/>
      <c r="Y22" s="3067"/>
      <c r="Z22" s="1902"/>
      <c r="AA22" s="1903">
        <v>1</v>
      </c>
      <c r="AB22" s="1903">
        <v>1</v>
      </c>
      <c r="AC22" s="1903">
        <v>1</v>
      </c>
    </row>
    <row r="23" spans="1:29" ht="111.75" customHeight="1">
      <c r="A23" s="408"/>
      <c r="B23" s="431" t="s">
        <v>1751</v>
      </c>
      <c r="C23" s="2404" t="str">
        <f>估价对象房地状况!C9</f>
        <v>自然环境有大石河水系（距离4公里）；人文环境有北京理工大学（房山分校）；综合评价环境状况较好</v>
      </c>
      <c r="D23" s="430">
        <v>100</v>
      </c>
      <c r="E23" s="2756" t="s">
        <v>2881</v>
      </c>
      <c r="F23" s="433">
        <f>SUMIF(84:84,E24,85:85)-SUMIF(84:84,C24,85:85)+100</f>
        <v>100</v>
      </c>
      <c r="G23" s="2756" t="s">
        <v>2881</v>
      </c>
      <c r="H23" s="430">
        <f>SUMIF(84:84,G24,85:85)-SUMIF(84:84,C24,85:85)+100</f>
        <v>100</v>
      </c>
      <c r="I23" s="2756" t="s">
        <v>2881</v>
      </c>
      <c r="J23" s="430">
        <f>SUMIF(84:84,I24,85:85)-SUMIF(84:84,C24,85:85)+100</f>
        <v>100</v>
      </c>
      <c r="K23" s="424"/>
      <c r="L23" s="1253"/>
      <c r="M23" s="1244"/>
      <c r="N23" s="1244"/>
      <c r="O23" s="1244"/>
      <c r="P23" s="3080"/>
      <c r="Q23" s="1899" t="str">
        <f>B23</f>
        <v>自然及人文环境</v>
      </c>
      <c r="R23" s="753" t="s">
        <v>28</v>
      </c>
      <c r="S23" s="754">
        <f>F23</f>
        <v>100</v>
      </c>
      <c r="T23" s="753" t="s">
        <v>28</v>
      </c>
      <c r="U23" s="754">
        <f>H23</f>
        <v>100</v>
      </c>
      <c r="V23" s="753" t="s">
        <v>28</v>
      </c>
      <c r="W23" s="754">
        <f>J23</f>
        <v>100</v>
      </c>
      <c r="X23" s="1900"/>
      <c r="Y23" s="306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80"/>
      <c r="Q24" s="1899"/>
      <c r="R24" s="753"/>
      <c r="S24" s="754"/>
      <c r="T24" s="753"/>
      <c r="U24" s="754"/>
      <c r="V24" s="753"/>
      <c r="W24" s="754"/>
      <c r="X24" s="1900"/>
      <c r="Y24" s="3067"/>
      <c r="Z24" s="1902"/>
      <c r="AA24" s="1903">
        <v>1</v>
      </c>
      <c r="AB24" s="1903">
        <v>1</v>
      </c>
      <c r="AC24" s="1903">
        <v>1</v>
      </c>
    </row>
    <row r="25" spans="1:29" ht="15" hidden="1">
      <c r="A25" s="408"/>
      <c r="B25" s="402" t="s">
        <v>2363</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80"/>
      <c r="Q25" s="1899" t="str">
        <f t="shared" ref="Q25:Q46" si="11">B25</f>
        <v>楼层-1</v>
      </c>
      <c r="R25" s="753" t="s">
        <v>28</v>
      </c>
      <c r="S25" s="754">
        <f>F25</f>
        <v>100</v>
      </c>
      <c r="T25" s="753" t="s">
        <v>28</v>
      </c>
      <c r="U25" s="754">
        <f>H25</f>
        <v>100</v>
      </c>
      <c r="V25" s="753" t="s">
        <v>28</v>
      </c>
      <c r="W25" s="754">
        <f>J25</f>
        <v>100</v>
      </c>
      <c r="X25" s="1900"/>
      <c r="Y25" s="3067"/>
      <c r="Z25" s="1902" t="str">
        <f>Q25</f>
        <v>楼层-1</v>
      </c>
      <c r="AA25" s="1903">
        <f t="shared" si="3"/>
        <v>1</v>
      </c>
      <c r="AB25" s="1903">
        <f t="shared" si="4"/>
        <v>1</v>
      </c>
      <c r="AC25" s="1903">
        <f t="shared" si="5"/>
        <v>1</v>
      </c>
    </row>
    <row r="26" spans="1:29" ht="15">
      <c r="A26" s="408"/>
      <c r="B26" s="402" t="s">
        <v>2364</v>
      </c>
      <c r="C26" s="2760" t="s">
        <v>2859</v>
      </c>
      <c r="D26" s="415">
        <v>100</v>
      </c>
      <c r="E26" s="2761" t="s">
        <v>2859</v>
      </c>
      <c r="F26" s="442">
        <f>SUMIF(88:88,E26,89:89)-SUMIF(88:88,C26,89:89)+100</f>
        <v>100</v>
      </c>
      <c r="G26" s="2762" t="s">
        <v>2859</v>
      </c>
      <c r="H26" s="415">
        <f>SUMIF(88:88,G26,89:89)-SUMIF(88:88,C26,89:89)+100</f>
        <v>100</v>
      </c>
      <c r="I26" s="2761" t="s">
        <v>2859</v>
      </c>
      <c r="J26" s="415">
        <f>SUMIF(88:88,I26,89:89)-SUMIF(88:88,C26,89:89)+100</f>
        <v>100</v>
      </c>
      <c r="K26" s="406"/>
      <c r="L26" s="1253"/>
      <c r="M26" s="1244"/>
      <c r="N26" s="1244"/>
      <c r="O26" s="1244"/>
      <c r="P26" s="3080"/>
      <c r="Q26" s="1899" t="str">
        <f t="shared" si="11"/>
        <v>朝向</v>
      </c>
      <c r="R26" s="753" t="s">
        <v>28</v>
      </c>
      <c r="S26" s="754">
        <f>F26</f>
        <v>100</v>
      </c>
      <c r="T26" s="753" t="s">
        <v>28</v>
      </c>
      <c r="U26" s="754">
        <f>H26</f>
        <v>100</v>
      </c>
      <c r="V26" s="753" t="s">
        <v>28</v>
      </c>
      <c r="W26" s="754">
        <f>J26</f>
        <v>100</v>
      </c>
      <c r="X26" s="1900"/>
      <c r="Y26" s="3067"/>
      <c r="Z26" s="1902" t="str">
        <f>Q26</f>
        <v>朝向</v>
      </c>
      <c r="AA26" s="1903">
        <f t="shared" si="3"/>
        <v>1</v>
      </c>
      <c r="AB26" s="1903">
        <f t="shared" si="4"/>
        <v>1</v>
      </c>
      <c r="AC26" s="1903">
        <f t="shared" si="5"/>
        <v>1</v>
      </c>
    </row>
    <row r="27" spans="1:29" s="35" customFormat="1" ht="27">
      <c r="A27" s="411"/>
      <c r="B27" s="2397" t="s">
        <v>2365</v>
      </c>
      <c r="C27" s="2763" t="s">
        <v>2904</v>
      </c>
      <c r="D27" s="443">
        <v>100</v>
      </c>
      <c r="E27" s="2763" t="s">
        <v>2904</v>
      </c>
      <c r="F27" s="445">
        <f>SUMIF(90:90,E27,91:91)-SUMIF(90:90,C27,91:91)+100</f>
        <v>100</v>
      </c>
      <c r="G27" s="2763" t="s">
        <v>2904</v>
      </c>
      <c r="H27" s="443">
        <f>SUMIF(90:90,G27,91:91)-SUMIF(90:90,C27,91:91)+100</f>
        <v>100</v>
      </c>
      <c r="I27" s="2763" t="s">
        <v>2904</v>
      </c>
      <c r="J27" s="443">
        <f>SUMIF(90:90,I27,91:91)-SUMIF(90:90,C27,91:91)+100</f>
        <v>100</v>
      </c>
      <c r="K27" s="2398"/>
      <c r="L27" s="1245"/>
      <c r="M27" s="1246"/>
      <c r="N27" s="1246"/>
      <c r="O27" s="1246"/>
      <c r="P27" s="3080"/>
      <c r="Q27" s="1887" t="str">
        <f t="shared" si="11"/>
        <v>道路级别</v>
      </c>
      <c r="R27" s="749" t="s">
        <v>28</v>
      </c>
      <c r="S27" s="750">
        <f>F27</f>
        <v>100</v>
      </c>
      <c r="T27" s="749" t="s">
        <v>28</v>
      </c>
      <c r="U27" s="750">
        <f>H27</f>
        <v>100</v>
      </c>
      <c r="V27" s="749" t="s">
        <v>28</v>
      </c>
      <c r="W27" s="750">
        <f>J27</f>
        <v>100</v>
      </c>
      <c r="X27" s="751"/>
      <c r="Y27" s="3067"/>
      <c r="Z27" s="23" t="str">
        <f>Q27</f>
        <v>道路级别</v>
      </c>
      <c r="AA27" s="1903">
        <f>D27/F27</f>
        <v>1</v>
      </c>
      <c r="AB27" s="1903">
        <f>D27/H27</f>
        <v>1</v>
      </c>
      <c r="AC27" s="1903">
        <f>D27/J27</f>
        <v>1</v>
      </c>
    </row>
    <row r="28" spans="1:29" ht="15.75" thickBot="1">
      <c r="A28" s="408"/>
      <c r="B28" s="2764" t="s">
        <v>2860</v>
      </c>
      <c r="C28" s="2765" t="s">
        <v>2895</v>
      </c>
      <c r="D28" s="415">
        <v>100</v>
      </c>
      <c r="E28" s="414" t="s">
        <v>2886</v>
      </c>
      <c r="F28" s="442">
        <f>SUMIF(92:92,E28,93:93)-SUMIF(92:92,C28,93:93)+100</f>
        <v>100</v>
      </c>
      <c r="G28" s="414" t="s">
        <v>2887</v>
      </c>
      <c r="H28" s="415">
        <f>SUMIF(92:92,G28,93:93)-SUMIF(92:92,C28,93:93)+100</f>
        <v>100</v>
      </c>
      <c r="I28" s="414" t="s">
        <v>2888</v>
      </c>
      <c r="J28" s="415">
        <f>SUMIF(92:92,I28,93:93)-SUMIF(92:92,C28,93:93)+100</f>
        <v>97</v>
      </c>
      <c r="K28" s="2398"/>
      <c r="L28" s="1253"/>
      <c r="M28" s="1244"/>
      <c r="N28" s="1244"/>
      <c r="O28" s="1244"/>
      <c r="P28" s="3080"/>
      <c r="Q28" s="1899" t="str">
        <f t="shared" si="11"/>
        <v>楼层</v>
      </c>
      <c r="R28" s="753" t="s">
        <v>28</v>
      </c>
      <c r="S28" s="754">
        <f t="shared" ref="S28:S46" si="12">F28</f>
        <v>100</v>
      </c>
      <c r="T28" s="753" t="s">
        <v>28</v>
      </c>
      <c r="U28" s="754">
        <f t="shared" ref="U28:U46" si="13">H28</f>
        <v>100</v>
      </c>
      <c r="V28" s="753" t="s">
        <v>28</v>
      </c>
      <c r="W28" s="754">
        <f t="shared" ref="W28:W46" si="14">J28</f>
        <v>97</v>
      </c>
      <c r="X28" s="1900"/>
      <c r="Y28" s="3067"/>
      <c r="Z28" s="1902" t="str">
        <f t="shared" ref="Z28:Z46" si="15">Q28</f>
        <v>楼层</v>
      </c>
      <c r="AA28" s="1903">
        <f t="shared" si="3"/>
        <v>1</v>
      </c>
      <c r="AB28" s="1903">
        <f t="shared" si="4"/>
        <v>1</v>
      </c>
      <c r="AC28" s="1903">
        <f t="shared" si="5"/>
        <v>1.0309278350515463</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80"/>
      <c r="Q29" s="1899">
        <f t="shared" si="11"/>
        <v>111</v>
      </c>
      <c r="R29" s="753" t="s">
        <v>28</v>
      </c>
      <c r="S29" s="754">
        <f t="shared" si="12"/>
        <v>100</v>
      </c>
      <c r="T29" s="753" t="s">
        <v>28</v>
      </c>
      <c r="U29" s="754">
        <f t="shared" si="13"/>
        <v>100</v>
      </c>
      <c r="V29" s="753" t="s">
        <v>28</v>
      </c>
      <c r="W29" s="754">
        <f t="shared" si="14"/>
        <v>100</v>
      </c>
      <c r="X29" s="1900"/>
      <c r="Y29" s="3067"/>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80"/>
      <c r="Q30" s="1899">
        <f t="shared" si="11"/>
        <v>111</v>
      </c>
      <c r="R30" s="753" t="s">
        <v>28</v>
      </c>
      <c r="S30" s="754">
        <f t="shared" si="12"/>
        <v>100</v>
      </c>
      <c r="T30" s="753" t="s">
        <v>28</v>
      </c>
      <c r="U30" s="754">
        <f t="shared" si="13"/>
        <v>100</v>
      </c>
      <c r="V30" s="753" t="s">
        <v>28</v>
      </c>
      <c r="W30" s="754">
        <f t="shared" si="14"/>
        <v>100</v>
      </c>
      <c r="X30" s="1900"/>
      <c r="Y30" s="3067"/>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80"/>
      <c r="Q31" s="1899">
        <f t="shared" si="11"/>
        <v>111</v>
      </c>
      <c r="R31" s="753" t="s">
        <v>28</v>
      </c>
      <c r="S31" s="754">
        <f t="shared" si="12"/>
        <v>100</v>
      </c>
      <c r="T31" s="753" t="s">
        <v>28</v>
      </c>
      <c r="U31" s="754">
        <f t="shared" si="13"/>
        <v>100</v>
      </c>
      <c r="V31" s="753" t="s">
        <v>28</v>
      </c>
      <c r="W31" s="754">
        <f t="shared" si="14"/>
        <v>100</v>
      </c>
      <c r="X31" s="1900"/>
      <c r="Y31" s="3067"/>
      <c r="Z31" s="1902">
        <f t="shared" si="15"/>
        <v>111</v>
      </c>
      <c r="AA31" s="1903">
        <f t="shared" si="3"/>
        <v>1</v>
      </c>
      <c r="AB31" s="1903">
        <f t="shared" si="4"/>
        <v>1</v>
      </c>
      <c r="AC31" s="1903">
        <f t="shared" si="5"/>
        <v>1</v>
      </c>
    </row>
    <row r="32" spans="1:29" ht="15">
      <c r="A32" s="419" t="s">
        <v>2366</v>
      </c>
      <c r="B32" s="28" t="s">
        <v>2367</v>
      </c>
      <c r="C32" s="2766" t="s">
        <v>2883</v>
      </c>
      <c r="D32" s="448">
        <v>100</v>
      </c>
      <c r="E32" s="2766" t="s">
        <v>2897</v>
      </c>
      <c r="F32" s="442">
        <f>SUMIF(100:100,E32,101:101)-SUMIF(100:100,C32,101:101)+100</f>
        <v>98</v>
      </c>
      <c r="G32" s="2766" t="s">
        <v>2898</v>
      </c>
      <c r="H32" s="448">
        <f>SUMIF(100:100,G32,101:101)-SUMIF(100:100,C32,101:101)+100</f>
        <v>96</v>
      </c>
      <c r="I32" s="2766" t="s">
        <v>2897</v>
      </c>
      <c r="J32" s="415">
        <f>SUMIF(100:100,I32,101:101)-SUMIF(100:100,C32,101:101)+100</f>
        <v>98</v>
      </c>
      <c r="K32" s="406">
        <v>2</v>
      </c>
      <c r="L32" s="1253"/>
      <c r="M32" s="1244"/>
      <c r="N32" s="1244"/>
      <c r="O32" s="1244"/>
      <c r="P32" s="3068" t="s">
        <v>2368</v>
      </c>
      <c r="Q32" s="1899" t="str">
        <f t="shared" si="11"/>
        <v>建筑类型</v>
      </c>
      <c r="R32" s="753" t="s">
        <v>28</v>
      </c>
      <c r="S32" s="754">
        <f t="shared" si="12"/>
        <v>98</v>
      </c>
      <c r="T32" s="753" t="s">
        <v>28</v>
      </c>
      <c r="U32" s="754">
        <f t="shared" si="13"/>
        <v>96</v>
      </c>
      <c r="V32" s="753" t="s">
        <v>28</v>
      </c>
      <c r="W32" s="754">
        <f t="shared" si="14"/>
        <v>98</v>
      </c>
      <c r="X32" s="1900"/>
      <c r="Y32" s="3071" t="s">
        <v>2368</v>
      </c>
      <c r="Z32" s="1902" t="str">
        <f t="shared" si="15"/>
        <v>建筑类型</v>
      </c>
      <c r="AA32" s="1903">
        <f t="shared" si="3"/>
        <v>1.0204081632653061</v>
      </c>
      <c r="AB32" s="1903">
        <f t="shared" si="4"/>
        <v>1.0416666666666667</v>
      </c>
      <c r="AC32" s="1903">
        <f t="shared" si="5"/>
        <v>1.0204081632653061</v>
      </c>
    </row>
    <row r="33" spans="1:29" s="452" customFormat="1" ht="15">
      <c r="A33" s="449"/>
      <c r="B33" s="402" t="s">
        <v>2369</v>
      </c>
      <c r="C33" s="450">
        <v>140.46</v>
      </c>
      <c r="D33" s="52">
        <v>100</v>
      </c>
      <c r="E33" s="410">
        <v>125.27</v>
      </c>
      <c r="F33" s="405">
        <f>LOOKUP(E33,103:103,104:104)-LOOKUP(C33,103:103,104:104)+100</f>
        <v>100</v>
      </c>
      <c r="G33" s="409">
        <v>136.24</v>
      </c>
      <c r="H33" s="52">
        <f>LOOKUP(G33,103:103,104:104)-LOOKUP(C33,103:103,104:104)+100</f>
        <v>100</v>
      </c>
      <c r="I33" s="410">
        <v>128.72999999999999</v>
      </c>
      <c r="J33" s="52">
        <f>LOOKUP(I33,103:103,104:104)-LOOKUP(C33,103:103,104:104)+100</f>
        <v>100</v>
      </c>
      <c r="K33" s="2398"/>
      <c r="L33" s="1251"/>
      <c r="M33" s="1254"/>
      <c r="N33" s="1254"/>
      <c r="O33" s="1254"/>
      <c r="P33" s="3069"/>
      <c r="Q33" s="755" t="str">
        <f t="shared" si="11"/>
        <v>项目建筑规模</v>
      </c>
      <c r="R33" s="756" t="s">
        <v>28</v>
      </c>
      <c r="S33" s="757">
        <f t="shared" si="12"/>
        <v>100</v>
      </c>
      <c r="T33" s="756" t="s">
        <v>28</v>
      </c>
      <c r="U33" s="757">
        <f t="shared" si="13"/>
        <v>100</v>
      </c>
      <c r="V33" s="756" t="s">
        <v>28</v>
      </c>
      <c r="W33" s="757">
        <f t="shared" si="14"/>
        <v>100</v>
      </c>
      <c r="X33" s="758"/>
      <c r="Y33" s="3071"/>
      <c r="Z33" s="759" t="str">
        <f t="shared" si="15"/>
        <v>项目建筑规模</v>
      </c>
      <c r="AA33" s="1903">
        <f t="shared" si="3"/>
        <v>1</v>
      </c>
      <c r="AB33" s="1903">
        <f t="shared" si="4"/>
        <v>1</v>
      </c>
      <c r="AC33" s="1903">
        <f t="shared" si="5"/>
        <v>1</v>
      </c>
    </row>
    <row r="34" spans="1:29" ht="15">
      <c r="A34" s="453"/>
      <c r="B34" s="402" t="s">
        <v>2370</v>
      </c>
      <c r="C34" s="2767" t="s">
        <v>2884</v>
      </c>
      <c r="D34" s="415">
        <v>100</v>
      </c>
      <c r="E34" s="2767" t="s">
        <v>2884</v>
      </c>
      <c r="F34" s="442">
        <f>SUMIF(105:105,E34,106:106)-SUMIF(105:105,C34,106:106)+100</f>
        <v>100</v>
      </c>
      <c r="G34" s="2767" t="s">
        <v>2884</v>
      </c>
      <c r="H34" s="415">
        <f>SUMIF(105:105,G34,106:106)-SUMIF(105:105,C34,106:106)+100</f>
        <v>100</v>
      </c>
      <c r="I34" s="2767" t="s">
        <v>2884</v>
      </c>
      <c r="J34" s="415">
        <f>SUMIF(105:105,I34,106:106)-SUMIF(105:105,C34,106:106)+100</f>
        <v>100</v>
      </c>
      <c r="K34" s="406"/>
      <c r="L34" s="1253"/>
      <c r="M34" s="1244"/>
      <c r="N34" s="1244"/>
      <c r="O34" s="1244"/>
      <c r="P34" s="3069"/>
      <c r="Q34" s="1899" t="str">
        <f t="shared" si="11"/>
        <v>建筑结构</v>
      </c>
      <c r="R34" s="753" t="s">
        <v>28</v>
      </c>
      <c r="S34" s="754">
        <f t="shared" si="12"/>
        <v>100</v>
      </c>
      <c r="T34" s="753" t="s">
        <v>28</v>
      </c>
      <c r="U34" s="754">
        <f t="shared" si="13"/>
        <v>100</v>
      </c>
      <c r="V34" s="753" t="s">
        <v>28</v>
      </c>
      <c r="W34" s="754">
        <f t="shared" si="14"/>
        <v>100</v>
      </c>
      <c r="X34" s="1900"/>
      <c r="Y34" s="3071"/>
      <c r="Z34" s="1902" t="str">
        <f t="shared" si="15"/>
        <v>建筑结构</v>
      </c>
      <c r="AA34" s="1903">
        <f t="shared" si="3"/>
        <v>1</v>
      </c>
      <c r="AB34" s="1903">
        <f t="shared" si="4"/>
        <v>1</v>
      </c>
      <c r="AC34" s="1903">
        <f t="shared" si="5"/>
        <v>1</v>
      </c>
    </row>
    <row r="35" spans="1:29" ht="15" hidden="1">
      <c r="A35" s="453"/>
      <c r="B35" s="402" t="s">
        <v>2371</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69"/>
      <c r="Q35" s="1899" t="str">
        <f t="shared" si="11"/>
        <v>建筑品质</v>
      </c>
      <c r="R35" s="753" t="s">
        <v>28</v>
      </c>
      <c r="S35" s="754">
        <f t="shared" si="12"/>
        <v>100</v>
      </c>
      <c r="T35" s="753" t="s">
        <v>28</v>
      </c>
      <c r="U35" s="754">
        <f t="shared" si="13"/>
        <v>100</v>
      </c>
      <c r="V35" s="753" t="s">
        <v>28</v>
      </c>
      <c r="W35" s="754">
        <f t="shared" si="14"/>
        <v>100</v>
      </c>
      <c r="X35" s="1900"/>
      <c r="Y35" s="3071"/>
      <c r="Z35" s="1902" t="str">
        <f t="shared" si="15"/>
        <v>建筑品质</v>
      </c>
      <c r="AA35" s="1903">
        <f t="shared" si="3"/>
        <v>1</v>
      </c>
      <c r="AB35" s="1903">
        <f t="shared" si="4"/>
        <v>1</v>
      </c>
      <c r="AC35" s="1903">
        <f t="shared" si="5"/>
        <v>1</v>
      </c>
    </row>
    <row r="36" spans="1:29" ht="15">
      <c r="A36" s="453"/>
      <c r="B36" s="402" t="s">
        <v>2372</v>
      </c>
      <c r="C36" s="2762" t="s">
        <v>2861</v>
      </c>
      <c r="D36" s="415">
        <v>100</v>
      </c>
      <c r="E36" s="2762" t="s">
        <v>2861</v>
      </c>
      <c r="F36" s="442">
        <f>SUMIF(109:109,E36,110:110)-SUMIF(109:109,C36,110:110)+100</f>
        <v>100</v>
      </c>
      <c r="G36" s="2762" t="s">
        <v>2861</v>
      </c>
      <c r="H36" s="415">
        <f>SUMIF(109:109,G36,110:110)-SUMIF(109:109,C36,110:110)+100</f>
        <v>100</v>
      </c>
      <c r="I36" s="2762" t="s">
        <v>2861</v>
      </c>
      <c r="J36" s="415">
        <f>SUMIF(109:109,I36,110:110)-SUMIF(109:109,C36,110:110)+100</f>
        <v>100</v>
      </c>
      <c r="K36" s="406"/>
      <c r="L36" s="1253"/>
      <c r="M36" s="1244"/>
      <c r="N36" s="1244"/>
      <c r="O36" s="1244"/>
      <c r="P36" s="3069"/>
      <c r="Q36" s="1899" t="str">
        <f t="shared" si="11"/>
        <v>公共部分装修</v>
      </c>
      <c r="R36" s="753" t="s">
        <v>28</v>
      </c>
      <c r="S36" s="754">
        <f t="shared" si="12"/>
        <v>100</v>
      </c>
      <c r="T36" s="753" t="s">
        <v>28</v>
      </c>
      <c r="U36" s="754">
        <f t="shared" si="13"/>
        <v>100</v>
      </c>
      <c r="V36" s="753" t="s">
        <v>28</v>
      </c>
      <c r="W36" s="754">
        <f t="shared" si="14"/>
        <v>100</v>
      </c>
      <c r="X36" s="1900"/>
      <c r="Y36" s="3071"/>
      <c r="Z36" s="1902" t="str">
        <f t="shared" si="15"/>
        <v>公共部分装修</v>
      </c>
      <c r="AA36" s="1903">
        <f t="shared" si="3"/>
        <v>1</v>
      </c>
      <c r="AB36" s="1903">
        <f t="shared" si="4"/>
        <v>1</v>
      </c>
      <c r="AC36" s="1903">
        <f t="shared" si="5"/>
        <v>1</v>
      </c>
    </row>
    <row r="37" spans="1:29" s="35" customFormat="1" ht="15" hidden="1">
      <c r="A37" s="454"/>
      <c r="B37" s="402" t="s">
        <v>2373</v>
      </c>
      <c r="C37" s="455">
        <v>0.88</v>
      </c>
      <c r="D37" s="52">
        <v>100</v>
      </c>
      <c r="E37" s="456">
        <v>0.88</v>
      </c>
      <c r="F37" s="405">
        <f>LOOKUP(E37,112:112,113:113)-LOOKUP(C37,112:112,113:113)+100</f>
        <v>100</v>
      </c>
      <c r="G37" s="457">
        <v>0.88</v>
      </c>
      <c r="H37" s="52">
        <f>LOOKUP(G37,112:112,113:113)-LOOKUP(C37,112:112,113:113)+100</f>
        <v>100</v>
      </c>
      <c r="I37" s="456">
        <v>0.88</v>
      </c>
      <c r="J37" s="52">
        <f>LOOKUP(I37,112:112,113:113)-LOOKUP(C37,112:112,113:113)+100</f>
        <v>100</v>
      </c>
      <c r="K37" s="406"/>
      <c r="L37" s="1245"/>
      <c r="M37" s="1246"/>
      <c r="N37" s="1246"/>
      <c r="O37" s="1246"/>
      <c r="P37" s="3069"/>
      <c r="Q37" s="1887" t="str">
        <f t="shared" si="11"/>
        <v>成新度</v>
      </c>
      <c r="R37" s="749" t="s">
        <v>28</v>
      </c>
      <c r="S37" s="750">
        <f t="shared" si="12"/>
        <v>100</v>
      </c>
      <c r="T37" s="749" t="s">
        <v>28</v>
      </c>
      <c r="U37" s="750">
        <f t="shared" si="13"/>
        <v>100</v>
      </c>
      <c r="V37" s="749" t="s">
        <v>28</v>
      </c>
      <c r="W37" s="750">
        <f t="shared" si="14"/>
        <v>100</v>
      </c>
      <c r="X37" s="751"/>
      <c r="Y37" s="3071"/>
      <c r="Z37" s="23" t="str">
        <f t="shared" si="15"/>
        <v>成新度</v>
      </c>
      <c r="AA37" s="752">
        <f t="shared" si="3"/>
        <v>1</v>
      </c>
      <c r="AB37" s="752">
        <f t="shared" si="4"/>
        <v>1</v>
      </c>
      <c r="AC37" s="752">
        <f t="shared" si="5"/>
        <v>1</v>
      </c>
    </row>
    <row r="38" spans="1:29" ht="15">
      <c r="A38" s="453"/>
      <c r="B38" s="402" t="s">
        <v>2374</v>
      </c>
      <c r="C38" s="2762" t="s">
        <v>2885</v>
      </c>
      <c r="D38" s="415">
        <v>100</v>
      </c>
      <c r="E38" s="2762" t="s">
        <v>2885</v>
      </c>
      <c r="F38" s="442">
        <f>SUMIF(114:114,E38,115:115)-SUMIF(114:114,C38,115:115)+100</f>
        <v>100</v>
      </c>
      <c r="G38" s="2762" t="s">
        <v>2885</v>
      </c>
      <c r="H38" s="415">
        <f>SUMIF(114:114,G38,115:115)-SUMIF(114:114,C38,115:115)+100</f>
        <v>100</v>
      </c>
      <c r="I38" s="2762" t="s">
        <v>2885</v>
      </c>
      <c r="J38" s="415">
        <f>SUMIF(114:114,I38,115:115)-SUMIF(114:114,C38,115:115)+100</f>
        <v>100</v>
      </c>
      <c r="K38" s="406"/>
      <c r="L38" s="1253"/>
      <c r="M38" s="1244"/>
      <c r="N38" s="1244"/>
      <c r="O38" s="1244"/>
      <c r="P38" s="3069" t="s">
        <v>2368</v>
      </c>
      <c r="Q38" s="1899" t="str">
        <f t="shared" si="11"/>
        <v>物业管理</v>
      </c>
      <c r="R38" s="753" t="s">
        <v>28</v>
      </c>
      <c r="S38" s="754">
        <f t="shared" si="12"/>
        <v>100</v>
      </c>
      <c r="T38" s="753" t="s">
        <v>28</v>
      </c>
      <c r="U38" s="754">
        <f t="shared" si="13"/>
        <v>100</v>
      </c>
      <c r="V38" s="753" t="s">
        <v>28</v>
      </c>
      <c r="W38" s="754">
        <f t="shared" si="14"/>
        <v>100</v>
      </c>
      <c r="X38" s="1900"/>
      <c r="Y38" s="3071" t="s">
        <v>2368</v>
      </c>
      <c r="Z38" s="1902" t="str">
        <f t="shared" si="15"/>
        <v>物业管理</v>
      </c>
      <c r="AA38" s="1903">
        <f t="shared" si="3"/>
        <v>1</v>
      </c>
      <c r="AB38" s="1903">
        <f t="shared" si="4"/>
        <v>1</v>
      </c>
      <c r="AC38" s="1903">
        <f t="shared" si="5"/>
        <v>1</v>
      </c>
    </row>
    <row r="39" spans="1:29" ht="15">
      <c r="A39" s="453"/>
      <c r="B39" s="402" t="s">
        <v>2375</v>
      </c>
      <c r="C39" s="2762" t="s">
        <v>2862</v>
      </c>
      <c r="D39" s="415">
        <v>100</v>
      </c>
      <c r="E39" s="2762" t="s">
        <v>2862</v>
      </c>
      <c r="F39" s="442">
        <f>SUMIF(116:116,E39,117:117)-SUMIF(116:116,C39,117:117)+100</f>
        <v>100</v>
      </c>
      <c r="G39" s="2762" t="s">
        <v>2862</v>
      </c>
      <c r="H39" s="415">
        <f>SUMIF(116:116,G39,117:117)-SUMIF(116:116,C39,117:117)+100</f>
        <v>100</v>
      </c>
      <c r="I39" s="2762" t="s">
        <v>2862</v>
      </c>
      <c r="J39" s="415">
        <f>SUMIF(116:116,I39,117:117)-SUMIF(116:116,C39,117:117)+100</f>
        <v>100</v>
      </c>
      <c r="K39" s="406"/>
      <c r="L39" s="1253"/>
      <c r="M39" s="1244"/>
      <c r="N39" s="1244"/>
      <c r="O39" s="1244"/>
      <c r="P39" s="3069"/>
      <c r="Q39" s="1899" t="str">
        <f t="shared" si="11"/>
        <v>市政基础设施</v>
      </c>
      <c r="R39" s="753" t="s">
        <v>28</v>
      </c>
      <c r="S39" s="754">
        <f t="shared" si="12"/>
        <v>100</v>
      </c>
      <c r="T39" s="753" t="s">
        <v>28</v>
      </c>
      <c r="U39" s="754">
        <f t="shared" si="13"/>
        <v>100</v>
      </c>
      <c r="V39" s="753" t="s">
        <v>28</v>
      </c>
      <c r="W39" s="754">
        <f t="shared" si="14"/>
        <v>100</v>
      </c>
      <c r="X39" s="1900"/>
      <c r="Y39" s="3071"/>
      <c r="Z39" s="1902" t="str">
        <f t="shared" si="15"/>
        <v>市政基础设施</v>
      </c>
      <c r="AA39" s="1903">
        <f t="shared" si="3"/>
        <v>1</v>
      </c>
      <c r="AB39" s="1903">
        <f t="shared" si="4"/>
        <v>1</v>
      </c>
      <c r="AC39" s="1903">
        <f t="shared" si="5"/>
        <v>1</v>
      </c>
    </row>
    <row r="40" spans="1:29" ht="15">
      <c r="A40" s="453"/>
      <c r="B40" s="402" t="s">
        <v>2376</v>
      </c>
      <c r="C40" s="2762" t="s">
        <v>2863</v>
      </c>
      <c r="D40" s="415">
        <v>100</v>
      </c>
      <c r="E40" s="2762" t="s">
        <v>2863</v>
      </c>
      <c r="F40" s="442">
        <f>SUMIF(118:118,E40,119:119)-SUMIF(118:118,C40,119:119)+100</f>
        <v>100</v>
      </c>
      <c r="G40" s="2762" t="s">
        <v>2863</v>
      </c>
      <c r="H40" s="415">
        <f>SUMIF(118:118,G40,119:119)-SUMIF(118:118,C40,119:119)+100</f>
        <v>100</v>
      </c>
      <c r="I40" s="2762" t="s">
        <v>2863</v>
      </c>
      <c r="J40" s="415">
        <f>SUMIF(118:118,I40,119:119)-SUMIF(118:118,C40,119:119)+100</f>
        <v>100</v>
      </c>
      <c r="K40" s="406"/>
      <c r="L40" s="1253"/>
      <c r="M40" s="1244"/>
      <c r="N40" s="1244"/>
      <c r="O40" s="1244"/>
      <c r="P40" s="3069"/>
      <c r="Q40" s="1899" t="str">
        <f t="shared" si="11"/>
        <v>房型</v>
      </c>
      <c r="R40" s="753" t="s">
        <v>28</v>
      </c>
      <c r="S40" s="754">
        <f t="shared" si="12"/>
        <v>100</v>
      </c>
      <c r="T40" s="753" t="s">
        <v>28</v>
      </c>
      <c r="U40" s="754">
        <f t="shared" si="13"/>
        <v>100</v>
      </c>
      <c r="V40" s="753" t="s">
        <v>28</v>
      </c>
      <c r="W40" s="754">
        <f t="shared" si="14"/>
        <v>100</v>
      </c>
      <c r="X40" s="1900"/>
      <c r="Y40" s="3071"/>
      <c r="Z40" s="1902" t="str">
        <f t="shared" si="15"/>
        <v>房型</v>
      </c>
      <c r="AA40" s="1903">
        <f t="shared" si="3"/>
        <v>1</v>
      </c>
      <c r="AB40" s="1903">
        <f t="shared" si="4"/>
        <v>1</v>
      </c>
      <c r="AC40" s="1903">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69"/>
      <c r="Q41" s="755" t="str">
        <f t="shared" si="11"/>
        <v>单套/主力户型建筑面积</v>
      </c>
      <c r="R41" s="756" t="s">
        <v>28</v>
      </c>
      <c r="S41" s="757">
        <f t="shared" si="12"/>
        <v>100</v>
      </c>
      <c r="T41" s="756" t="s">
        <v>28</v>
      </c>
      <c r="U41" s="757">
        <f t="shared" si="13"/>
        <v>100</v>
      </c>
      <c r="V41" s="756" t="s">
        <v>28</v>
      </c>
      <c r="W41" s="757">
        <f t="shared" si="14"/>
        <v>100</v>
      </c>
      <c r="X41" s="758"/>
      <c r="Y41" s="3071"/>
      <c r="Z41" s="759" t="str">
        <f t="shared" si="15"/>
        <v>单套/主力户型建筑面积</v>
      </c>
      <c r="AA41" s="1903">
        <f t="shared" si="3"/>
        <v>1</v>
      </c>
      <c r="AB41" s="1903">
        <f t="shared" si="4"/>
        <v>1</v>
      </c>
      <c r="AC41" s="1903">
        <f t="shared" si="5"/>
        <v>1</v>
      </c>
    </row>
    <row r="42" spans="1:29" ht="15">
      <c r="A42" s="453"/>
      <c r="B42" s="402" t="s">
        <v>2378</v>
      </c>
      <c r="C42" s="2762" t="s">
        <v>2889</v>
      </c>
      <c r="D42" s="415">
        <v>100</v>
      </c>
      <c r="E42" s="2761" t="s">
        <v>2865</v>
      </c>
      <c r="F42" s="442">
        <f>SUMIF(122:122,E42,123:123)-SUMIF(122:122,C42,123:123)+100</f>
        <v>98</v>
      </c>
      <c r="G42" s="2761" t="s">
        <v>2865</v>
      </c>
      <c r="H42" s="415">
        <f>SUMIF(122:122,G42,123:123)-SUMIF(122:122,C42,123:123)+100</f>
        <v>98</v>
      </c>
      <c r="I42" s="2761" t="s">
        <v>2865</v>
      </c>
      <c r="J42" s="415">
        <f>SUMIF(122:122,I42,123:123)-SUMIF(122:122,C42,123:123)+100</f>
        <v>98</v>
      </c>
      <c r="K42" s="406">
        <v>2</v>
      </c>
      <c r="L42" s="1253"/>
      <c r="M42" s="1244"/>
      <c r="N42" s="1244"/>
      <c r="O42" s="1244"/>
      <c r="P42" s="3069"/>
      <c r="Q42" s="1899" t="str">
        <f t="shared" si="11"/>
        <v>内部装修</v>
      </c>
      <c r="R42" s="753" t="s">
        <v>28</v>
      </c>
      <c r="S42" s="754">
        <f t="shared" si="12"/>
        <v>98</v>
      </c>
      <c r="T42" s="753" t="s">
        <v>28</v>
      </c>
      <c r="U42" s="754">
        <f t="shared" si="13"/>
        <v>98</v>
      </c>
      <c r="V42" s="753" t="s">
        <v>28</v>
      </c>
      <c r="W42" s="754">
        <f t="shared" si="14"/>
        <v>98</v>
      </c>
      <c r="X42" s="1900"/>
      <c r="Y42" s="3071"/>
      <c r="Z42" s="1902" t="str">
        <f t="shared" si="15"/>
        <v>内部装修</v>
      </c>
      <c r="AA42" s="1903">
        <f t="shared" si="3"/>
        <v>1.0204081632653061</v>
      </c>
      <c r="AB42" s="1903">
        <f t="shared" si="4"/>
        <v>1.0204081632653061</v>
      </c>
      <c r="AC42" s="1903">
        <f t="shared" si="5"/>
        <v>1.0204081632653061</v>
      </c>
    </row>
    <row r="43" spans="1:29" ht="15">
      <c r="A43" s="453"/>
      <c r="B43" s="402" t="s">
        <v>2379</v>
      </c>
      <c r="C43" s="2773"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v>2</v>
      </c>
      <c r="L43" s="1253"/>
      <c r="M43" s="1244"/>
      <c r="N43" s="1244"/>
      <c r="O43" s="1244"/>
      <c r="P43" s="3069"/>
      <c r="Q43" s="1899" t="str">
        <f t="shared" si="11"/>
        <v>内部装修维护情况</v>
      </c>
      <c r="R43" s="753" t="s">
        <v>28</v>
      </c>
      <c r="S43" s="754">
        <f t="shared" si="12"/>
        <v>100</v>
      </c>
      <c r="T43" s="753" t="s">
        <v>28</v>
      </c>
      <c r="U43" s="754">
        <f t="shared" si="13"/>
        <v>100</v>
      </c>
      <c r="V43" s="753" t="s">
        <v>28</v>
      </c>
      <c r="W43" s="754">
        <f t="shared" si="14"/>
        <v>100</v>
      </c>
      <c r="X43" s="1900"/>
      <c r="Y43" s="3071"/>
      <c r="Z43" s="1902" t="str">
        <f t="shared" si="15"/>
        <v>内部装修维护情况</v>
      </c>
      <c r="AA43" s="1903">
        <f t="shared" si="3"/>
        <v>1</v>
      </c>
      <c r="AB43" s="1903">
        <f t="shared" si="4"/>
        <v>1</v>
      </c>
      <c r="AC43" s="1903">
        <f t="shared" si="5"/>
        <v>1</v>
      </c>
    </row>
    <row r="44" spans="1:29" s="35" customFormat="1" ht="15">
      <c r="A44" s="454"/>
      <c r="B44" s="2764" t="s">
        <v>2896</v>
      </c>
      <c r="C44" s="450">
        <v>2008</v>
      </c>
      <c r="D44" s="52">
        <v>100</v>
      </c>
      <c r="E44" s="450">
        <v>2007</v>
      </c>
      <c r="F44" s="405">
        <f>SUMIF(126:126,E44,127:127)-SUMIF(126:126,C44,127:127)+100</f>
        <v>99.800000000000011</v>
      </c>
      <c r="G44" s="450">
        <v>2011</v>
      </c>
      <c r="H44" s="52">
        <f>SUMIF(126:126,G44,127:127)-SUMIF(126:126,C44,127:127)+100</f>
        <v>100.60000000000001</v>
      </c>
      <c r="I44" s="450">
        <v>2005</v>
      </c>
      <c r="J44" s="52">
        <f>SUMIF(126:126,I44,127:127)-SUMIF(126:126,C44,127:127)+100</f>
        <v>99.4</v>
      </c>
      <c r="K44" s="2398"/>
      <c r="L44" s="1245"/>
      <c r="M44" s="1246"/>
      <c r="N44" s="1246"/>
      <c r="O44" s="1246"/>
      <c r="P44" s="3069"/>
      <c r="Q44" s="1887" t="str">
        <f t="shared" si="11"/>
        <v>建成年代</v>
      </c>
      <c r="R44" s="749" t="s">
        <v>28</v>
      </c>
      <c r="S44" s="750">
        <f t="shared" si="12"/>
        <v>99.800000000000011</v>
      </c>
      <c r="T44" s="749" t="s">
        <v>28</v>
      </c>
      <c r="U44" s="750">
        <f t="shared" si="13"/>
        <v>100.60000000000001</v>
      </c>
      <c r="V44" s="749" t="s">
        <v>28</v>
      </c>
      <c r="W44" s="750">
        <f t="shared" si="14"/>
        <v>99.4</v>
      </c>
      <c r="X44" s="751"/>
      <c r="Y44" s="3071"/>
      <c r="Z44" s="23" t="str">
        <f t="shared" si="15"/>
        <v>建成年代</v>
      </c>
      <c r="AA44" s="752">
        <f t="shared" si="3"/>
        <v>1.002004008016032</v>
      </c>
      <c r="AB44" s="752">
        <f t="shared" si="4"/>
        <v>0.9940357852882703</v>
      </c>
      <c r="AC44" s="752">
        <f t="shared" si="5"/>
        <v>1.0060362173038229</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69"/>
      <c r="Q45" s="1899">
        <f t="shared" si="11"/>
        <v>111</v>
      </c>
      <c r="R45" s="753" t="s">
        <v>28</v>
      </c>
      <c r="S45" s="754">
        <f t="shared" si="12"/>
        <v>100</v>
      </c>
      <c r="T45" s="753" t="s">
        <v>28</v>
      </c>
      <c r="U45" s="754">
        <f t="shared" si="13"/>
        <v>100</v>
      </c>
      <c r="V45" s="753" t="s">
        <v>28</v>
      </c>
      <c r="W45" s="754">
        <f t="shared" si="14"/>
        <v>100</v>
      </c>
      <c r="X45" s="1900"/>
      <c r="Y45" s="3071"/>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70"/>
      <c r="Q46" s="1899">
        <f t="shared" si="11"/>
        <v>111</v>
      </c>
      <c r="R46" s="753" t="s">
        <v>27</v>
      </c>
      <c r="S46" s="754">
        <f t="shared" si="12"/>
        <v>100</v>
      </c>
      <c r="T46" s="753" t="s">
        <v>27</v>
      </c>
      <c r="U46" s="754">
        <f t="shared" si="13"/>
        <v>100</v>
      </c>
      <c r="V46" s="753" t="s">
        <v>27</v>
      </c>
      <c r="W46" s="754">
        <f t="shared" si="14"/>
        <v>100</v>
      </c>
      <c r="X46" s="1900"/>
      <c r="Y46" s="3072"/>
      <c r="Z46" s="1902">
        <f t="shared" si="15"/>
        <v>111</v>
      </c>
      <c r="AA46" s="1903">
        <f t="shared" si="3"/>
        <v>1</v>
      </c>
      <c r="AB46" s="1903">
        <f t="shared" si="4"/>
        <v>1</v>
      </c>
      <c r="AC46" s="1903">
        <f t="shared" si="5"/>
        <v>1</v>
      </c>
    </row>
    <row r="47" spans="1:29" ht="15">
      <c r="A47" s="460" t="s">
        <v>2380</v>
      </c>
      <c r="B47" s="461"/>
      <c r="C47" s="1502" t="s">
        <v>26</v>
      </c>
      <c r="D47" s="1503"/>
      <c r="E47" s="1504">
        <v>31932</v>
      </c>
      <c r="F47" s="1505"/>
      <c r="G47" s="1506">
        <v>33030</v>
      </c>
      <c r="H47" s="1507"/>
      <c r="I47" s="1504">
        <v>32472</v>
      </c>
      <c r="J47" s="1507"/>
      <c r="K47" s="2414"/>
      <c r="L47" s="1256"/>
      <c r="M47" s="1257"/>
      <c r="N47" s="1244"/>
      <c r="O47" s="1257"/>
      <c r="P47" s="3077" t="str">
        <f>A47</f>
        <v>成交单价（元/平方米）</v>
      </c>
      <c r="Q47" s="3077"/>
      <c r="R47" s="3078">
        <f>E47</f>
        <v>31932</v>
      </c>
      <c r="S47" s="3078"/>
      <c r="T47" s="3078">
        <f>G47</f>
        <v>33030</v>
      </c>
      <c r="U47" s="3078"/>
      <c r="V47" s="3078">
        <f>I47</f>
        <v>32472</v>
      </c>
      <c r="W47" s="3078"/>
      <c r="X47" s="738"/>
      <c r="Y47" s="760"/>
      <c r="Z47" s="738"/>
      <c r="AA47" s="738"/>
      <c r="AB47" s="738"/>
      <c r="AC47" s="738"/>
    </row>
    <row r="48" spans="1:29" ht="15.75" thickBot="1">
      <c r="A48" s="467" t="s">
        <v>2381</v>
      </c>
      <c r="B48" s="468"/>
      <c r="C48" s="1508">
        <f>R49</f>
        <v>34253</v>
      </c>
      <c r="D48" s="1509"/>
      <c r="E48" s="1510">
        <f>R48</f>
        <v>33315</v>
      </c>
      <c r="F48" s="1510"/>
      <c r="G48" s="1508">
        <f>T48</f>
        <v>34725</v>
      </c>
      <c r="H48" s="1509"/>
      <c r="I48" s="1510">
        <f>V48</f>
        <v>34720</v>
      </c>
      <c r="J48" s="1509"/>
      <c r="K48" s="2415"/>
      <c r="L48" s="1256"/>
      <c r="M48" s="1257"/>
      <c r="N48" s="1257"/>
      <c r="O48" s="1257"/>
      <c r="P48" s="3077" t="str">
        <f>A48</f>
        <v>比较价值（元/平方米）</v>
      </c>
      <c r="Q48" s="3077"/>
      <c r="R48" s="3078">
        <f>IF(E1="售价",ROUND(PRODUCT(R47,AA7:AA46),0),ROUND(PRODUCT(R47,AA7:AA46),1))</f>
        <v>33315</v>
      </c>
      <c r="S48" s="3078"/>
      <c r="T48" s="3081">
        <f>IF(E1="售价",ROUND(PRODUCT(T47,AB7:AB46),0),ROUND(PRODUCT(T47,AB7:AB46),1))</f>
        <v>34725</v>
      </c>
      <c r="U48" s="3082"/>
      <c r="V48" s="3078">
        <f>IF(E1="售价",ROUND(PRODUCT(V47,AC7:AC46),0),ROUND(PRODUCT(V47,AC7:AC46),1))</f>
        <v>34720</v>
      </c>
      <c r="W48" s="3078"/>
      <c r="X48" s="738"/>
      <c r="Y48" s="738"/>
      <c r="Z48" s="738"/>
      <c r="AA48" s="738"/>
      <c r="AB48" s="738"/>
      <c r="AC48" s="738"/>
    </row>
    <row r="49" spans="1:29" ht="15.75" thickBot="1">
      <c r="A49" s="473" t="s">
        <v>2382</v>
      </c>
      <c r="B49" s="474"/>
      <c r="C49" s="1511">
        <f>R49</f>
        <v>34253</v>
      </c>
      <c r="D49" s="1512"/>
      <c r="E49" s="1512"/>
      <c r="F49" s="1512"/>
      <c r="G49" s="1512"/>
      <c r="H49" s="1512"/>
      <c r="I49" s="1512"/>
      <c r="J49" s="1512"/>
      <c r="K49" s="2416"/>
      <c r="L49" s="1256"/>
      <c r="M49" s="1257"/>
      <c r="N49" s="1257"/>
      <c r="O49" s="1257"/>
      <c r="P49" s="3083" t="str">
        <f>A49</f>
        <v>估价对象XX用房的比较价值（楼面单价，元/平方米）</v>
      </c>
      <c r="Q49" s="3084"/>
      <c r="R49" s="3085">
        <f>IF(E1="售价",ROUND(AVERAGE(R48:V48),0),ROUND(AVERAGE(R48:V48),1))</f>
        <v>34253</v>
      </c>
      <c r="S49" s="3085"/>
      <c r="T49" s="3085"/>
      <c r="U49" s="3085"/>
      <c r="V49" s="3085"/>
      <c r="W49" s="308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4.3310785419015341E-2</v>
      </c>
      <c r="F52" s="481" t="str">
        <f>IF(OR(E52&gt;=0.3,E52&lt;=-0.3),"超过30%","")</f>
        <v/>
      </c>
      <c r="G52" s="480">
        <f>IF(G47&lt;G48,G48/G47-1,G47/G48-1)</f>
        <v>5.1316984559491408E-2</v>
      </c>
      <c r="H52" s="481" t="str">
        <f>IF(OR(G52&gt;=0.3,G52&lt;=-0.3),"超过30%","")</f>
        <v/>
      </c>
      <c r="I52" s="480">
        <f>IF(I47&lt;I48,I48/I47-1,I47/I48-1)</f>
        <v>6.9228874106922911E-2</v>
      </c>
      <c r="J52" s="481" t="str">
        <f>IF(OR(I52&gt;=0.3,I52&lt;=-0.3),"超过30%","")</f>
        <v/>
      </c>
      <c r="K52" s="1262"/>
      <c r="L52" s="1258"/>
      <c r="M52" s="1257"/>
      <c r="N52" s="1257"/>
      <c r="O52" s="1257"/>
    </row>
    <row r="53" spans="1:29" ht="13.5" customHeight="1">
      <c r="A53" s="1257"/>
      <c r="B53" s="1257"/>
      <c r="C53" s="478" t="s">
        <v>2384</v>
      </c>
      <c r="D53" s="482"/>
      <c r="E53" s="480">
        <f>IF(E48&lt;G48,G48/E48-1,E48/G48-1)</f>
        <v>4.2323277802791548E-2</v>
      </c>
      <c r="F53" s="481" t="str">
        <f>IF(OR(E53&gt;=0.2,E53&lt;=-0.2),"超过20%","")</f>
        <v/>
      </c>
      <c r="G53" s="480">
        <f>IF(G48&lt;I48,I48/G48-1,G48/I48-1)</f>
        <v>1.4400921658985766E-4</v>
      </c>
      <c r="H53" s="481" t="str">
        <f>IF(OR(G53&gt;=0.2,G53&lt;=-0.2),"超过20%","")</f>
        <v/>
      </c>
      <c r="I53" s="480">
        <f>IF(I48&lt;E48,E48/I48-1,I48/E48-1)</f>
        <v>4.2173195257391605E-2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3.4385569334836497E-2</v>
      </c>
      <c r="F54" s="481" t="str">
        <f>IF(OR(E54&gt;=0.3,E54&lt;=-0.3),"超过30%","")</f>
        <v/>
      </c>
      <c r="G54" s="480">
        <f>IF(G47&lt;I47,I47/G47-1,G47/I47-1)</f>
        <v>1.7184035476718318E-2</v>
      </c>
      <c r="H54" s="481" t="str">
        <f>IF(OR(G54&gt;=0.3,G54&lt;=-0.3),"超过30%","")</f>
        <v/>
      </c>
      <c r="I54" s="480">
        <f>IF(I47&lt;E47,E47/I47-1,I47/E47-1)</f>
        <v>1.6910935738444266E-2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0"/>
    </row>
    <row r="59" spans="1:29" s="35" customFormat="1" ht="15">
      <c r="A59" s="490"/>
      <c r="B59" s="491"/>
      <c r="C59" s="623">
        <v>100</v>
      </c>
      <c r="D59" s="493">
        <v>100</v>
      </c>
      <c r="E59" s="493">
        <v>101</v>
      </c>
      <c r="F59" s="493">
        <v>101</v>
      </c>
      <c r="G59" s="493">
        <v>101</v>
      </c>
      <c r="H59" s="493">
        <v>102</v>
      </c>
      <c r="I59" s="493">
        <v>102</v>
      </c>
      <c r="J59" s="493">
        <v>102</v>
      </c>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3"/>
      <c r="Q66" s="485"/>
    </row>
    <row r="67" spans="1:17" ht="15.75" thickTop="1">
      <c r="A67" s="516"/>
      <c r="B67" s="529" t="s">
        <v>2360</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2</v>
      </c>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1747</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2413</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537"/>
      <c r="D88" s="537"/>
      <c r="E88" s="537"/>
      <c r="F88" s="2428"/>
      <c r="G88" s="537"/>
      <c r="H88" s="537"/>
      <c r="I88" s="537"/>
      <c r="J88" s="537"/>
      <c r="K88" s="537"/>
      <c r="L88" s="537"/>
      <c r="M88" s="565"/>
      <c r="N88" s="1266"/>
      <c r="O88" s="1266"/>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3"/>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4"/>
      <c r="Q90" s="543"/>
    </row>
    <row r="91" spans="1:17" s="452" customFormat="1" ht="15.75" thickBot="1">
      <c r="A91" s="536"/>
      <c r="B91" s="526"/>
      <c r="C91" s="544"/>
      <c r="D91" s="544"/>
      <c r="E91" s="544"/>
      <c r="F91" s="544"/>
      <c r="G91" s="544"/>
      <c r="H91" s="546"/>
      <c r="I91" s="546"/>
      <c r="J91" s="546"/>
      <c r="K91" s="546"/>
      <c r="L91" s="546"/>
      <c r="M91" s="547"/>
      <c r="N91" s="1269"/>
      <c r="O91" s="1269"/>
      <c r="P91" s="2424"/>
      <c r="Q91" s="543"/>
    </row>
    <row r="92" spans="1:17" ht="15.75" thickTop="1">
      <c r="A92" s="516"/>
      <c r="B92" s="521" t="str">
        <f>B28</f>
        <v>楼层</v>
      </c>
      <c r="C92" s="2765" t="s">
        <v>2894</v>
      </c>
      <c r="D92" s="414" t="s">
        <v>2886</v>
      </c>
      <c r="E92" s="414" t="s">
        <v>2887</v>
      </c>
      <c r="F92" s="414" t="s">
        <v>2888</v>
      </c>
      <c r="G92" s="414"/>
      <c r="H92" s="567"/>
      <c r="I92" s="567"/>
      <c r="J92" s="567"/>
      <c r="K92" s="568"/>
      <c r="L92" s="569"/>
      <c r="M92" s="570"/>
      <c r="N92" s="1267"/>
      <c r="O92" s="1267"/>
      <c r="P92" s="2423"/>
      <c r="Q92" s="485"/>
    </row>
    <row r="93" spans="1:17" ht="15.75" thickBot="1">
      <c r="A93" s="516"/>
      <c r="B93" s="526"/>
      <c r="C93" s="544">
        <v>100</v>
      </c>
      <c r="D93" s="518">
        <v>100</v>
      </c>
      <c r="E93" s="518">
        <v>100</v>
      </c>
      <c r="F93" s="518">
        <v>97</v>
      </c>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2770" t="s">
        <v>2899</v>
      </c>
      <c r="D100" s="2770" t="s">
        <v>2900</v>
      </c>
      <c r="E100" s="2770" t="s">
        <v>2901</v>
      </c>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3"/>
      <c r="Q101" s="485"/>
    </row>
    <row r="102" spans="1:17" ht="15.75" thickTop="1">
      <c r="A102" s="516"/>
      <c r="B102" s="521" t="s">
        <v>2416</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0</v>
      </c>
      <c r="D103" s="579">
        <v>60</v>
      </c>
      <c r="E103" s="579">
        <v>90</v>
      </c>
      <c r="F103" s="579">
        <v>120</v>
      </c>
      <c r="G103" s="579">
        <v>150</v>
      </c>
      <c r="H103" s="579"/>
      <c r="I103" s="579"/>
      <c r="J103" s="580"/>
      <c r="K103" s="580"/>
      <c r="L103" s="581"/>
      <c r="M103" s="582"/>
      <c r="N103" s="1269"/>
      <c r="O103" s="1269"/>
      <c r="P103" s="2424"/>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3"/>
      <c r="Q106" s="485"/>
    </row>
    <row r="107" spans="1:17" ht="15" thickTop="1">
      <c r="A107" s="583"/>
      <c r="B107" s="521" t="s">
        <v>2418</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2419</v>
      </c>
      <c r="C109" s="537"/>
      <c r="D109" s="537"/>
      <c r="E109" s="537"/>
      <c r="F109" s="567"/>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4"/>
      <c r="Q113" s="543"/>
    </row>
    <row r="114" spans="1:17" ht="15" thickTop="1">
      <c r="A114" s="583"/>
      <c r="B114" s="521" t="s">
        <v>2421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2423</v>
      </c>
      <c r="C118" s="2762" t="s">
        <v>2866</v>
      </c>
      <c r="D118" s="2761"/>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2762"/>
      <c r="D120" s="2761"/>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2761"/>
      <c r="G121" s="518"/>
      <c r="H121" s="518"/>
      <c r="I121" s="518"/>
      <c r="J121" s="518"/>
      <c r="K121" s="518"/>
      <c r="L121" s="518"/>
      <c r="M121" s="518"/>
      <c r="N121" s="1269"/>
      <c r="O121" s="1269"/>
      <c r="P121" s="2424"/>
      <c r="Q121" s="543"/>
    </row>
    <row r="122" spans="1:17" ht="15" thickTop="1">
      <c r="A122" s="583"/>
      <c r="B122" s="521" t="s">
        <v>2424</v>
      </c>
      <c r="C122" s="2768" t="s">
        <v>2864</v>
      </c>
      <c r="D122" s="2768" t="s">
        <v>2867</v>
      </c>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t="str">
        <f>B44</f>
        <v>建成年代</v>
      </c>
      <c r="C126" s="537">
        <v>2005</v>
      </c>
      <c r="D126" s="537">
        <v>2006</v>
      </c>
      <c r="E126" s="537">
        <v>2007</v>
      </c>
      <c r="F126" s="537">
        <v>2008</v>
      </c>
      <c r="G126" s="537">
        <v>2009</v>
      </c>
      <c r="H126" s="537">
        <v>2010</v>
      </c>
      <c r="I126" s="537">
        <v>2011</v>
      </c>
      <c r="J126" s="538"/>
      <c r="K126" s="538"/>
      <c r="L126" s="539"/>
      <c r="M126" s="540"/>
      <c r="N126" s="1269"/>
      <c r="O126" s="1269"/>
      <c r="P126" s="2424"/>
      <c r="Q126" s="543"/>
    </row>
    <row r="127" spans="1:17" s="452" customFormat="1" ht="15.75" thickBot="1">
      <c r="A127" s="536"/>
      <c r="B127" s="526"/>
      <c r="C127" s="544">
        <v>100</v>
      </c>
      <c r="D127" s="518">
        <v>100.2</v>
      </c>
      <c r="E127" s="544">
        <v>100.4</v>
      </c>
      <c r="F127" s="518">
        <v>100.6</v>
      </c>
      <c r="G127" s="544">
        <v>100.8</v>
      </c>
      <c r="H127" s="518">
        <v>101</v>
      </c>
      <c r="I127" s="544">
        <v>101.2</v>
      </c>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2446</v>
      </c>
      <c r="C1" s="1726"/>
      <c r="D1" s="2450"/>
      <c r="E1" s="2380"/>
      <c r="F1" s="1740" t="s">
        <v>2335</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IF(D2="——",IF(C2="元",ROUND(C49*D3,0),ROUND(C49*D3/10000,0)),IF(C2="元",ROUND(C49*D3,0),ROUND(C49*D3/10000,0))-E2)</f>
        <v>#DIV/0!</v>
      </c>
      <c r="C2" s="163" t="str">
        <f>'数据-取费表'!B3</f>
        <v>元</v>
      </c>
      <c r="D2" s="2382"/>
      <c r="E2" s="2451" t="e">
        <f ca="1">SUMIF(INDIRECT("'"&amp;G2&amp;"'"&amp;"!A:A"),"承租人权益价值",INDIRECT("'"&amp;G2&amp;"'"&amp;"!c:c"))</f>
        <v>#REF!</v>
      </c>
      <c r="F2" s="2383" t="str">
        <f>C2</f>
        <v>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2336</v>
      </c>
      <c r="D3" s="378">
        <f>IF(C1="仅计算典型户型",'数据-取费表'!E5,'数据-取费表'!B5)</f>
        <v>140.46</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41" t="s">
        <v>2338</v>
      </c>
      <c r="D4" s="3042"/>
      <c r="E4" s="3043" t="s">
        <v>2339</v>
      </c>
      <c r="F4" s="3044"/>
      <c r="G4" s="3041" t="s">
        <v>2340</v>
      </c>
      <c r="H4" s="3042"/>
      <c r="I4" s="3041" t="s">
        <v>2341</v>
      </c>
      <c r="J4" s="3042"/>
      <c r="K4" s="594"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57" t="s">
        <v>2340</v>
      </c>
      <c r="AC4" s="3038" t="s">
        <v>2341</v>
      </c>
    </row>
    <row r="5" spans="1:29" ht="15">
      <c r="A5" s="383"/>
      <c r="B5" s="384"/>
      <c r="C5" s="3086" t="s">
        <v>2344</v>
      </c>
      <c r="D5" s="3061"/>
      <c r="E5" s="3087" t="s">
        <v>2345</v>
      </c>
      <c r="F5" s="3059"/>
      <c r="G5" s="3086" t="s">
        <v>2346</v>
      </c>
      <c r="H5" s="3061"/>
      <c r="I5" s="3086" t="s">
        <v>2347</v>
      </c>
      <c r="J5" s="3061"/>
      <c r="K5" s="594"/>
      <c r="L5" s="1243"/>
      <c r="M5" s="1244"/>
      <c r="N5" s="1244"/>
      <c r="O5" s="1244"/>
      <c r="P5" s="3047"/>
      <c r="Q5" s="3048"/>
      <c r="R5" s="3053"/>
      <c r="S5" s="3054"/>
      <c r="T5" s="3053"/>
      <c r="U5" s="3054"/>
      <c r="V5" s="3057"/>
      <c r="W5" s="3057"/>
      <c r="X5" s="1900"/>
      <c r="Y5" s="3053"/>
      <c r="Z5" s="3054"/>
      <c r="AA5" s="3039"/>
      <c r="AB5" s="3057"/>
      <c r="AC5" s="3039"/>
    </row>
    <row r="6" spans="1:29" ht="15.75" thickBot="1">
      <c r="A6" s="385"/>
      <c r="B6" s="386"/>
      <c r="C6" s="3062" t="s">
        <v>2348</v>
      </c>
      <c r="D6" s="3063"/>
      <c r="E6" s="3064" t="s">
        <v>2348</v>
      </c>
      <c r="F6" s="3065"/>
      <c r="G6" s="3062" t="s">
        <v>2348</v>
      </c>
      <c r="H6" s="3063"/>
      <c r="I6" s="3062" t="s">
        <v>2348</v>
      </c>
      <c r="J6" s="3063"/>
      <c r="K6" s="594" t="s">
        <v>2349</v>
      </c>
      <c r="L6" s="1243"/>
      <c r="M6" s="1244"/>
      <c r="N6" s="1244"/>
      <c r="O6" s="1244"/>
      <c r="P6" s="3049"/>
      <c r="Q6" s="3050"/>
      <c r="R6" s="3053"/>
      <c r="S6" s="3054"/>
      <c r="T6" s="3055"/>
      <c r="U6" s="3056"/>
      <c r="V6" s="3057"/>
      <c r="W6" s="3057"/>
      <c r="X6" s="1900"/>
      <c r="Y6" s="3055"/>
      <c r="Z6" s="3056"/>
      <c r="AA6" s="3040"/>
      <c r="AB6" s="3057"/>
      <c r="AC6" s="3040"/>
    </row>
    <row r="7" spans="1:29" s="35" customFormat="1" ht="15.75" thickBot="1">
      <c r="A7" s="387" t="s">
        <v>2350</v>
      </c>
      <c r="B7" s="388"/>
      <c r="C7" s="389">
        <f>'数据-取费表'!B2</f>
        <v>43230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3" t="s">
        <v>2351</v>
      </c>
      <c r="Q7" s="3075"/>
      <c r="R7" s="749" t="s">
        <v>25</v>
      </c>
      <c r="S7" s="750">
        <f t="shared" ref="S7:S15" si="0">F7</f>
        <v>0</v>
      </c>
      <c r="T7" s="749" t="s">
        <v>25</v>
      </c>
      <c r="U7" s="750">
        <f t="shared" ref="U7:U15" si="1">H7</f>
        <v>0</v>
      </c>
      <c r="V7" s="749" t="s">
        <v>25</v>
      </c>
      <c r="W7" s="750">
        <f t="shared" ref="W7:W15" si="2">J7</f>
        <v>0</v>
      </c>
      <c r="X7" s="751"/>
      <c r="Y7" s="3073" t="s">
        <v>2351</v>
      </c>
      <c r="Z7" s="3074"/>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3" t="s">
        <v>2354</v>
      </c>
      <c r="Q8" s="3074"/>
      <c r="R8" s="749" t="s">
        <v>25</v>
      </c>
      <c r="S8" s="750">
        <f t="shared" si="0"/>
        <v>0</v>
      </c>
      <c r="T8" s="749" t="s">
        <v>25</v>
      </c>
      <c r="U8" s="750">
        <f t="shared" si="1"/>
        <v>0</v>
      </c>
      <c r="V8" s="749" t="s">
        <v>25</v>
      </c>
      <c r="W8" s="750">
        <f t="shared" si="2"/>
        <v>0</v>
      </c>
      <c r="X8" s="751"/>
      <c r="Y8" s="3073" t="s">
        <v>2354</v>
      </c>
      <c r="Z8" s="3074"/>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6"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6"/>
      <c r="Q10" s="1887"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6"/>
      <c r="Q11" s="1887"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6"/>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6"/>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6"/>
      <c r="Q14" s="1887">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71.25">
      <c r="A15" s="419" t="s">
        <v>2361</v>
      </c>
      <c r="B15" s="26" t="s">
        <v>2447</v>
      </c>
      <c r="C15" s="2401" t="str">
        <f>估价对象房地状况!C4</f>
        <v>估价对象位于阎村商圈，周边商业氛围较好，人流量较大，商业繁华度较好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9" t="s">
        <v>2362</v>
      </c>
      <c r="Q15" s="1899" t="str">
        <f t="shared" si="6"/>
        <v>商业繁华度</v>
      </c>
      <c r="R15" s="753" t="s">
        <v>25</v>
      </c>
      <c r="S15" s="754">
        <f t="shared" si="0"/>
        <v>100</v>
      </c>
      <c r="T15" s="753" t="s">
        <v>25</v>
      </c>
      <c r="U15" s="754">
        <f t="shared" si="1"/>
        <v>100</v>
      </c>
      <c r="V15" s="753" t="s">
        <v>25</v>
      </c>
      <c r="W15" s="754">
        <f t="shared" si="2"/>
        <v>100</v>
      </c>
      <c r="X15" s="1900"/>
      <c r="Y15" s="3066"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80"/>
      <c r="Q16" s="1899"/>
      <c r="R16" s="753"/>
      <c r="S16" s="754"/>
      <c r="T16" s="753"/>
      <c r="U16" s="754"/>
      <c r="V16" s="753"/>
      <c r="W16" s="754"/>
      <c r="X16" s="1900"/>
      <c r="Y16" s="3067"/>
      <c r="Z16" s="1902"/>
      <c r="AA16" s="1903">
        <v>1</v>
      </c>
      <c r="AB16" s="1903">
        <v>1</v>
      </c>
      <c r="AC16" s="1903">
        <v>1</v>
      </c>
    </row>
    <row r="17" spans="1:29" ht="99.75">
      <c r="A17" s="408"/>
      <c r="B17" s="431" t="s">
        <v>1746</v>
      </c>
      <c r="C17" s="2404" t="str">
        <f>估价对象房地状况!C6</f>
        <v>估价对象紧邻京周路，有901快车、839等多条公交线路及地铁燕房线燕山线通过，交通便捷度良好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80"/>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80"/>
      <c r="Q18" s="1899"/>
      <c r="R18" s="753"/>
      <c r="S18" s="754"/>
      <c r="T18" s="753"/>
      <c r="U18" s="754"/>
      <c r="V18" s="753"/>
      <c r="W18" s="754"/>
      <c r="X18" s="1900"/>
      <c r="Y18" s="3067"/>
      <c r="Z18" s="1902"/>
      <c r="AA18" s="1903">
        <v>1</v>
      </c>
      <c r="AB18" s="1903">
        <v>1</v>
      </c>
      <c r="AC18" s="1903">
        <v>1</v>
      </c>
    </row>
    <row r="19" spans="1:29" ht="42.75">
      <c r="A19" s="408"/>
      <c r="B19" s="431" t="s">
        <v>2448</v>
      </c>
      <c r="C19" s="2404"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80"/>
      <c r="Q19" s="1899" t="str">
        <f>B19</f>
        <v>公共配套设施</v>
      </c>
      <c r="R19" s="753" t="s">
        <v>25</v>
      </c>
      <c r="S19" s="754">
        <f>F19</f>
        <v>100</v>
      </c>
      <c r="T19" s="753" t="s">
        <v>25</v>
      </c>
      <c r="U19" s="754">
        <f>H19</f>
        <v>100</v>
      </c>
      <c r="V19" s="753" t="s">
        <v>25</v>
      </c>
      <c r="W19" s="754">
        <f>J19</f>
        <v>100</v>
      </c>
      <c r="X19" s="1900"/>
      <c r="Y19" s="3067"/>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80"/>
      <c r="Q20" s="1899"/>
      <c r="R20" s="753"/>
      <c r="S20" s="754"/>
      <c r="T20" s="753"/>
      <c r="U20" s="754"/>
      <c r="V20" s="753"/>
      <c r="W20" s="754"/>
      <c r="X20" s="1900"/>
      <c r="Y20" s="3067"/>
      <c r="Z20" s="1902"/>
      <c r="AA20" s="1903">
        <v>1</v>
      </c>
      <c r="AB20" s="1903">
        <v>1</v>
      </c>
      <c r="AC20" s="1903">
        <v>1</v>
      </c>
    </row>
    <row r="21" spans="1:29" ht="15">
      <c r="A21" s="408"/>
      <c r="B21" s="2406" t="s">
        <v>2449</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80"/>
      <c r="Q21" s="1899" t="str">
        <f>B21</f>
        <v>基础设施水平</v>
      </c>
      <c r="R21" s="753" t="s">
        <v>25</v>
      </c>
      <c r="S21" s="754">
        <f>F21</f>
        <v>100</v>
      </c>
      <c r="T21" s="753" t="s">
        <v>25</v>
      </c>
      <c r="U21" s="754">
        <f>H21</f>
        <v>100</v>
      </c>
      <c r="V21" s="753" t="s">
        <v>25</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80"/>
      <c r="Q22" s="1899"/>
      <c r="R22" s="753"/>
      <c r="S22" s="754"/>
      <c r="T22" s="753"/>
      <c r="U22" s="754"/>
      <c r="V22" s="753"/>
      <c r="W22" s="754"/>
      <c r="X22" s="1900"/>
      <c r="Y22" s="3067"/>
      <c r="Z22" s="1902"/>
      <c r="AA22" s="1903">
        <v>1</v>
      </c>
      <c r="AB22" s="1903">
        <v>1</v>
      </c>
      <c r="AC22" s="1903">
        <v>1</v>
      </c>
    </row>
    <row r="23" spans="1:29" ht="99.75">
      <c r="A23" s="408"/>
      <c r="B23" s="431" t="s">
        <v>1751</v>
      </c>
      <c r="C23" s="2454" t="str">
        <f>估价对象房地状况!C9</f>
        <v>自然环境有大石河水系（距离4公里）；人文环境有北京理工大学（房山分校）；综合评价环境状况较好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80"/>
      <c r="Q23" s="1899" t="str">
        <f>B23</f>
        <v>自然及人文环境</v>
      </c>
      <c r="R23" s="753" t="s">
        <v>25</v>
      </c>
      <c r="S23" s="754">
        <f>F23</f>
        <v>100</v>
      </c>
      <c r="T23" s="753" t="s">
        <v>25</v>
      </c>
      <c r="U23" s="754">
        <f>H23</f>
        <v>100</v>
      </c>
      <c r="V23" s="753" t="s">
        <v>25</v>
      </c>
      <c r="W23" s="754">
        <f>J23</f>
        <v>100</v>
      </c>
      <c r="X23" s="1900"/>
      <c r="Y23" s="3067"/>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80"/>
      <c r="Q24" s="1899"/>
      <c r="R24" s="753"/>
      <c r="S24" s="754"/>
      <c r="T24" s="753"/>
      <c r="U24" s="754"/>
      <c r="V24" s="753"/>
      <c r="W24" s="754"/>
      <c r="X24" s="1900"/>
      <c r="Y24" s="3067"/>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80"/>
      <c r="Q25" s="1899" t="str">
        <f t="shared" ref="Q25:Q46" si="11">B25</f>
        <v>临街状况</v>
      </c>
      <c r="R25" s="753" t="s">
        <v>25</v>
      </c>
      <c r="S25" s="754">
        <f>F25</f>
        <v>100</v>
      </c>
      <c r="T25" s="753" t="s">
        <v>25</v>
      </c>
      <c r="U25" s="754">
        <f>H25</f>
        <v>100</v>
      </c>
      <c r="V25" s="753" t="s">
        <v>25</v>
      </c>
      <c r="W25" s="754">
        <f>J25</f>
        <v>100</v>
      </c>
      <c r="X25" s="1900"/>
      <c r="Y25" s="3067"/>
      <c r="Z25" s="1902" t="str">
        <f>Q25</f>
        <v>临街状况</v>
      </c>
      <c r="AA25" s="1903">
        <f t="shared" si="3"/>
        <v>1</v>
      </c>
      <c r="AB25" s="1903">
        <f t="shared" si="4"/>
        <v>1</v>
      </c>
      <c r="AC25" s="1903">
        <f t="shared" si="5"/>
        <v>1</v>
      </c>
    </row>
    <row r="26" spans="1:29" ht="15">
      <c r="A26" s="408"/>
      <c r="B26" s="2410"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80"/>
      <c r="Q26" s="1899" t="str">
        <f t="shared" si="11"/>
        <v>平面位置/可视性</v>
      </c>
      <c r="R26" s="753" t="s">
        <v>25</v>
      </c>
      <c r="S26" s="754">
        <f>F26</f>
        <v>100</v>
      </c>
      <c r="T26" s="753" t="s">
        <v>25</v>
      </c>
      <c r="U26" s="754">
        <f>H26</f>
        <v>100</v>
      </c>
      <c r="V26" s="753" t="s">
        <v>25</v>
      </c>
      <c r="W26" s="754">
        <f>J26</f>
        <v>100</v>
      </c>
      <c r="X26" s="1900"/>
      <c r="Y26" s="3067"/>
      <c r="Z26" s="1902" t="str">
        <f>Q26</f>
        <v>平面位置/可视性</v>
      </c>
      <c r="AA26" s="1903">
        <f t="shared" si="3"/>
        <v>1</v>
      </c>
      <c r="AB26" s="1903">
        <f t="shared" si="4"/>
        <v>1</v>
      </c>
      <c r="AC26" s="1903">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80"/>
      <c r="Q27" s="1887" t="str">
        <f t="shared" si="11"/>
        <v>人流量</v>
      </c>
      <c r="R27" s="749" t="s">
        <v>25</v>
      </c>
      <c r="S27" s="750">
        <f>F27</f>
        <v>100</v>
      </c>
      <c r="T27" s="749" t="s">
        <v>25</v>
      </c>
      <c r="U27" s="750">
        <f>H27</f>
        <v>100</v>
      </c>
      <c r="V27" s="749" t="s">
        <v>25</v>
      </c>
      <c r="W27" s="750">
        <f>J27</f>
        <v>100</v>
      </c>
      <c r="X27" s="751"/>
      <c r="Y27" s="3067"/>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8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67"/>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80"/>
      <c r="Q29" s="1899">
        <f t="shared" si="11"/>
        <v>111</v>
      </c>
      <c r="R29" s="753" t="s">
        <v>25</v>
      </c>
      <c r="S29" s="754">
        <f t="shared" si="12"/>
        <v>100</v>
      </c>
      <c r="T29" s="753" t="s">
        <v>25</v>
      </c>
      <c r="U29" s="754">
        <f t="shared" si="13"/>
        <v>100</v>
      </c>
      <c r="V29" s="753" t="s">
        <v>25</v>
      </c>
      <c r="W29" s="754">
        <f t="shared" si="14"/>
        <v>100</v>
      </c>
      <c r="X29" s="1900"/>
      <c r="Y29" s="3067"/>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80"/>
      <c r="Q30" s="1899">
        <f t="shared" si="11"/>
        <v>111</v>
      </c>
      <c r="R30" s="753" t="s">
        <v>25</v>
      </c>
      <c r="S30" s="754">
        <f t="shared" si="12"/>
        <v>100</v>
      </c>
      <c r="T30" s="753" t="s">
        <v>25</v>
      </c>
      <c r="U30" s="754">
        <f t="shared" si="13"/>
        <v>100</v>
      </c>
      <c r="V30" s="753" t="s">
        <v>25</v>
      </c>
      <c r="W30" s="754">
        <f t="shared" si="14"/>
        <v>100</v>
      </c>
      <c r="X30" s="1900"/>
      <c r="Y30" s="3067"/>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80"/>
      <c r="Q31" s="1899">
        <f t="shared" si="11"/>
        <v>111</v>
      </c>
      <c r="R31" s="753" t="s">
        <v>25</v>
      </c>
      <c r="S31" s="754">
        <f t="shared" si="12"/>
        <v>100</v>
      </c>
      <c r="T31" s="753" t="s">
        <v>25</v>
      </c>
      <c r="U31" s="754">
        <f t="shared" si="13"/>
        <v>100</v>
      </c>
      <c r="V31" s="753" t="s">
        <v>25</v>
      </c>
      <c r="W31" s="754">
        <f t="shared" si="14"/>
        <v>100</v>
      </c>
      <c r="X31" s="1900"/>
      <c r="Y31" s="3067"/>
      <c r="Z31" s="1902">
        <f t="shared" si="15"/>
        <v>111</v>
      </c>
      <c r="AA31" s="1903">
        <f t="shared" si="3"/>
        <v>1</v>
      </c>
      <c r="AB31" s="1903">
        <f t="shared" si="4"/>
        <v>1</v>
      </c>
      <c r="AC31" s="1903">
        <f t="shared" si="5"/>
        <v>1</v>
      </c>
    </row>
    <row r="32" spans="1:29" ht="15">
      <c r="A32" s="419" t="s">
        <v>2366</v>
      </c>
      <c r="B32" s="28" t="s">
        <v>2454</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68" t="s">
        <v>2368</v>
      </c>
      <c r="Q32" s="1899" t="str">
        <f t="shared" si="11"/>
        <v>商业类型</v>
      </c>
      <c r="R32" s="753" t="s">
        <v>25</v>
      </c>
      <c r="S32" s="754">
        <f t="shared" si="12"/>
        <v>100</v>
      </c>
      <c r="T32" s="753" t="s">
        <v>25</v>
      </c>
      <c r="U32" s="754">
        <f t="shared" si="13"/>
        <v>100</v>
      </c>
      <c r="V32" s="753" t="s">
        <v>25</v>
      </c>
      <c r="W32" s="754">
        <f t="shared" si="14"/>
        <v>100</v>
      </c>
      <c r="X32" s="1900"/>
      <c r="Y32" s="3071"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9"/>
      <c r="Q33" s="755" t="str">
        <f t="shared" si="11"/>
        <v>项目建筑规模</v>
      </c>
      <c r="R33" s="756" t="s">
        <v>25</v>
      </c>
      <c r="S33" s="757" t="e">
        <f t="shared" si="12"/>
        <v>#N/A</v>
      </c>
      <c r="T33" s="756" t="s">
        <v>25</v>
      </c>
      <c r="U33" s="757" t="e">
        <f t="shared" si="13"/>
        <v>#N/A</v>
      </c>
      <c r="V33" s="756" t="s">
        <v>25</v>
      </c>
      <c r="W33" s="757" t="e">
        <f t="shared" si="14"/>
        <v>#N/A</v>
      </c>
      <c r="X33" s="758"/>
      <c r="Y33" s="3071"/>
      <c r="Z33" s="759" t="str">
        <f t="shared" si="15"/>
        <v>项目建筑规模</v>
      </c>
      <c r="AA33" s="1903" t="e">
        <f t="shared" si="3"/>
        <v>#N/A</v>
      </c>
      <c r="AB33" s="1903" t="e">
        <f t="shared" si="4"/>
        <v>#N/A</v>
      </c>
      <c r="AC33" s="1903"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69"/>
      <c r="Q34" s="1899" t="str">
        <f t="shared" si="11"/>
        <v>建筑结构</v>
      </c>
      <c r="R34" s="753" t="s">
        <v>25</v>
      </c>
      <c r="S34" s="754">
        <f t="shared" si="12"/>
        <v>100</v>
      </c>
      <c r="T34" s="753" t="s">
        <v>25</v>
      </c>
      <c r="U34" s="754">
        <f t="shared" si="13"/>
        <v>100</v>
      </c>
      <c r="V34" s="753" t="s">
        <v>25</v>
      </c>
      <c r="W34" s="754">
        <f t="shared" si="14"/>
        <v>100</v>
      </c>
      <c r="X34" s="1900"/>
      <c r="Y34" s="3071"/>
      <c r="Z34" s="1902" t="str">
        <f t="shared" si="15"/>
        <v>建筑结构</v>
      </c>
      <c r="AA34" s="1903">
        <f t="shared" si="3"/>
        <v>1</v>
      </c>
      <c r="AB34" s="1903">
        <f t="shared" si="4"/>
        <v>1</v>
      </c>
      <c r="AC34" s="1903">
        <f t="shared" si="5"/>
        <v>1</v>
      </c>
    </row>
    <row r="35" spans="1:29" ht="15">
      <c r="A35" s="453"/>
      <c r="B35" s="402" t="s">
        <v>2455</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69"/>
      <c r="Q35" s="1899" t="str">
        <f t="shared" si="11"/>
        <v>公共部分装修</v>
      </c>
      <c r="R35" s="753" t="s">
        <v>25</v>
      </c>
      <c r="S35" s="754">
        <f t="shared" si="12"/>
        <v>100</v>
      </c>
      <c r="T35" s="753" t="s">
        <v>25</v>
      </c>
      <c r="U35" s="754">
        <f t="shared" si="13"/>
        <v>100</v>
      </c>
      <c r="V35" s="753" t="s">
        <v>25</v>
      </c>
      <c r="W35" s="754">
        <f t="shared" si="14"/>
        <v>100</v>
      </c>
      <c r="X35" s="1900"/>
      <c r="Y35" s="3071"/>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9"/>
      <c r="Q36" s="1899" t="str">
        <f t="shared" si="11"/>
        <v>成新度</v>
      </c>
      <c r="R36" s="753" t="s">
        <v>25</v>
      </c>
      <c r="S36" s="754" t="e">
        <f t="shared" si="12"/>
        <v>#N/A</v>
      </c>
      <c r="T36" s="753" t="s">
        <v>25</v>
      </c>
      <c r="U36" s="754" t="e">
        <f t="shared" si="13"/>
        <v>#N/A</v>
      </c>
      <c r="V36" s="753" t="s">
        <v>25</v>
      </c>
      <c r="W36" s="754" t="e">
        <f t="shared" si="14"/>
        <v>#N/A</v>
      </c>
      <c r="X36" s="1900"/>
      <c r="Y36" s="3071"/>
      <c r="Z36" s="1902" t="str">
        <f t="shared" si="15"/>
        <v>成新度</v>
      </c>
      <c r="AA36" s="1903" t="e">
        <f t="shared" si="3"/>
        <v>#N/A</v>
      </c>
      <c r="AB36" s="1903" t="e">
        <f t="shared" si="4"/>
        <v>#N/A</v>
      </c>
      <c r="AC36" s="1903" t="e">
        <f t="shared" si="5"/>
        <v>#N/A</v>
      </c>
    </row>
    <row r="37" spans="1:29" s="35" customFormat="1" ht="15">
      <c r="A37" s="454"/>
      <c r="B37" s="402" t="s">
        <v>2457</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69"/>
      <c r="Q37" s="1887" t="str">
        <f t="shared" si="11"/>
        <v>市政基础设施</v>
      </c>
      <c r="R37" s="749" t="s">
        <v>25</v>
      </c>
      <c r="S37" s="750">
        <f t="shared" si="12"/>
        <v>100</v>
      </c>
      <c r="T37" s="749" t="s">
        <v>25</v>
      </c>
      <c r="U37" s="750">
        <f t="shared" si="13"/>
        <v>100</v>
      </c>
      <c r="V37" s="749" t="s">
        <v>25</v>
      </c>
      <c r="W37" s="750">
        <f t="shared" si="14"/>
        <v>100</v>
      </c>
      <c r="X37" s="751"/>
      <c r="Y37" s="3071"/>
      <c r="Z37" s="23" t="str">
        <f t="shared" si="15"/>
        <v>市政基础设施</v>
      </c>
      <c r="AA37" s="752">
        <f t="shared" si="3"/>
        <v>1</v>
      </c>
      <c r="AB37" s="752">
        <f t="shared" si="4"/>
        <v>1</v>
      </c>
      <c r="AC37" s="752">
        <f t="shared" si="5"/>
        <v>1</v>
      </c>
    </row>
    <row r="38" spans="1:29" ht="15">
      <c r="A38" s="453"/>
      <c r="B38" s="402" t="s">
        <v>2458</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69" t="s">
        <v>2368</v>
      </c>
      <c r="Q38" s="1899" t="str">
        <f t="shared" si="11"/>
        <v>业态</v>
      </c>
      <c r="R38" s="753" t="s">
        <v>25</v>
      </c>
      <c r="S38" s="754">
        <f t="shared" si="12"/>
        <v>100</v>
      </c>
      <c r="T38" s="753" t="s">
        <v>25</v>
      </c>
      <c r="U38" s="754">
        <f t="shared" si="13"/>
        <v>100</v>
      </c>
      <c r="V38" s="753" t="s">
        <v>25</v>
      </c>
      <c r="W38" s="754">
        <f t="shared" si="14"/>
        <v>100</v>
      </c>
      <c r="X38" s="1900"/>
      <c r="Y38" s="3071" t="s">
        <v>2368</v>
      </c>
      <c r="Z38" s="1902" t="str">
        <f t="shared" si="15"/>
        <v>业态</v>
      </c>
      <c r="AA38" s="1903">
        <f t="shared" si="3"/>
        <v>1</v>
      </c>
      <c r="AB38" s="1903">
        <f t="shared" si="4"/>
        <v>1</v>
      </c>
      <c r="AC38" s="1903">
        <f t="shared" si="5"/>
        <v>1</v>
      </c>
    </row>
    <row r="39" spans="1:29" ht="15">
      <c r="A39" s="453"/>
      <c r="B39" s="402" t="s">
        <v>2459</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69"/>
      <c r="Q39" s="1899" t="str">
        <f t="shared" si="11"/>
        <v>层高</v>
      </c>
      <c r="R39" s="753" t="s">
        <v>25</v>
      </c>
      <c r="S39" s="754">
        <f t="shared" si="12"/>
        <v>100</v>
      </c>
      <c r="T39" s="753" t="s">
        <v>25</v>
      </c>
      <c r="U39" s="754">
        <f t="shared" si="13"/>
        <v>100</v>
      </c>
      <c r="V39" s="753" t="s">
        <v>25</v>
      </c>
      <c r="W39" s="754">
        <f t="shared" si="14"/>
        <v>100</v>
      </c>
      <c r="X39" s="1900"/>
      <c r="Y39" s="3071"/>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9"/>
      <c r="Q40" s="1899" t="str">
        <f t="shared" si="11"/>
        <v>单套建筑面积</v>
      </c>
      <c r="R40" s="753" t="s">
        <v>25</v>
      </c>
      <c r="S40" s="754">
        <f t="shared" si="12"/>
        <v>100</v>
      </c>
      <c r="T40" s="753" t="s">
        <v>25</v>
      </c>
      <c r="U40" s="754">
        <f t="shared" si="13"/>
        <v>100</v>
      </c>
      <c r="V40" s="753" t="s">
        <v>25</v>
      </c>
      <c r="W40" s="754">
        <f t="shared" si="14"/>
        <v>100</v>
      </c>
      <c r="X40" s="1900"/>
      <c r="Y40" s="3071"/>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9"/>
      <c r="Q41" s="755" t="str">
        <f t="shared" si="11"/>
        <v>进深比</v>
      </c>
      <c r="R41" s="756" t="s">
        <v>25</v>
      </c>
      <c r="S41" s="757">
        <f t="shared" si="12"/>
        <v>100</v>
      </c>
      <c r="T41" s="756" t="s">
        <v>25</v>
      </c>
      <c r="U41" s="757">
        <f t="shared" si="13"/>
        <v>100</v>
      </c>
      <c r="V41" s="756" t="s">
        <v>25</v>
      </c>
      <c r="W41" s="757">
        <f t="shared" si="14"/>
        <v>100</v>
      </c>
      <c r="X41" s="758"/>
      <c r="Y41" s="3071"/>
      <c r="Z41" s="759" t="str">
        <f t="shared" si="15"/>
        <v>进深比</v>
      </c>
      <c r="AA41" s="1903">
        <f t="shared" si="3"/>
        <v>1</v>
      </c>
      <c r="AB41" s="1903">
        <f t="shared" si="4"/>
        <v>1</v>
      </c>
      <c r="AC41" s="1903">
        <f t="shared" si="5"/>
        <v>1</v>
      </c>
    </row>
    <row r="42" spans="1:29" ht="15">
      <c r="A42" s="453"/>
      <c r="B42" s="402" t="s">
        <v>2462</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69"/>
      <c r="Q42" s="1899" t="str">
        <f t="shared" si="11"/>
        <v>内部装修</v>
      </c>
      <c r="R42" s="753" t="s">
        <v>25</v>
      </c>
      <c r="S42" s="754">
        <f t="shared" si="12"/>
        <v>100</v>
      </c>
      <c r="T42" s="753" t="s">
        <v>25</v>
      </c>
      <c r="U42" s="754">
        <f t="shared" si="13"/>
        <v>100</v>
      </c>
      <c r="V42" s="753" t="s">
        <v>25</v>
      </c>
      <c r="W42" s="754">
        <f t="shared" si="14"/>
        <v>100</v>
      </c>
      <c r="X42" s="1900"/>
      <c r="Y42" s="3071"/>
      <c r="Z42" s="1902" t="str">
        <f t="shared" si="15"/>
        <v>内部装修</v>
      </c>
      <c r="AA42" s="1903">
        <f t="shared" si="3"/>
        <v>1</v>
      </c>
      <c r="AB42" s="1903">
        <f t="shared" si="4"/>
        <v>1</v>
      </c>
      <c r="AC42" s="1903">
        <f t="shared" si="5"/>
        <v>1</v>
      </c>
    </row>
    <row r="43" spans="1:29" ht="15">
      <c r="A43" s="453"/>
      <c r="B43" s="402" t="s">
        <v>2379</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69"/>
      <c r="Q43" s="1899" t="str">
        <f t="shared" si="11"/>
        <v>内部装修维护情况</v>
      </c>
      <c r="R43" s="753" t="s">
        <v>25</v>
      </c>
      <c r="S43" s="754">
        <f t="shared" si="12"/>
        <v>100</v>
      </c>
      <c r="T43" s="753" t="s">
        <v>25</v>
      </c>
      <c r="U43" s="754">
        <f t="shared" si="13"/>
        <v>100</v>
      </c>
      <c r="V43" s="753" t="s">
        <v>25</v>
      </c>
      <c r="W43" s="754">
        <f t="shared" si="14"/>
        <v>100</v>
      </c>
      <c r="X43" s="1900"/>
      <c r="Y43" s="3071"/>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9"/>
      <c r="Q44" s="1887">
        <f t="shared" si="11"/>
        <v>111</v>
      </c>
      <c r="R44" s="749" t="s">
        <v>25</v>
      </c>
      <c r="S44" s="750">
        <f t="shared" si="12"/>
        <v>100</v>
      </c>
      <c r="T44" s="749" t="s">
        <v>25</v>
      </c>
      <c r="U44" s="750">
        <f t="shared" si="13"/>
        <v>100</v>
      </c>
      <c r="V44" s="749" t="s">
        <v>25</v>
      </c>
      <c r="W44" s="750">
        <f t="shared" si="14"/>
        <v>100</v>
      </c>
      <c r="X44" s="751"/>
      <c r="Y44" s="307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9"/>
      <c r="Q45" s="1899">
        <f t="shared" si="11"/>
        <v>111</v>
      </c>
      <c r="R45" s="753" t="s">
        <v>25</v>
      </c>
      <c r="S45" s="754">
        <f t="shared" si="12"/>
        <v>100</v>
      </c>
      <c r="T45" s="753" t="s">
        <v>25</v>
      </c>
      <c r="U45" s="754">
        <f t="shared" si="13"/>
        <v>100</v>
      </c>
      <c r="V45" s="753" t="s">
        <v>25</v>
      </c>
      <c r="W45" s="754">
        <f t="shared" si="14"/>
        <v>100</v>
      </c>
      <c r="X45" s="1900"/>
      <c r="Y45" s="3071"/>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72"/>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77" t="str">
        <f>A47</f>
        <v>成交单价（元/平方米）</v>
      </c>
      <c r="Q47" s="3077"/>
      <c r="R47" s="3078">
        <f>E47</f>
        <v>0</v>
      </c>
      <c r="S47" s="3078"/>
      <c r="T47" s="3078">
        <f>G47</f>
        <v>0</v>
      </c>
      <c r="U47" s="3078"/>
      <c r="V47" s="3078">
        <f>I47</f>
        <v>0</v>
      </c>
      <c r="W47" s="3078"/>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77" t="str">
        <f>A48</f>
        <v>比较价值（元/平方米）</v>
      </c>
      <c r="Q48" s="3077"/>
      <c r="R48" s="3078" t="e">
        <f>IF(E1="售价",ROUND(PRODUCT(R47,AA7:AA46),0),ROUND(PRODUCT(R47,AA7:AA46),1))</f>
        <v>#DIV/0!</v>
      </c>
      <c r="S48" s="3078"/>
      <c r="T48" s="3078" t="e">
        <f>IF(E1="售价",ROUND(PRODUCT(T47,AB7:AB46),0),ROUND(PRODUCT(T47,AB7:AB46),1))</f>
        <v>#DIV/0!</v>
      </c>
      <c r="U48" s="3078"/>
      <c r="V48" s="3078" t="e">
        <f>IF(E1="售价",ROUND(PRODUCT(V47,AC7:AC46),0),ROUND(PRODUCT(V47,AC7:AC46),1))</f>
        <v>#DIV/0!</v>
      </c>
      <c r="W48" s="3078"/>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83" t="str">
        <f>A49</f>
        <v>估价对象XX用房的比较价值（楼面单价，元/平方米）</v>
      </c>
      <c r="Q49" s="3084"/>
      <c r="R49" s="3085" t="e">
        <f>IF(E1="售价",ROUND(AVERAGE(R48:V48),0),ROUND(AVERAGE(R48:V48),1))</f>
        <v>#DIV/0!</v>
      </c>
      <c r="S49" s="3085"/>
      <c r="T49" s="3085"/>
      <c r="U49" s="3085"/>
      <c r="V49" s="3085"/>
      <c r="W49" s="308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2475</v>
      </c>
      <c r="C1" s="1726"/>
      <c r="D1" s="1739"/>
      <c r="E1" s="2380"/>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2003</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2004</v>
      </c>
      <c r="B3" s="593" t="e">
        <f ca="1">ROUND(IF(D2="——",C50,IF(C2="万元",B2*10000/D3,B2/D3)),0)</f>
        <v>#DIV/0!</v>
      </c>
      <c r="C3" s="379" t="s">
        <v>2336</v>
      </c>
      <c r="D3" s="378">
        <f>IF(C1="仅计算典型户型",'数据-取费表'!E5,'数据-取费表'!B5)</f>
        <v>140.46</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41" t="s">
        <v>2338</v>
      </c>
      <c r="D4" s="3042"/>
      <c r="E4" s="3043" t="s">
        <v>2339</v>
      </c>
      <c r="F4" s="3044"/>
      <c r="G4" s="3041" t="s">
        <v>2340</v>
      </c>
      <c r="H4" s="3042"/>
      <c r="I4" s="3041" t="s">
        <v>2341</v>
      </c>
      <c r="J4" s="3042"/>
      <c r="K4" s="594" t="s">
        <v>2342</v>
      </c>
      <c r="L4" s="1243"/>
      <c r="M4" s="1244"/>
      <c r="N4" s="1244"/>
      <c r="O4" s="1244"/>
      <c r="P4" s="3088" t="s">
        <v>2343</v>
      </c>
      <c r="Q4" s="3046"/>
      <c r="R4" s="3051" t="s">
        <v>2339</v>
      </c>
      <c r="S4" s="3052"/>
      <c r="T4" s="3051" t="s">
        <v>2340</v>
      </c>
      <c r="U4" s="3052"/>
      <c r="V4" s="3057" t="s">
        <v>2341</v>
      </c>
      <c r="W4" s="3057"/>
      <c r="X4" s="1900"/>
      <c r="Y4" s="3051" t="s">
        <v>2343</v>
      </c>
      <c r="Z4" s="3052"/>
      <c r="AA4" s="3038" t="s">
        <v>2339</v>
      </c>
      <c r="AB4" s="3038" t="s">
        <v>2340</v>
      </c>
      <c r="AC4" s="3038" t="s">
        <v>2341</v>
      </c>
    </row>
    <row r="5" spans="1:29" ht="15">
      <c r="A5" s="383"/>
      <c r="B5" s="384"/>
      <c r="C5" s="3086" t="s">
        <v>2344</v>
      </c>
      <c r="D5" s="3061"/>
      <c r="E5" s="3087" t="s">
        <v>2345</v>
      </c>
      <c r="F5" s="3059"/>
      <c r="G5" s="3086" t="s">
        <v>2346</v>
      </c>
      <c r="H5" s="3061"/>
      <c r="I5" s="3086" t="s">
        <v>2347</v>
      </c>
      <c r="J5" s="3061"/>
      <c r="K5" s="594"/>
      <c r="L5" s="1243"/>
      <c r="M5" s="1244"/>
      <c r="N5" s="1244"/>
      <c r="O5" s="1244"/>
      <c r="P5" s="3089"/>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594" t="s">
        <v>2349</v>
      </c>
      <c r="L6" s="1243"/>
      <c r="M6" s="1244"/>
      <c r="N6" s="1244"/>
      <c r="O6" s="1244"/>
      <c r="P6" s="3090"/>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75" t="s">
        <v>2351</v>
      </c>
      <c r="Q7" s="3075"/>
      <c r="R7" s="749" t="s">
        <v>25</v>
      </c>
      <c r="S7" s="750">
        <f t="shared" ref="S7:S15" si="0">F7</f>
        <v>0</v>
      </c>
      <c r="T7" s="749" t="s">
        <v>25</v>
      </c>
      <c r="U7" s="750">
        <f t="shared" ref="U7:U15" si="1">H7</f>
        <v>0</v>
      </c>
      <c r="V7" s="749" t="s">
        <v>25</v>
      </c>
      <c r="W7" s="750">
        <f t="shared" ref="W7:W15" si="2">J7</f>
        <v>0</v>
      </c>
      <c r="X7" s="751"/>
      <c r="Y7" s="3073" t="s">
        <v>2351</v>
      </c>
      <c r="Z7" s="3074"/>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5" t="s">
        <v>2354</v>
      </c>
      <c r="Q8" s="3074"/>
      <c r="R8" s="749" t="s">
        <v>25</v>
      </c>
      <c r="S8" s="750">
        <f t="shared" si="0"/>
        <v>0</v>
      </c>
      <c r="T8" s="749" t="s">
        <v>25</v>
      </c>
      <c r="U8" s="750">
        <f t="shared" si="1"/>
        <v>0</v>
      </c>
      <c r="V8" s="749" t="s">
        <v>25</v>
      </c>
      <c r="W8" s="750">
        <f t="shared" si="2"/>
        <v>0</v>
      </c>
      <c r="X8" s="751"/>
      <c r="Y8" s="3073" t="s">
        <v>2354</v>
      </c>
      <c r="Z8" s="3074"/>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84"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84"/>
      <c r="Q10" s="1887"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84"/>
      <c r="Q11" s="1887"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4"/>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4"/>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4"/>
      <c r="Q14" s="1887">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71.25">
      <c r="A15" s="419" t="s">
        <v>2361</v>
      </c>
      <c r="B15" s="613" t="s">
        <v>2476</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46" t="s">
        <v>2362</v>
      </c>
      <c r="Q15" s="1899" t="str">
        <f t="shared" si="6"/>
        <v>办公集聚程度</v>
      </c>
      <c r="R15" s="753" t="s">
        <v>25</v>
      </c>
      <c r="S15" s="754">
        <f t="shared" si="0"/>
        <v>100</v>
      </c>
      <c r="T15" s="753" t="s">
        <v>25</v>
      </c>
      <c r="U15" s="754">
        <f t="shared" si="1"/>
        <v>100</v>
      </c>
      <c r="V15" s="753" t="s">
        <v>25</v>
      </c>
      <c r="W15" s="754">
        <f t="shared" si="2"/>
        <v>100</v>
      </c>
      <c r="X15" s="1900"/>
      <c r="Y15" s="3066"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8"/>
      <c r="Q16" s="1899"/>
      <c r="R16" s="753"/>
      <c r="S16" s="754"/>
      <c r="T16" s="753"/>
      <c r="U16" s="754"/>
      <c r="V16" s="753"/>
      <c r="W16" s="754"/>
      <c r="X16" s="1900"/>
      <c r="Y16" s="3067"/>
      <c r="Z16" s="1902"/>
      <c r="AA16" s="1903">
        <v>1</v>
      </c>
      <c r="AB16" s="1903">
        <v>1</v>
      </c>
      <c r="AC16" s="1903">
        <v>1</v>
      </c>
    </row>
    <row r="17" spans="1:29" ht="99.75">
      <c r="A17" s="408"/>
      <c r="B17" s="615" t="s">
        <v>1746</v>
      </c>
      <c r="C17" s="2465" t="str">
        <f>估价对象房地状况!C6</f>
        <v>估价对象紧邻京周路，有901快车、839等多条公交线路及地铁燕房线燕山线通过，交通便捷度良好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8"/>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616"/>
      <c r="C18" s="2466"/>
      <c r="D18" s="430"/>
      <c r="E18" s="2405"/>
      <c r="F18" s="430"/>
      <c r="G18" s="1468"/>
      <c r="H18" s="427"/>
      <c r="I18" s="1468"/>
      <c r="J18" s="427"/>
      <c r="K18" s="599"/>
      <c r="L18" s="1253"/>
      <c r="M18" s="1244"/>
      <c r="N18" s="1244"/>
      <c r="O18" s="1244"/>
      <c r="P18" s="3048"/>
      <c r="Q18" s="1899"/>
      <c r="R18" s="753"/>
      <c r="S18" s="754"/>
      <c r="T18" s="753"/>
      <c r="U18" s="754"/>
      <c r="V18" s="753"/>
      <c r="W18" s="754"/>
      <c r="X18" s="1900"/>
      <c r="Y18" s="3067"/>
      <c r="Z18" s="1902"/>
      <c r="AA18" s="1903">
        <v>1</v>
      </c>
      <c r="AB18" s="1903">
        <v>1</v>
      </c>
      <c r="AC18" s="1903">
        <v>1</v>
      </c>
    </row>
    <row r="19" spans="1:29" ht="42.75">
      <c r="A19" s="408"/>
      <c r="B19" s="615" t="s">
        <v>2477</v>
      </c>
      <c r="C19" s="2465"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8"/>
      <c r="Q19" s="1899" t="str">
        <f>B19</f>
        <v>公共配套设施</v>
      </c>
      <c r="R19" s="753" t="s">
        <v>25</v>
      </c>
      <c r="S19" s="754">
        <f>F19</f>
        <v>100</v>
      </c>
      <c r="T19" s="753" t="s">
        <v>25</v>
      </c>
      <c r="U19" s="754">
        <f>H19</f>
        <v>100</v>
      </c>
      <c r="V19" s="753" t="s">
        <v>25</v>
      </c>
      <c r="W19" s="754">
        <f>J19</f>
        <v>100</v>
      </c>
      <c r="X19" s="1900"/>
      <c r="Y19" s="3067"/>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48"/>
      <c r="Q20" s="1899"/>
      <c r="R20" s="753"/>
      <c r="S20" s="754"/>
      <c r="T20" s="753"/>
      <c r="U20" s="754"/>
      <c r="V20" s="753"/>
      <c r="W20" s="754"/>
      <c r="X20" s="1900"/>
      <c r="Y20" s="3067"/>
      <c r="Z20" s="1902"/>
      <c r="AA20" s="1903">
        <v>1</v>
      </c>
      <c r="AB20" s="1903">
        <v>1</v>
      </c>
      <c r="AC20" s="1903">
        <v>1</v>
      </c>
    </row>
    <row r="21" spans="1:29" ht="15">
      <c r="A21" s="408"/>
      <c r="B21" s="617" t="s">
        <v>2478</v>
      </c>
      <c r="C21" s="2465"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8"/>
      <c r="Q21" s="1899" t="str">
        <f>B21</f>
        <v>基础设施水平</v>
      </c>
      <c r="R21" s="753" t="s">
        <v>25</v>
      </c>
      <c r="S21" s="754">
        <f>F21</f>
        <v>100</v>
      </c>
      <c r="T21" s="753" t="s">
        <v>25</v>
      </c>
      <c r="U21" s="754">
        <f>H21</f>
        <v>100</v>
      </c>
      <c r="V21" s="753" t="s">
        <v>25</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2"/>
      <c r="H22" s="427"/>
      <c r="I22" s="1472"/>
      <c r="J22" s="427"/>
      <c r="K22" s="1469"/>
      <c r="L22" s="1253"/>
      <c r="M22" s="1244"/>
      <c r="N22" s="1244"/>
      <c r="O22" s="1244"/>
      <c r="P22" s="3048"/>
      <c r="Q22" s="1899"/>
      <c r="R22" s="753"/>
      <c r="S22" s="754"/>
      <c r="T22" s="753"/>
      <c r="U22" s="754"/>
      <c r="V22" s="753"/>
      <c r="W22" s="754"/>
      <c r="X22" s="1900"/>
      <c r="Y22" s="3067"/>
      <c r="Z22" s="1902"/>
      <c r="AA22" s="1903">
        <v>1</v>
      </c>
      <c r="AB22" s="1903">
        <v>1</v>
      </c>
      <c r="AC22" s="1903">
        <v>1</v>
      </c>
    </row>
    <row r="23" spans="1:29" ht="99.75">
      <c r="A23" s="408"/>
      <c r="B23" s="615" t="s">
        <v>2479</v>
      </c>
      <c r="C23" s="2465" t="str">
        <f>估价对象房地状况!C9</f>
        <v>自然环境有大石河水系（距离4公里）；人文环境有北京理工大学（房山分校）；综合评价环境状况较好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8"/>
      <c r="Q23" s="1899" t="str">
        <f>B23</f>
        <v>环境质量</v>
      </c>
      <c r="R23" s="753" t="s">
        <v>25</v>
      </c>
      <c r="S23" s="754">
        <f>F23</f>
        <v>100</v>
      </c>
      <c r="T23" s="753" t="s">
        <v>25</v>
      </c>
      <c r="U23" s="754">
        <f>H23</f>
        <v>100</v>
      </c>
      <c r="V23" s="753" t="s">
        <v>25</v>
      </c>
      <c r="W23" s="754">
        <f>J23</f>
        <v>100</v>
      </c>
      <c r="X23" s="1900"/>
      <c r="Y23" s="3067"/>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48"/>
      <c r="Q24" s="1899"/>
      <c r="R24" s="753"/>
      <c r="S24" s="754"/>
      <c r="T24" s="753"/>
      <c r="U24" s="754"/>
      <c r="V24" s="753"/>
      <c r="W24" s="754"/>
      <c r="X24" s="1900"/>
      <c r="Y24" s="3067"/>
      <c r="Z24" s="1902"/>
      <c r="AA24" s="1903">
        <v>1</v>
      </c>
      <c r="AB24" s="1903">
        <v>1</v>
      </c>
      <c r="AC24" s="1903">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48"/>
      <c r="Q25" s="1899" t="str">
        <f>B25</f>
        <v>毗邻道路的类型与等级</v>
      </c>
      <c r="R25" s="753" t="s">
        <v>25</v>
      </c>
      <c r="S25" s="754">
        <f>F25</f>
        <v>100</v>
      </c>
      <c r="T25" s="753" t="s">
        <v>25</v>
      </c>
      <c r="U25" s="754">
        <f>H25</f>
        <v>100</v>
      </c>
      <c r="V25" s="753" t="s">
        <v>25</v>
      </c>
      <c r="W25" s="754">
        <f>J25</f>
        <v>100</v>
      </c>
      <c r="X25" s="1900"/>
      <c r="Y25" s="306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8"/>
      <c r="Q26" s="1899"/>
      <c r="R26" s="753"/>
      <c r="S26" s="754"/>
      <c r="T26" s="753"/>
      <c r="U26" s="754"/>
      <c r="V26" s="753"/>
      <c r="W26" s="754"/>
      <c r="X26" s="1900"/>
      <c r="Y26" s="3067"/>
      <c r="Z26" s="1902"/>
      <c r="AA26" s="1903">
        <v>1</v>
      </c>
      <c r="AB26" s="1903">
        <v>1</v>
      </c>
      <c r="AC26" s="1903">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8"/>
      <c r="Q27" s="1899" t="str">
        <f t="shared" ref="Q27:Q47" si="11">B27</f>
        <v>楼层</v>
      </c>
      <c r="R27" s="753" t="s">
        <v>25</v>
      </c>
      <c r="S27" s="754">
        <f>F27</f>
        <v>100</v>
      </c>
      <c r="T27" s="753" t="s">
        <v>25</v>
      </c>
      <c r="U27" s="754">
        <f>H27</f>
        <v>100</v>
      </c>
      <c r="V27" s="753" t="s">
        <v>25</v>
      </c>
      <c r="W27" s="754">
        <f>J27</f>
        <v>100</v>
      </c>
      <c r="X27" s="1900"/>
      <c r="Y27" s="3067"/>
      <c r="Z27" s="1902" t="str">
        <f>Q27</f>
        <v>楼层</v>
      </c>
      <c r="AA27" s="1903">
        <f t="shared" si="3"/>
        <v>1</v>
      </c>
      <c r="AB27" s="1903">
        <f t="shared" si="4"/>
        <v>1</v>
      </c>
      <c r="AC27" s="1903">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48"/>
      <c r="Q28" s="1887" t="str">
        <f t="shared" si="11"/>
        <v>朝向</v>
      </c>
      <c r="R28" s="749" t="s">
        <v>25</v>
      </c>
      <c r="S28" s="750">
        <f>F28</f>
        <v>100</v>
      </c>
      <c r="T28" s="749" t="s">
        <v>25</v>
      </c>
      <c r="U28" s="750">
        <f>H28</f>
        <v>100</v>
      </c>
      <c r="V28" s="749" t="s">
        <v>25</v>
      </c>
      <c r="W28" s="750">
        <f>J28</f>
        <v>100</v>
      </c>
      <c r="X28" s="751"/>
      <c r="Y28" s="3067"/>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8"/>
      <c r="Q29" s="1899">
        <f t="shared" si="11"/>
        <v>111</v>
      </c>
      <c r="R29" s="753" t="s">
        <v>25</v>
      </c>
      <c r="S29" s="754">
        <f t="shared" ref="S29:S47" si="12">F29</f>
        <v>100</v>
      </c>
      <c r="T29" s="753" t="s">
        <v>25</v>
      </c>
      <c r="U29" s="754">
        <f t="shared" ref="U29:U47" si="13">H29</f>
        <v>100</v>
      </c>
      <c r="V29" s="753" t="s">
        <v>25</v>
      </c>
      <c r="W29" s="754">
        <f t="shared" ref="W29:W47" si="14">J29</f>
        <v>100</v>
      </c>
      <c r="X29" s="1900"/>
      <c r="Y29" s="3067"/>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8"/>
      <c r="Q30" s="1899">
        <f t="shared" si="11"/>
        <v>111</v>
      </c>
      <c r="R30" s="753" t="s">
        <v>25</v>
      </c>
      <c r="S30" s="754">
        <f t="shared" si="12"/>
        <v>100</v>
      </c>
      <c r="T30" s="753" t="s">
        <v>25</v>
      </c>
      <c r="U30" s="754">
        <f t="shared" si="13"/>
        <v>100</v>
      </c>
      <c r="V30" s="753" t="s">
        <v>25</v>
      </c>
      <c r="W30" s="754">
        <f t="shared" si="14"/>
        <v>100</v>
      </c>
      <c r="X30" s="1900"/>
      <c r="Y30" s="3067"/>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8"/>
      <c r="Q31" s="1899">
        <f t="shared" si="11"/>
        <v>111</v>
      </c>
      <c r="R31" s="753" t="s">
        <v>25</v>
      </c>
      <c r="S31" s="754">
        <f t="shared" si="12"/>
        <v>100</v>
      </c>
      <c r="T31" s="753" t="s">
        <v>25</v>
      </c>
      <c r="U31" s="754">
        <f t="shared" si="13"/>
        <v>100</v>
      </c>
      <c r="V31" s="753" t="s">
        <v>25</v>
      </c>
      <c r="W31" s="754">
        <f t="shared" si="14"/>
        <v>100</v>
      </c>
      <c r="X31" s="1900"/>
      <c r="Y31" s="306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8"/>
      <c r="Q32" s="1899">
        <f t="shared" si="11"/>
        <v>111</v>
      </c>
      <c r="R32" s="753" t="s">
        <v>25</v>
      </c>
      <c r="S32" s="754">
        <f t="shared" si="12"/>
        <v>100</v>
      </c>
      <c r="T32" s="753" t="s">
        <v>25</v>
      </c>
      <c r="U32" s="754">
        <f t="shared" si="13"/>
        <v>100</v>
      </c>
      <c r="V32" s="753" t="s">
        <v>25</v>
      </c>
      <c r="W32" s="754">
        <f t="shared" si="14"/>
        <v>100</v>
      </c>
      <c r="X32" s="1900"/>
      <c r="Y32" s="3067"/>
      <c r="Z32" s="1902">
        <f t="shared" si="15"/>
        <v>111</v>
      </c>
      <c r="AA32" s="1903">
        <f t="shared" si="3"/>
        <v>1</v>
      </c>
      <c r="AB32" s="1903">
        <f t="shared" si="4"/>
        <v>1</v>
      </c>
      <c r="AC32" s="1903">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91" t="s">
        <v>2368</v>
      </c>
      <c r="Q33" s="1899" t="str">
        <f t="shared" si="11"/>
        <v>建筑类型</v>
      </c>
      <c r="R33" s="753" t="s">
        <v>25</v>
      </c>
      <c r="S33" s="754">
        <f t="shared" si="12"/>
        <v>100</v>
      </c>
      <c r="T33" s="753" t="s">
        <v>25</v>
      </c>
      <c r="U33" s="754">
        <f t="shared" si="13"/>
        <v>100</v>
      </c>
      <c r="V33" s="753" t="s">
        <v>25</v>
      </c>
      <c r="W33" s="754">
        <f t="shared" si="14"/>
        <v>100</v>
      </c>
      <c r="X33" s="1900"/>
      <c r="Y33" s="3071" t="s">
        <v>2368</v>
      </c>
      <c r="Z33" s="1902" t="str">
        <f t="shared" si="15"/>
        <v>建筑类型</v>
      </c>
      <c r="AA33" s="1903">
        <f t="shared" si="3"/>
        <v>1</v>
      </c>
      <c r="AB33" s="1903">
        <f t="shared" si="4"/>
        <v>1</v>
      </c>
      <c r="AC33" s="1903">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92"/>
      <c r="Q34" s="755" t="str">
        <f t="shared" si="11"/>
        <v>项目建筑规模</v>
      </c>
      <c r="R34" s="756" t="s">
        <v>25</v>
      </c>
      <c r="S34" s="757" t="e">
        <f t="shared" si="12"/>
        <v>#N/A</v>
      </c>
      <c r="T34" s="756" t="s">
        <v>25</v>
      </c>
      <c r="U34" s="757" t="e">
        <f t="shared" si="13"/>
        <v>#N/A</v>
      </c>
      <c r="V34" s="756" t="s">
        <v>25</v>
      </c>
      <c r="W34" s="757" t="e">
        <f t="shared" si="14"/>
        <v>#N/A</v>
      </c>
      <c r="X34" s="758"/>
      <c r="Y34" s="3071"/>
      <c r="Z34" s="759" t="str">
        <f t="shared" si="15"/>
        <v>项目建筑规模</v>
      </c>
      <c r="AA34" s="1903" t="e">
        <f t="shared" si="3"/>
        <v>#N/A</v>
      </c>
      <c r="AB34" s="1903" t="e">
        <f t="shared" si="4"/>
        <v>#N/A</v>
      </c>
      <c r="AC34" s="1903"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92"/>
      <c r="Q35" s="1899" t="str">
        <f t="shared" si="11"/>
        <v>建筑结构</v>
      </c>
      <c r="R35" s="753" t="s">
        <v>25</v>
      </c>
      <c r="S35" s="754">
        <f t="shared" si="12"/>
        <v>100</v>
      </c>
      <c r="T35" s="753" t="s">
        <v>25</v>
      </c>
      <c r="U35" s="754">
        <f t="shared" si="13"/>
        <v>100</v>
      </c>
      <c r="V35" s="753" t="s">
        <v>25</v>
      </c>
      <c r="W35" s="754">
        <f t="shared" si="14"/>
        <v>100</v>
      </c>
      <c r="X35" s="1900"/>
      <c r="Y35" s="3071"/>
      <c r="Z35" s="1902" t="str">
        <f t="shared" si="15"/>
        <v>建筑结构</v>
      </c>
      <c r="AA35" s="1903">
        <f t="shared" si="3"/>
        <v>1</v>
      </c>
      <c r="AB35" s="1903">
        <f t="shared" si="4"/>
        <v>1</v>
      </c>
      <c r="AC35" s="1903">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92"/>
      <c r="Q36" s="1899" t="str">
        <f t="shared" si="11"/>
        <v>公共部分装修</v>
      </c>
      <c r="R36" s="753" t="s">
        <v>25</v>
      </c>
      <c r="S36" s="754">
        <f t="shared" si="12"/>
        <v>100</v>
      </c>
      <c r="T36" s="753" t="s">
        <v>25</v>
      </c>
      <c r="U36" s="754">
        <f t="shared" si="13"/>
        <v>100</v>
      </c>
      <c r="V36" s="753" t="s">
        <v>25</v>
      </c>
      <c r="W36" s="754">
        <f t="shared" si="14"/>
        <v>100</v>
      </c>
      <c r="X36" s="1900"/>
      <c r="Y36" s="3071"/>
      <c r="Z36" s="1902" t="str">
        <f t="shared" si="15"/>
        <v>公共部分装修</v>
      </c>
      <c r="AA36" s="1903">
        <f t="shared" si="3"/>
        <v>1</v>
      </c>
      <c r="AB36" s="1903">
        <f t="shared" si="4"/>
        <v>1</v>
      </c>
      <c r="AC36" s="1903">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92"/>
      <c r="Q37" s="1899" t="str">
        <f t="shared" si="11"/>
        <v>成新度</v>
      </c>
      <c r="R37" s="753" t="s">
        <v>25</v>
      </c>
      <c r="S37" s="754" t="e">
        <f t="shared" si="12"/>
        <v>#N/A</v>
      </c>
      <c r="T37" s="753" t="s">
        <v>25</v>
      </c>
      <c r="U37" s="754" t="e">
        <f t="shared" si="13"/>
        <v>#N/A</v>
      </c>
      <c r="V37" s="753" t="s">
        <v>25</v>
      </c>
      <c r="W37" s="754" t="e">
        <f t="shared" si="14"/>
        <v>#N/A</v>
      </c>
      <c r="X37" s="1900"/>
      <c r="Y37" s="3071"/>
      <c r="Z37" s="1902" t="str">
        <f t="shared" si="15"/>
        <v>成新度</v>
      </c>
      <c r="AA37" s="1903" t="e">
        <f t="shared" si="3"/>
        <v>#N/A</v>
      </c>
      <c r="AB37" s="1903" t="e">
        <f t="shared" si="4"/>
        <v>#N/A</v>
      </c>
      <c r="AC37" s="1903"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2"/>
      <c r="Q38" s="1887" t="str">
        <f t="shared" si="11"/>
        <v>写字楼等级</v>
      </c>
      <c r="R38" s="749" t="s">
        <v>25</v>
      </c>
      <c r="S38" s="750">
        <f t="shared" si="12"/>
        <v>100</v>
      </c>
      <c r="T38" s="749" t="s">
        <v>25</v>
      </c>
      <c r="U38" s="750">
        <f t="shared" si="13"/>
        <v>100</v>
      </c>
      <c r="V38" s="749" t="s">
        <v>25</v>
      </c>
      <c r="W38" s="750">
        <f t="shared" si="14"/>
        <v>100</v>
      </c>
      <c r="X38" s="751"/>
      <c r="Y38" s="3071"/>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92" t="s">
        <v>2368</v>
      </c>
      <c r="Q39" s="1899" t="str">
        <f t="shared" si="11"/>
        <v>物业管理</v>
      </c>
      <c r="R39" s="753" t="s">
        <v>25</v>
      </c>
      <c r="S39" s="754">
        <f t="shared" si="12"/>
        <v>100</v>
      </c>
      <c r="T39" s="753" t="s">
        <v>25</v>
      </c>
      <c r="U39" s="754">
        <f t="shared" si="13"/>
        <v>100</v>
      </c>
      <c r="V39" s="753" t="s">
        <v>25</v>
      </c>
      <c r="W39" s="754">
        <f t="shared" si="14"/>
        <v>100</v>
      </c>
      <c r="X39" s="1900"/>
      <c r="Y39" s="3071" t="s">
        <v>2368</v>
      </c>
      <c r="Z39" s="1902" t="str">
        <f t="shared" si="15"/>
        <v>物业管理</v>
      </c>
      <c r="AA39" s="1903">
        <f t="shared" si="3"/>
        <v>1</v>
      </c>
      <c r="AB39" s="1903">
        <f t="shared" si="4"/>
        <v>1</v>
      </c>
      <c r="AC39" s="1903">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92"/>
      <c r="Q40" s="1899" t="str">
        <f t="shared" si="11"/>
        <v>市政基础设施</v>
      </c>
      <c r="R40" s="753" t="s">
        <v>25</v>
      </c>
      <c r="S40" s="754">
        <f t="shared" si="12"/>
        <v>100</v>
      </c>
      <c r="T40" s="753" t="s">
        <v>25</v>
      </c>
      <c r="U40" s="754">
        <f t="shared" si="13"/>
        <v>100</v>
      </c>
      <c r="V40" s="753" t="s">
        <v>25</v>
      </c>
      <c r="W40" s="754">
        <f t="shared" si="14"/>
        <v>100</v>
      </c>
      <c r="X40" s="1900"/>
      <c r="Y40" s="3071"/>
      <c r="Z40" s="1902" t="str">
        <f t="shared" si="15"/>
        <v>市政基础设施</v>
      </c>
      <c r="AA40" s="1903">
        <f t="shared" si="3"/>
        <v>1</v>
      </c>
      <c r="AB40" s="1903">
        <f t="shared" si="4"/>
        <v>1</v>
      </c>
      <c r="AC40" s="1903">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92"/>
      <c r="Q41" s="1899" t="str">
        <f t="shared" si="11"/>
        <v>层高</v>
      </c>
      <c r="R41" s="753" t="s">
        <v>25</v>
      </c>
      <c r="S41" s="754">
        <f t="shared" si="12"/>
        <v>100</v>
      </c>
      <c r="T41" s="753" t="s">
        <v>25</v>
      </c>
      <c r="U41" s="754">
        <f t="shared" si="13"/>
        <v>100</v>
      </c>
      <c r="V41" s="753" t="s">
        <v>25</v>
      </c>
      <c r="W41" s="754">
        <f t="shared" si="14"/>
        <v>100</v>
      </c>
      <c r="X41" s="1900"/>
      <c r="Y41" s="3071"/>
      <c r="Z41" s="1902" t="str">
        <f t="shared" si="15"/>
        <v>层高</v>
      </c>
      <c r="AA41" s="1903">
        <f t="shared" si="3"/>
        <v>1</v>
      </c>
      <c r="AB41" s="1903">
        <f t="shared" si="4"/>
        <v>1</v>
      </c>
      <c r="AC41" s="1903">
        <f t="shared" si="5"/>
        <v>1</v>
      </c>
    </row>
    <row r="42" spans="1:29" s="452" customFormat="1" ht="15">
      <c r="A42" s="449"/>
      <c r="B42" s="1904"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2"/>
      <c r="Q42" s="755" t="str">
        <f t="shared" si="11"/>
        <v>单套建筑面积</v>
      </c>
      <c r="R42" s="756" t="s">
        <v>25</v>
      </c>
      <c r="S42" s="757">
        <f t="shared" si="12"/>
        <v>100</v>
      </c>
      <c r="T42" s="756" t="s">
        <v>25</v>
      </c>
      <c r="U42" s="757">
        <f t="shared" si="13"/>
        <v>100</v>
      </c>
      <c r="V42" s="756" t="s">
        <v>25</v>
      </c>
      <c r="W42" s="757">
        <f t="shared" si="14"/>
        <v>100</v>
      </c>
      <c r="X42" s="758"/>
      <c r="Y42" s="3071"/>
      <c r="Z42" s="759" t="str">
        <f t="shared" si="15"/>
        <v>单套建筑面积</v>
      </c>
      <c r="AA42" s="1903">
        <f t="shared" si="3"/>
        <v>1</v>
      </c>
      <c r="AB42" s="1903">
        <f t="shared" si="4"/>
        <v>1</v>
      </c>
      <c r="AC42" s="1903">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92"/>
      <c r="Q43" s="1899" t="str">
        <f t="shared" si="11"/>
        <v>内部装修</v>
      </c>
      <c r="R43" s="753" t="s">
        <v>25</v>
      </c>
      <c r="S43" s="754">
        <f t="shared" si="12"/>
        <v>100</v>
      </c>
      <c r="T43" s="753" t="s">
        <v>25</v>
      </c>
      <c r="U43" s="754">
        <f t="shared" si="13"/>
        <v>100</v>
      </c>
      <c r="V43" s="753" t="s">
        <v>25</v>
      </c>
      <c r="W43" s="754">
        <f t="shared" si="14"/>
        <v>100</v>
      </c>
      <c r="X43" s="1900"/>
      <c r="Y43" s="3071"/>
      <c r="Z43" s="1902" t="str">
        <f t="shared" si="15"/>
        <v>内部装修</v>
      </c>
      <c r="AA43" s="1903">
        <f t="shared" si="3"/>
        <v>1</v>
      </c>
      <c r="AB43" s="1903">
        <f t="shared" si="4"/>
        <v>1</v>
      </c>
      <c r="AC43" s="1903">
        <f t="shared" si="5"/>
        <v>1</v>
      </c>
    </row>
    <row r="44" spans="1:29" ht="15">
      <c r="A44" s="453"/>
      <c r="B44" s="402" t="s">
        <v>2379</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92"/>
      <c r="Q44" s="1899" t="str">
        <f t="shared" si="11"/>
        <v>内部装修维护情况</v>
      </c>
      <c r="R44" s="753" t="s">
        <v>25</v>
      </c>
      <c r="S44" s="754">
        <f t="shared" si="12"/>
        <v>100</v>
      </c>
      <c r="T44" s="753" t="s">
        <v>25</v>
      </c>
      <c r="U44" s="754">
        <f t="shared" si="13"/>
        <v>100</v>
      </c>
      <c r="V44" s="753" t="s">
        <v>25</v>
      </c>
      <c r="W44" s="754">
        <f t="shared" si="14"/>
        <v>100</v>
      </c>
      <c r="X44" s="1900"/>
      <c r="Y44" s="3071"/>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2"/>
      <c r="Q45" s="1887">
        <f t="shared" si="11"/>
        <v>111</v>
      </c>
      <c r="R45" s="749" t="s">
        <v>25</v>
      </c>
      <c r="S45" s="750">
        <f t="shared" si="12"/>
        <v>100</v>
      </c>
      <c r="T45" s="749" t="s">
        <v>25</v>
      </c>
      <c r="U45" s="750">
        <f t="shared" si="13"/>
        <v>100</v>
      </c>
      <c r="V45" s="749" t="s">
        <v>25</v>
      </c>
      <c r="W45" s="750">
        <f t="shared" si="14"/>
        <v>100</v>
      </c>
      <c r="X45" s="751"/>
      <c r="Y45" s="3071"/>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2"/>
      <c r="Q46" s="1899">
        <f t="shared" si="11"/>
        <v>111</v>
      </c>
      <c r="R46" s="753" t="s">
        <v>25</v>
      </c>
      <c r="S46" s="754">
        <f t="shared" si="12"/>
        <v>100</v>
      </c>
      <c r="T46" s="753" t="s">
        <v>25</v>
      </c>
      <c r="U46" s="754">
        <f t="shared" si="13"/>
        <v>100</v>
      </c>
      <c r="V46" s="753" t="s">
        <v>25</v>
      </c>
      <c r="W46" s="754">
        <f t="shared" si="14"/>
        <v>100</v>
      </c>
      <c r="X46" s="1900"/>
      <c r="Y46" s="3071"/>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3"/>
      <c r="Q47" s="1899">
        <f t="shared" si="11"/>
        <v>111</v>
      </c>
      <c r="R47" s="753" t="s">
        <v>25</v>
      </c>
      <c r="S47" s="754">
        <f t="shared" si="12"/>
        <v>100</v>
      </c>
      <c r="T47" s="753" t="s">
        <v>25</v>
      </c>
      <c r="U47" s="754">
        <f t="shared" si="13"/>
        <v>100</v>
      </c>
      <c r="V47" s="753" t="s">
        <v>25</v>
      </c>
      <c r="W47" s="754">
        <f t="shared" si="14"/>
        <v>100</v>
      </c>
      <c r="X47" s="1900"/>
      <c r="Y47" s="3072"/>
      <c r="Z47" s="1902">
        <f t="shared" si="15"/>
        <v>111</v>
      </c>
      <c r="AA47" s="1903">
        <f t="shared" si="3"/>
        <v>1</v>
      </c>
      <c r="AB47" s="1903">
        <f t="shared" si="4"/>
        <v>1</v>
      </c>
      <c r="AC47" s="1903">
        <f t="shared" si="5"/>
        <v>1</v>
      </c>
    </row>
    <row r="48" spans="1:29" ht="15">
      <c r="A48" s="460" t="s">
        <v>2380</v>
      </c>
      <c r="B48" s="461"/>
      <c r="C48" s="1502" t="s">
        <v>1</v>
      </c>
      <c r="D48" s="1503"/>
      <c r="E48" s="1504"/>
      <c r="F48" s="1505"/>
      <c r="G48" s="1506"/>
      <c r="H48" s="1507"/>
      <c r="I48" s="1504"/>
      <c r="J48" s="1507"/>
      <c r="K48" s="762"/>
      <c r="L48" s="1256"/>
      <c r="M48" s="1244"/>
      <c r="N48" s="1244"/>
      <c r="O48" s="1244"/>
      <c r="P48" s="3084" t="str">
        <f>A48</f>
        <v>成交单价（元/平方米）</v>
      </c>
      <c r="Q48" s="3077"/>
      <c r="R48" s="3078">
        <f>E48</f>
        <v>0</v>
      </c>
      <c r="S48" s="3078"/>
      <c r="T48" s="3078">
        <f>G48</f>
        <v>0</v>
      </c>
      <c r="U48" s="3078"/>
      <c r="V48" s="3078">
        <f>I48</f>
        <v>0</v>
      </c>
      <c r="W48" s="3078"/>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84" t="str">
        <f>A49</f>
        <v>比较价值（元/平方米）</v>
      </c>
      <c r="Q49" s="3077"/>
      <c r="R49" s="3078" t="e">
        <f>IF(E1="售价",ROUND(PRODUCT(R48,AA7:AA47),0),ROUND(PRODUCT(R48,AA7:AA47),1))</f>
        <v>#DIV/0!</v>
      </c>
      <c r="S49" s="3078"/>
      <c r="T49" s="3078" t="e">
        <f>IF(E1="售价",ROUND(PRODUCT(T48,AB7:AB47),0),ROUND(PRODUCT(T48,AB7:AB47),1))</f>
        <v>#DIV/0!</v>
      </c>
      <c r="U49" s="3078"/>
      <c r="V49" s="3078" t="e">
        <f>IF(E1="售价",ROUND(PRODUCT(V48,AC7:AC47),0),ROUND(PRODUCT(V48,AC7:AC47),1))</f>
        <v>#DIV/0!</v>
      </c>
      <c r="W49" s="3078"/>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94" t="str">
        <f>A50</f>
        <v>估价对象XX用房的比较价值（楼面单价，元/平方米）</v>
      </c>
      <c r="Q50" s="3084"/>
      <c r="R50" s="3085" t="e">
        <f>IF(E1="售价",ROUND(AVERAGE(R49:V49),0),ROUND(AVERAGE(R49:V49),1))</f>
        <v>#DIV/0!</v>
      </c>
      <c r="S50" s="3085"/>
      <c r="T50" s="3085"/>
      <c r="U50" s="3085"/>
      <c r="V50" s="3085"/>
      <c r="W50" s="308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2492</v>
      </c>
      <c r="C1" s="1726"/>
      <c r="D1" s="1739"/>
      <c r="E1" s="2380"/>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IF(D2="——",IF(C2="元",ROUND(C43*D3,0),ROUND(C43*D3/10000,0)),IF(C2="元",ROUND(C43*D3,0),ROUND(C43*D3/10000,0))-E2)</f>
        <v>#DIV/0!</v>
      </c>
      <c r="C2" s="163" t="str">
        <f>'数据-取费表'!B3</f>
        <v>元</v>
      </c>
      <c r="D2" s="2382"/>
      <c r="E2" s="2474"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2336</v>
      </c>
      <c r="D3" s="378">
        <f>IF(C1="仅计算典型户型",'数据-取费表'!E5,'数据-取费表'!B5)</f>
        <v>140.46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1" t="s">
        <v>2338</v>
      </c>
      <c r="D4" s="3042"/>
      <c r="E4" s="3043" t="s">
        <v>2339</v>
      </c>
      <c r="F4" s="3044"/>
      <c r="G4" s="3041" t="s">
        <v>2340</v>
      </c>
      <c r="H4" s="3042"/>
      <c r="I4" s="3041" t="s">
        <v>2341</v>
      </c>
      <c r="J4" s="3042"/>
      <c r="K4" s="594"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39" t="s">
        <v>2340</v>
      </c>
      <c r="AC4" s="3038" t="s">
        <v>2341</v>
      </c>
    </row>
    <row r="5" spans="1:29" ht="15">
      <c r="A5" s="383"/>
      <c r="B5" s="384"/>
      <c r="C5" s="3086" t="s">
        <v>2344</v>
      </c>
      <c r="D5" s="3061"/>
      <c r="E5" s="3087" t="s">
        <v>2345</v>
      </c>
      <c r="F5" s="3059"/>
      <c r="G5" s="3086" t="s">
        <v>2346</v>
      </c>
      <c r="H5" s="3061"/>
      <c r="I5" s="3086" t="s">
        <v>2347</v>
      </c>
      <c r="J5" s="3061"/>
      <c r="K5" s="594"/>
      <c r="L5" s="1243"/>
      <c r="M5" s="1244"/>
      <c r="N5" s="1244"/>
      <c r="O5" s="1244"/>
      <c r="P5" s="3047"/>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594" t="s">
        <v>2349</v>
      </c>
      <c r="L6" s="1243"/>
      <c r="M6" s="1244"/>
      <c r="N6" s="1244"/>
      <c r="O6" s="1244"/>
      <c r="P6" s="3049"/>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3" t="s">
        <v>2351</v>
      </c>
      <c r="Q7" s="3075"/>
      <c r="R7" s="749" t="s">
        <v>25</v>
      </c>
      <c r="S7" s="750">
        <f t="shared" ref="S7:S15" si="0">F7</f>
        <v>0</v>
      </c>
      <c r="T7" s="749" t="s">
        <v>25</v>
      </c>
      <c r="U7" s="750">
        <f t="shared" ref="U7:U15" si="1">H7</f>
        <v>0</v>
      </c>
      <c r="V7" s="749" t="s">
        <v>25</v>
      </c>
      <c r="W7" s="750">
        <f t="shared" ref="W7:W15" si="2">J7</f>
        <v>0</v>
      </c>
      <c r="X7" s="751"/>
      <c r="Y7" s="3073" t="s">
        <v>2351</v>
      </c>
      <c r="Z7" s="3074"/>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3" t="s">
        <v>2354</v>
      </c>
      <c r="Q8" s="3074"/>
      <c r="R8" s="749" t="s">
        <v>25</v>
      </c>
      <c r="S8" s="750">
        <f t="shared" si="0"/>
        <v>100</v>
      </c>
      <c r="T8" s="749" t="s">
        <v>25</v>
      </c>
      <c r="U8" s="750">
        <f t="shared" si="1"/>
        <v>100</v>
      </c>
      <c r="V8" s="749" t="s">
        <v>25</v>
      </c>
      <c r="W8" s="750">
        <f t="shared" si="2"/>
        <v>100</v>
      </c>
      <c r="X8" s="751"/>
      <c r="Y8" s="3073" t="s">
        <v>2354</v>
      </c>
      <c r="Z8" s="3074"/>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7"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7"/>
      <c r="Q10" s="1887"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7"/>
      <c r="Q11" s="1887"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77"/>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77"/>
      <c r="Q14" s="1887">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66" t="s">
        <v>2362</v>
      </c>
      <c r="Q15" s="1899" t="str">
        <f t="shared" si="6"/>
        <v>产业集聚程度</v>
      </c>
      <c r="R15" s="753" t="s">
        <v>25</v>
      </c>
      <c r="S15" s="754">
        <f t="shared" si="0"/>
        <v>100</v>
      </c>
      <c r="T15" s="753" t="s">
        <v>25</v>
      </c>
      <c r="U15" s="754">
        <f t="shared" si="1"/>
        <v>100</v>
      </c>
      <c r="V15" s="753" t="s">
        <v>25</v>
      </c>
      <c r="W15" s="754">
        <f t="shared" si="2"/>
        <v>100</v>
      </c>
      <c r="X15" s="1900"/>
      <c r="Y15" s="3066"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67"/>
      <c r="Q16" s="1899"/>
      <c r="R16" s="753"/>
      <c r="S16" s="754"/>
      <c r="T16" s="753"/>
      <c r="U16" s="754"/>
      <c r="V16" s="753"/>
      <c r="W16" s="754"/>
      <c r="X16" s="1900"/>
      <c r="Y16" s="3067"/>
      <c r="Z16" s="1902"/>
      <c r="AA16" s="1903">
        <v>1</v>
      </c>
      <c r="AB16" s="1903">
        <v>1</v>
      </c>
      <c r="AC16" s="1903">
        <v>1</v>
      </c>
    </row>
    <row r="17" spans="1:29" ht="85.5">
      <c r="A17" s="408"/>
      <c r="B17" s="431" t="s">
        <v>1746</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67"/>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67"/>
      <c r="Q18" s="1899"/>
      <c r="R18" s="753"/>
      <c r="S18" s="754"/>
      <c r="T18" s="753"/>
      <c r="U18" s="754"/>
      <c r="V18" s="753"/>
      <c r="W18" s="754"/>
      <c r="X18" s="1900"/>
      <c r="Y18" s="3067"/>
      <c r="Z18" s="1902"/>
      <c r="AA18" s="1903">
        <v>1</v>
      </c>
      <c r="AB18" s="1903">
        <v>1</v>
      </c>
      <c r="AC18" s="1903">
        <v>1</v>
      </c>
    </row>
    <row r="19" spans="1:29" ht="42.75">
      <c r="A19" s="408"/>
      <c r="B19" s="615" t="s">
        <v>2477</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67"/>
      <c r="Q19" s="1899" t="str">
        <f>B19</f>
        <v>公共配套设施</v>
      </c>
      <c r="R19" s="753" t="s">
        <v>25</v>
      </c>
      <c r="S19" s="754">
        <f>F19</f>
        <v>100</v>
      </c>
      <c r="T19" s="753" t="s">
        <v>25</v>
      </c>
      <c r="U19" s="754">
        <f>H19</f>
        <v>100</v>
      </c>
      <c r="V19" s="753" t="s">
        <v>25</v>
      </c>
      <c r="W19" s="754">
        <f>J19</f>
        <v>100</v>
      </c>
      <c r="X19" s="1900"/>
      <c r="Y19" s="3067"/>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67"/>
      <c r="Q20" s="1899"/>
      <c r="R20" s="753"/>
      <c r="S20" s="754"/>
      <c r="T20" s="753"/>
      <c r="U20" s="754"/>
      <c r="V20" s="753"/>
      <c r="W20" s="754"/>
      <c r="X20" s="1900"/>
      <c r="Y20" s="3067"/>
      <c r="Z20" s="1902"/>
      <c r="AA20" s="1903">
        <v>1</v>
      </c>
      <c r="AB20" s="1903">
        <v>1</v>
      </c>
      <c r="AC20" s="1903">
        <v>1</v>
      </c>
    </row>
    <row r="21" spans="1:29" ht="28.5">
      <c r="A21" s="408"/>
      <c r="B21" s="617" t="s">
        <v>2478</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67"/>
      <c r="Q21" s="1899" t="str">
        <f>B21</f>
        <v>基础设施水平</v>
      </c>
      <c r="R21" s="753" t="s">
        <v>25</v>
      </c>
      <c r="S21" s="754">
        <f>F21</f>
        <v>100</v>
      </c>
      <c r="T21" s="753" t="s">
        <v>25</v>
      </c>
      <c r="U21" s="754">
        <f>H21</f>
        <v>100</v>
      </c>
      <c r="V21" s="753" t="s">
        <v>25</v>
      </c>
      <c r="W21" s="754">
        <f>J21</f>
        <v>100</v>
      </c>
      <c r="X21" s="1900"/>
      <c r="Y21" s="306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67"/>
      <c r="Q22" s="1899"/>
      <c r="R22" s="753"/>
      <c r="S22" s="754"/>
      <c r="T22" s="753"/>
      <c r="U22" s="754"/>
      <c r="V22" s="753"/>
      <c r="W22" s="754"/>
      <c r="X22" s="1900"/>
      <c r="Y22" s="3067"/>
      <c r="Z22" s="1902"/>
      <c r="AA22" s="1903">
        <v>1</v>
      </c>
      <c r="AB22" s="1903">
        <v>1</v>
      </c>
      <c r="AC22" s="1903">
        <v>1</v>
      </c>
    </row>
    <row r="23" spans="1:29" ht="71.25">
      <c r="A23" s="408"/>
      <c r="B23" s="431" t="s">
        <v>2479</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67"/>
      <c r="Q23" s="1899" t="str">
        <f>B23</f>
        <v>环境质量</v>
      </c>
      <c r="R23" s="753" t="s">
        <v>25</v>
      </c>
      <c r="S23" s="754">
        <f>F23</f>
        <v>100</v>
      </c>
      <c r="T23" s="753" t="s">
        <v>25</v>
      </c>
      <c r="U23" s="754">
        <f>H23</f>
        <v>100</v>
      </c>
      <c r="V23" s="753" t="s">
        <v>25</v>
      </c>
      <c r="W23" s="754">
        <f>J23</f>
        <v>100</v>
      </c>
      <c r="X23" s="1900"/>
      <c r="Y23" s="3067"/>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67"/>
      <c r="Q24" s="1899"/>
      <c r="R24" s="753"/>
      <c r="S24" s="754"/>
      <c r="T24" s="753"/>
      <c r="U24" s="754"/>
      <c r="V24" s="753"/>
      <c r="W24" s="754"/>
      <c r="X24" s="1900"/>
      <c r="Y24" s="3067"/>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67"/>
      <c r="Q25" s="1899">
        <f>B25</f>
        <v>111</v>
      </c>
      <c r="R25" s="753" t="s">
        <v>25</v>
      </c>
      <c r="S25" s="754">
        <f>F25</f>
        <v>100</v>
      </c>
      <c r="T25" s="753" t="s">
        <v>25</v>
      </c>
      <c r="U25" s="754">
        <f>H25</f>
        <v>100</v>
      </c>
      <c r="V25" s="753" t="s">
        <v>25</v>
      </c>
      <c r="W25" s="754">
        <f>J25</f>
        <v>100</v>
      </c>
      <c r="X25" s="1900"/>
      <c r="Y25" s="3067"/>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67"/>
      <c r="Q26" s="1899">
        <f t="shared" ref="Q26:Q40" si="11">B26</f>
        <v>111</v>
      </c>
      <c r="R26" s="753" t="s">
        <v>25</v>
      </c>
      <c r="S26" s="754">
        <f>F26</f>
        <v>100</v>
      </c>
      <c r="T26" s="753" t="s">
        <v>25</v>
      </c>
      <c r="U26" s="754">
        <f>H26</f>
        <v>100</v>
      </c>
      <c r="V26" s="753" t="s">
        <v>25</v>
      </c>
      <c r="W26" s="754">
        <f>J26</f>
        <v>100</v>
      </c>
      <c r="X26" s="1900"/>
      <c r="Y26" s="3067"/>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67"/>
      <c r="Q27" s="1887">
        <f t="shared" si="11"/>
        <v>111</v>
      </c>
      <c r="R27" s="749" t="s">
        <v>25</v>
      </c>
      <c r="S27" s="750">
        <f>F27</f>
        <v>100</v>
      </c>
      <c r="T27" s="749" t="s">
        <v>25</v>
      </c>
      <c r="U27" s="750">
        <f>H27</f>
        <v>100</v>
      </c>
      <c r="V27" s="749" t="s">
        <v>25</v>
      </c>
      <c r="W27" s="750">
        <f>J27</f>
        <v>100</v>
      </c>
      <c r="X27" s="751"/>
      <c r="Y27" s="3067"/>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67"/>
      <c r="Q28" s="1899">
        <f t="shared" si="11"/>
        <v>111</v>
      </c>
      <c r="R28" s="753" t="s">
        <v>25</v>
      </c>
      <c r="S28" s="754">
        <f t="shared" ref="S28:S40" si="12">F28</f>
        <v>100</v>
      </c>
      <c r="T28" s="753" t="s">
        <v>25</v>
      </c>
      <c r="U28" s="754">
        <f t="shared" ref="U28:U40" si="13">H28</f>
        <v>100</v>
      </c>
      <c r="V28" s="753" t="s">
        <v>25</v>
      </c>
      <c r="W28" s="754">
        <f t="shared" ref="W28:W40" si="14">J28</f>
        <v>100</v>
      </c>
      <c r="X28" s="1900"/>
      <c r="Y28" s="3067"/>
      <c r="Z28" s="1902">
        <f t="shared" ref="Z28:Z40" si="15">Q28</f>
        <v>111</v>
      </c>
      <c r="AA28" s="1903">
        <f t="shared" si="3"/>
        <v>1</v>
      </c>
      <c r="AB28" s="1903">
        <f t="shared" si="4"/>
        <v>1</v>
      </c>
      <c r="AC28" s="1903">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95" t="s">
        <v>2368</v>
      </c>
      <c r="Q29" s="1899" t="str">
        <f t="shared" si="11"/>
        <v>建筑类型</v>
      </c>
      <c r="R29" s="753" t="s">
        <v>25</v>
      </c>
      <c r="S29" s="754">
        <f t="shared" si="12"/>
        <v>100</v>
      </c>
      <c r="T29" s="753" t="s">
        <v>25</v>
      </c>
      <c r="U29" s="754">
        <f t="shared" si="13"/>
        <v>100</v>
      </c>
      <c r="V29" s="753" t="s">
        <v>25</v>
      </c>
      <c r="W29" s="754">
        <f t="shared" si="14"/>
        <v>100</v>
      </c>
      <c r="X29" s="1900"/>
      <c r="Y29" s="3071"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71"/>
      <c r="Q30" s="755" t="str">
        <f t="shared" si="11"/>
        <v>项目建筑规模</v>
      </c>
      <c r="R30" s="756" t="s">
        <v>25</v>
      </c>
      <c r="S30" s="757" t="e">
        <f t="shared" si="12"/>
        <v>#N/A</v>
      </c>
      <c r="T30" s="756" t="s">
        <v>25</v>
      </c>
      <c r="U30" s="757" t="e">
        <f t="shared" si="13"/>
        <v>#N/A</v>
      </c>
      <c r="V30" s="756" t="s">
        <v>25</v>
      </c>
      <c r="W30" s="757" t="e">
        <f t="shared" si="14"/>
        <v>#N/A</v>
      </c>
      <c r="X30" s="758"/>
      <c r="Y30" s="3071"/>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71"/>
      <c r="Q31" s="1899" t="str">
        <f t="shared" si="11"/>
        <v>建筑结构</v>
      </c>
      <c r="R31" s="753" t="s">
        <v>25</v>
      </c>
      <c r="S31" s="754">
        <f t="shared" si="12"/>
        <v>100</v>
      </c>
      <c r="T31" s="753" t="s">
        <v>25</v>
      </c>
      <c r="U31" s="754">
        <f t="shared" si="13"/>
        <v>100</v>
      </c>
      <c r="V31" s="753" t="s">
        <v>25</v>
      </c>
      <c r="W31" s="754">
        <f t="shared" si="14"/>
        <v>100</v>
      </c>
      <c r="X31" s="1900"/>
      <c r="Y31" s="3071"/>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71"/>
      <c r="Q32" s="1899" t="str">
        <f t="shared" si="11"/>
        <v>公共部分装修</v>
      </c>
      <c r="R32" s="753" t="s">
        <v>25</v>
      </c>
      <c r="S32" s="754">
        <f t="shared" si="12"/>
        <v>100</v>
      </c>
      <c r="T32" s="753" t="s">
        <v>25</v>
      </c>
      <c r="U32" s="754">
        <f t="shared" si="13"/>
        <v>100</v>
      </c>
      <c r="V32" s="753" t="s">
        <v>25</v>
      </c>
      <c r="W32" s="754">
        <f t="shared" si="14"/>
        <v>100</v>
      </c>
      <c r="X32" s="1900"/>
      <c r="Y32" s="3071"/>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71"/>
      <c r="Q33" s="1899" t="str">
        <f t="shared" si="11"/>
        <v>成新度</v>
      </c>
      <c r="R33" s="753" t="s">
        <v>25</v>
      </c>
      <c r="S33" s="754" t="e">
        <f t="shared" si="12"/>
        <v>#N/A</v>
      </c>
      <c r="T33" s="753" t="s">
        <v>25</v>
      </c>
      <c r="U33" s="754" t="e">
        <f t="shared" si="13"/>
        <v>#N/A</v>
      </c>
      <c r="V33" s="753" t="s">
        <v>25</v>
      </c>
      <c r="W33" s="754" t="e">
        <f t="shared" si="14"/>
        <v>#N/A</v>
      </c>
      <c r="X33" s="1900"/>
      <c r="Y33" s="3071"/>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71"/>
      <c r="Q34" s="1887" t="str">
        <f t="shared" si="11"/>
        <v>物业管理</v>
      </c>
      <c r="R34" s="749" t="s">
        <v>25</v>
      </c>
      <c r="S34" s="750">
        <f t="shared" si="12"/>
        <v>100</v>
      </c>
      <c r="T34" s="749" t="s">
        <v>25</v>
      </c>
      <c r="U34" s="750">
        <f t="shared" si="13"/>
        <v>100</v>
      </c>
      <c r="V34" s="749" t="s">
        <v>25</v>
      </c>
      <c r="W34" s="750">
        <f t="shared" si="14"/>
        <v>100</v>
      </c>
      <c r="X34" s="751"/>
      <c r="Y34" s="3071"/>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71" t="s">
        <v>2368</v>
      </c>
      <c r="Q35" s="1899" t="str">
        <f t="shared" si="11"/>
        <v>市政基础设施</v>
      </c>
      <c r="R35" s="753" t="s">
        <v>25</v>
      </c>
      <c r="S35" s="754">
        <f t="shared" si="12"/>
        <v>100</v>
      </c>
      <c r="T35" s="753" t="s">
        <v>25</v>
      </c>
      <c r="U35" s="754">
        <f t="shared" si="13"/>
        <v>100</v>
      </c>
      <c r="V35" s="753" t="s">
        <v>25</v>
      </c>
      <c r="W35" s="754">
        <f t="shared" si="14"/>
        <v>100</v>
      </c>
      <c r="X35" s="1900"/>
      <c r="Y35" s="3071"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71"/>
      <c r="Q36" s="1899" t="str">
        <f t="shared" si="11"/>
        <v>内部装修</v>
      </c>
      <c r="R36" s="753" t="s">
        <v>25</v>
      </c>
      <c r="S36" s="754">
        <f t="shared" si="12"/>
        <v>100</v>
      </c>
      <c r="T36" s="753" t="s">
        <v>25</v>
      </c>
      <c r="U36" s="754">
        <f t="shared" si="13"/>
        <v>100</v>
      </c>
      <c r="V36" s="753" t="s">
        <v>25</v>
      </c>
      <c r="W36" s="754">
        <f t="shared" si="14"/>
        <v>100</v>
      </c>
      <c r="X36" s="1900"/>
      <c r="Y36" s="3071"/>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71"/>
      <c r="Q37" s="1899" t="str">
        <f t="shared" si="11"/>
        <v>内部装修状况</v>
      </c>
      <c r="R37" s="753" t="s">
        <v>25</v>
      </c>
      <c r="S37" s="754">
        <f t="shared" si="12"/>
        <v>0</v>
      </c>
      <c r="T37" s="753" t="s">
        <v>25</v>
      </c>
      <c r="U37" s="754">
        <f t="shared" si="13"/>
        <v>0</v>
      </c>
      <c r="V37" s="753" t="s">
        <v>25</v>
      </c>
      <c r="W37" s="754">
        <f t="shared" si="14"/>
        <v>0</v>
      </c>
      <c r="X37" s="1900"/>
      <c r="Y37" s="3071"/>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71"/>
      <c r="Q38" s="755">
        <f t="shared" si="11"/>
        <v>111</v>
      </c>
      <c r="R38" s="756" t="s">
        <v>25</v>
      </c>
      <c r="S38" s="757">
        <f t="shared" si="12"/>
        <v>100</v>
      </c>
      <c r="T38" s="756" t="s">
        <v>25</v>
      </c>
      <c r="U38" s="757">
        <f t="shared" si="13"/>
        <v>100</v>
      </c>
      <c r="V38" s="756" t="s">
        <v>25</v>
      </c>
      <c r="W38" s="757">
        <f t="shared" si="14"/>
        <v>100</v>
      </c>
      <c r="X38" s="758"/>
      <c r="Y38" s="3071"/>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71"/>
      <c r="Q39" s="1899">
        <f t="shared" si="11"/>
        <v>111</v>
      </c>
      <c r="R39" s="753" t="s">
        <v>25</v>
      </c>
      <c r="S39" s="754">
        <f t="shared" si="12"/>
        <v>100</v>
      </c>
      <c r="T39" s="753" t="s">
        <v>25</v>
      </c>
      <c r="U39" s="754">
        <f t="shared" si="13"/>
        <v>100</v>
      </c>
      <c r="V39" s="753" t="s">
        <v>25</v>
      </c>
      <c r="W39" s="754">
        <f t="shared" si="14"/>
        <v>100</v>
      </c>
      <c r="X39" s="1900"/>
      <c r="Y39" s="3071"/>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72"/>
      <c r="Q40" s="1899">
        <f t="shared" si="11"/>
        <v>111</v>
      </c>
      <c r="R40" s="753" t="s">
        <v>25</v>
      </c>
      <c r="S40" s="754">
        <f t="shared" si="12"/>
        <v>100</v>
      </c>
      <c r="T40" s="753" t="s">
        <v>25</v>
      </c>
      <c r="U40" s="754">
        <f t="shared" si="13"/>
        <v>100</v>
      </c>
      <c r="V40" s="753" t="s">
        <v>25</v>
      </c>
      <c r="W40" s="754">
        <f t="shared" si="14"/>
        <v>100</v>
      </c>
      <c r="X40" s="1900"/>
      <c r="Y40" s="3072"/>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77" t="str">
        <f>A41</f>
        <v>成交单价（元/平方米）</v>
      </c>
      <c r="Q41" s="3077"/>
      <c r="R41" s="3078">
        <f>E41</f>
        <v>0</v>
      </c>
      <c r="S41" s="3078"/>
      <c r="T41" s="3078">
        <f>G41</f>
        <v>0</v>
      </c>
      <c r="U41" s="3078"/>
      <c r="V41" s="3078">
        <f>I41</f>
        <v>0</v>
      </c>
      <c r="W41" s="3078"/>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77" t="str">
        <f>A42</f>
        <v>比较价值（元/平方米）</v>
      </c>
      <c r="Q42" s="3077"/>
      <c r="R42" s="3078" t="e">
        <f>IF(E1="售价",ROUND(PRODUCT(R41,AA7:AA40),0),ROUND(PRODUCT(R41,AA7:AA40),1))</f>
        <v>#DIV/0!</v>
      </c>
      <c r="S42" s="3078"/>
      <c r="T42" s="3078" t="e">
        <f>IF(E1="售价",ROUND(PRODUCT(T41,AB7:AB40),0),ROUND(PRODUCT(T41,AB7:AB40),1))</f>
        <v>#DIV/0!</v>
      </c>
      <c r="U42" s="3078"/>
      <c r="V42" s="3078" t="e">
        <f>IF(E1="售价",ROUND(PRODUCT(V41,AC7:AC40),0),ROUND(PRODUCT(V41,AC7:AC40),1))</f>
        <v>#DIV/0!</v>
      </c>
      <c r="W42" s="3078"/>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83" t="str">
        <f>A43</f>
        <v>估价对象XX用房的比较价值（楼面单价，元/平方米）</v>
      </c>
      <c r="Q43" s="3084"/>
      <c r="R43" s="3085" t="e">
        <f>IF(E1="售价",ROUND(AVERAGE(R42:V42),0),ROUND(AVERAGE(R42:V42),1))</f>
        <v>#DIV/0!</v>
      </c>
      <c r="S43" s="3085"/>
      <c r="T43" s="3085"/>
      <c r="U43" s="3085"/>
      <c r="V43" s="3085"/>
      <c r="W43" s="308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0"/>
      <c r="E1" s="2380"/>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2336</v>
      </c>
      <c r="D3" s="378">
        <f>IF(C1="仅计算典型户型",'数据-取费表'!E5,'数据-取费表'!B5)</f>
        <v>140.46</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41" t="s">
        <v>2338</v>
      </c>
      <c r="D4" s="3042"/>
      <c r="E4" s="3043" t="s">
        <v>2339</v>
      </c>
      <c r="F4" s="3044"/>
      <c r="G4" s="3041" t="s">
        <v>2340</v>
      </c>
      <c r="H4" s="3042"/>
      <c r="I4" s="3041" t="s">
        <v>2341</v>
      </c>
      <c r="J4" s="3042"/>
      <c r="K4" s="594" t="s">
        <v>2342</v>
      </c>
      <c r="L4" s="1514"/>
      <c r="M4" s="425"/>
      <c r="N4" s="425"/>
      <c r="O4" s="425"/>
      <c r="P4" s="3045" t="s">
        <v>2343</v>
      </c>
      <c r="Q4" s="3046"/>
      <c r="R4" s="3051" t="s">
        <v>2339</v>
      </c>
      <c r="S4" s="3052"/>
      <c r="T4" s="3051" t="s">
        <v>2340</v>
      </c>
      <c r="U4" s="3052"/>
      <c r="V4" s="3057" t="s">
        <v>2341</v>
      </c>
      <c r="W4" s="3057"/>
      <c r="X4" s="1900"/>
      <c r="Y4" s="3051" t="s">
        <v>2343</v>
      </c>
      <c r="Z4" s="3052"/>
      <c r="AA4" s="3038" t="s">
        <v>2339</v>
      </c>
      <c r="AB4" s="3039" t="s">
        <v>2340</v>
      </c>
      <c r="AC4" s="3038" t="s">
        <v>2341</v>
      </c>
    </row>
    <row r="5" spans="1:29" ht="15">
      <c r="A5" s="383"/>
      <c r="B5" s="384"/>
      <c r="C5" s="3086" t="s">
        <v>2344</v>
      </c>
      <c r="D5" s="3061"/>
      <c r="E5" s="3087" t="s">
        <v>2345</v>
      </c>
      <c r="F5" s="3059"/>
      <c r="G5" s="3086" t="s">
        <v>2346</v>
      </c>
      <c r="H5" s="3061"/>
      <c r="I5" s="3086" t="s">
        <v>2347</v>
      </c>
      <c r="J5" s="3061"/>
      <c r="K5" s="594"/>
      <c r="L5" s="1514"/>
      <c r="M5" s="425"/>
      <c r="N5" s="425"/>
      <c r="O5" s="425"/>
      <c r="P5" s="3047"/>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594" t="s">
        <v>2349</v>
      </c>
      <c r="L6" s="1514"/>
      <c r="M6" s="425"/>
      <c r="N6" s="425"/>
      <c r="O6" s="425"/>
      <c r="P6" s="3049"/>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3" t="s">
        <v>2351</v>
      </c>
      <c r="Q7" s="3075"/>
      <c r="R7" s="749" t="s">
        <v>25</v>
      </c>
      <c r="S7" s="750">
        <f t="shared" ref="S7:S14" si="0">F7</f>
        <v>0</v>
      </c>
      <c r="T7" s="749" t="s">
        <v>25</v>
      </c>
      <c r="U7" s="750">
        <f t="shared" ref="U7:U14" si="1">H7</f>
        <v>0</v>
      </c>
      <c r="V7" s="749" t="s">
        <v>25</v>
      </c>
      <c r="W7" s="750">
        <f t="shared" ref="W7:W14" si="2">J7</f>
        <v>0</v>
      </c>
      <c r="X7" s="751"/>
      <c r="Y7" s="3073" t="s">
        <v>2351</v>
      </c>
      <c r="Z7" s="3074"/>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3" t="s">
        <v>2354</v>
      </c>
      <c r="Q8" s="3074"/>
      <c r="R8" s="749" t="s">
        <v>25</v>
      </c>
      <c r="S8" s="750">
        <f t="shared" si="0"/>
        <v>0</v>
      </c>
      <c r="T8" s="749" t="s">
        <v>25</v>
      </c>
      <c r="U8" s="750">
        <f t="shared" si="1"/>
        <v>0</v>
      </c>
      <c r="V8" s="749" t="s">
        <v>25</v>
      </c>
      <c r="W8" s="750">
        <f t="shared" si="2"/>
        <v>0</v>
      </c>
      <c r="X8" s="751"/>
      <c r="Y8" s="3073" t="s">
        <v>2354</v>
      </c>
      <c r="Z8" s="3074"/>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77" t="s">
        <v>2357</v>
      </c>
      <c r="Q9" s="1887" t="str">
        <f t="shared" ref="Q9:Q14" si="6">B9</f>
        <v>用途</v>
      </c>
      <c r="R9" s="749" t="s">
        <v>25</v>
      </c>
      <c r="S9" s="750">
        <f t="shared" si="0"/>
        <v>100</v>
      </c>
      <c r="T9" s="749" t="s">
        <v>25</v>
      </c>
      <c r="U9" s="750">
        <f t="shared" si="1"/>
        <v>100</v>
      </c>
      <c r="V9" s="749" t="s">
        <v>25</v>
      </c>
      <c r="W9" s="750">
        <f t="shared" si="2"/>
        <v>100</v>
      </c>
      <c r="X9" s="751"/>
      <c r="Y9" s="2889"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77"/>
      <c r="Q10" s="1887"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7"/>
      <c r="Q11" s="1887">
        <f t="shared" si="6"/>
        <v>111</v>
      </c>
      <c r="R11" s="749" t="s">
        <v>25</v>
      </c>
      <c r="S11" s="750">
        <f t="shared" si="0"/>
        <v>100</v>
      </c>
      <c r="T11" s="749" t="s">
        <v>25</v>
      </c>
      <c r="U11" s="750">
        <f t="shared" si="1"/>
        <v>100</v>
      </c>
      <c r="V11" s="749" t="s">
        <v>25</v>
      </c>
      <c r="W11" s="750">
        <f t="shared" si="2"/>
        <v>100</v>
      </c>
      <c r="X11" s="751"/>
      <c r="Y11" s="288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7"/>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7"/>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99.75">
      <c r="A14" s="380" t="s">
        <v>2361</v>
      </c>
      <c r="B14" s="613" t="s">
        <v>2505</v>
      </c>
      <c r="C14" s="1480" t="str">
        <f>IF(B1="工业",估价对象房地状况!G4,估价对象房地状况!C6)</f>
        <v>估价对象紧邻京周路，有901快车、839等多条公交线路及地铁燕房线燕山线通过，交通便捷度良好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66" t="s">
        <v>2362</v>
      </c>
      <c r="Q14" s="1899" t="str">
        <f t="shared" si="6"/>
        <v>交通便捷度</v>
      </c>
      <c r="R14" s="753" t="s">
        <v>25</v>
      </c>
      <c r="S14" s="754">
        <f t="shared" si="0"/>
        <v>100</v>
      </c>
      <c r="T14" s="753" t="s">
        <v>25</v>
      </c>
      <c r="U14" s="754">
        <f t="shared" si="1"/>
        <v>100</v>
      </c>
      <c r="V14" s="753" t="s">
        <v>25</v>
      </c>
      <c r="W14" s="754">
        <f t="shared" si="2"/>
        <v>100</v>
      </c>
      <c r="X14" s="1900"/>
      <c r="Y14" s="3066"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67"/>
      <c r="Q15" s="1899"/>
      <c r="R15" s="753"/>
      <c r="S15" s="754"/>
      <c r="T15" s="753"/>
      <c r="U15" s="754"/>
      <c r="V15" s="753"/>
      <c r="W15" s="754"/>
      <c r="X15" s="1900"/>
      <c r="Y15" s="3067"/>
      <c r="Z15" s="1902"/>
      <c r="AA15" s="1903">
        <v>1</v>
      </c>
      <c r="AB15" s="1903">
        <v>1</v>
      </c>
      <c r="AC15" s="1903">
        <v>1</v>
      </c>
    </row>
    <row r="16" spans="1:29" ht="42.75">
      <c r="A16" s="383"/>
      <c r="B16" s="615" t="s">
        <v>2477</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67"/>
      <c r="Q16" s="1899" t="str">
        <f>B16</f>
        <v>公共配套设施</v>
      </c>
      <c r="R16" s="753" t="s">
        <v>25</v>
      </c>
      <c r="S16" s="754">
        <f>F16</f>
        <v>100</v>
      </c>
      <c r="T16" s="753" t="s">
        <v>25</v>
      </c>
      <c r="U16" s="754">
        <f>H16</f>
        <v>100</v>
      </c>
      <c r="V16" s="753" t="s">
        <v>25</v>
      </c>
      <c r="W16" s="754">
        <f>J16</f>
        <v>100</v>
      </c>
      <c r="X16" s="1900"/>
      <c r="Y16" s="306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67"/>
      <c r="Q17" s="1899"/>
      <c r="R17" s="753"/>
      <c r="S17" s="754"/>
      <c r="T17" s="753"/>
      <c r="U17" s="754"/>
      <c r="V17" s="753"/>
      <c r="W17" s="754"/>
      <c r="X17" s="1900"/>
      <c r="Y17" s="3067"/>
      <c r="Z17" s="1902"/>
      <c r="AA17" s="1903">
        <v>1</v>
      </c>
      <c r="AB17" s="1903">
        <v>1</v>
      </c>
      <c r="AC17" s="1903">
        <v>1</v>
      </c>
    </row>
    <row r="18" spans="1:29" ht="15">
      <c r="A18" s="383"/>
      <c r="B18" s="617" t="s">
        <v>2478</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67"/>
      <c r="Q18" s="1899" t="str">
        <f>B18</f>
        <v>基础设施水平</v>
      </c>
      <c r="R18" s="753" t="s">
        <v>25</v>
      </c>
      <c r="S18" s="754">
        <f>F18</f>
        <v>100</v>
      </c>
      <c r="T18" s="753" t="s">
        <v>25</v>
      </c>
      <c r="U18" s="754">
        <f>H18</f>
        <v>100</v>
      </c>
      <c r="V18" s="753" t="s">
        <v>25</v>
      </c>
      <c r="W18" s="754">
        <f>J18</f>
        <v>100</v>
      </c>
      <c r="X18" s="1900"/>
      <c r="Y18" s="306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67"/>
      <c r="Q19" s="1899"/>
      <c r="R19" s="753"/>
      <c r="S19" s="754"/>
      <c r="T19" s="753"/>
      <c r="U19" s="754"/>
      <c r="V19" s="753"/>
      <c r="W19" s="754"/>
      <c r="X19" s="1900"/>
      <c r="Y19" s="3067"/>
      <c r="Z19" s="1902"/>
      <c r="AA19" s="1903">
        <v>1</v>
      </c>
      <c r="AB19" s="1903">
        <v>1</v>
      </c>
      <c r="AC19" s="1903">
        <v>1</v>
      </c>
    </row>
    <row r="20" spans="1:29" ht="99.75">
      <c r="A20" s="383"/>
      <c r="B20" s="615" t="s">
        <v>2506</v>
      </c>
      <c r="C20" s="1482" t="str">
        <f>IF(B1="工业",估价对象房地状况!G7,估价对象房地状况!C9)</f>
        <v>自然环境有大石河水系（距离4公里）；人文环境有北京理工大学（房山分校）；综合评价环境状况较好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67"/>
      <c r="Q20" s="1899" t="str">
        <f>B20</f>
        <v>自然及人文环境</v>
      </c>
      <c r="R20" s="753" t="s">
        <v>25</v>
      </c>
      <c r="S20" s="754">
        <f>F20</f>
        <v>100</v>
      </c>
      <c r="T20" s="753" t="s">
        <v>25</v>
      </c>
      <c r="U20" s="754">
        <f>H20</f>
        <v>100</v>
      </c>
      <c r="V20" s="753" t="s">
        <v>25</v>
      </c>
      <c r="W20" s="754">
        <f>J20</f>
        <v>100</v>
      </c>
      <c r="X20" s="1900"/>
      <c r="Y20" s="306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67"/>
      <c r="Q21" s="1899"/>
      <c r="R21" s="753"/>
      <c r="S21" s="754"/>
      <c r="T21" s="753"/>
      <c r="U21" s="754"/>
      <c r="V21" s="753"/>
      <c r="W21" s="754"/>
      <c r="X21" s="1900"/>
      <c r="Y21" s="3067"/>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67"/>
      <c r="Q22" s="1899" t="str">
        <f>B22</f>
        <v>楼层</v>
      </c>
      <c r="R22" s="753" t="s">
        <v>25</v>
      </c>
      <c r="S22" s="754">
        <f>F22</f>
        <v>100</v>
      </c>
      <c r="T22" s="753" t="s">
        <v>25</v>
      </c>
      <c r="U22" s="754">
        <f>H22</f>
        <v>100</v>
      </c>
      <c r="V22" s="753" t="s">
        <v>25</v>
      </c>
      <c r="W22" s="754">
        <f>J22</f>
        <v>100</v>
      </c>
      <c r="X22" s="1900"/>
      <c r="Y22" s="306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67"/>
      <c r="Q23" s="1899">
        <f>B23</f>
        <v>111</v>
      </c>
      <c r="R23" s="753" t="s">
        <v>25</v>
      </c>
      <c r="S23" s="754">
        <f>F23</f>
        <v>100</v>
      </c>
      <c r="T23" s="753" t="s">
        <v>25</v>
      </c>
      <c r="U23" s="754">
        <f>H23</f>
        <v>100</v>
      </c>
      <c r="V23" s="753" t="s">
        <v>25</v>
      </c>
      <c r="W23" s="754">
        <f>J23</f>
        <v>100</v>
      </c>
      <c r="X23" s="1900"/>
      <c r="Y23" s="306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67"/>
      <c r="Q24" s="1899">
        <f t="shared" ref="Q24:Q36" si="11">B24</f>
        <v>111</v>
      </c>
      <c r="R24" s="753" t="s">
        <v>25</v>
      </c>
      <c r="S24" s="754">
        <f>F24</f>
        <v>100</v>
      </c>
      <c r="T24" s="753" t="s">
        <v>25</v>
      </c>
      <c r="U24" s="754">
        <f>H24</f>
        <v>100</v>
      </c>
      <c r="V24" s="753" t="s">
        <v>25</v>
      </c>
      <c r="W24" s="754">
        <f>J24</f>
        <v>100</v>
      </c>
      <c r="X24" s="1900"/>
      <c r="Y24" s="306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67"/>
      <c r="Q25" s="1887">
        <f t="shared" si="11"/>
        <v>111</v>
      </c>
      <c r="R25" s="749" t="s">
        <v>25</v>
      </c>
      <c r="S25" s="750">
        <f>F25</f>
        <v>100</v>
      </c>
      <c r="T25" s="749" t="s">
        <v>25</v>
      </c>
      <c r="U25" s="750">
        <f>H25</f>
        <v>100</v>
      </c>
      <c r="V25" s="749" t="s">
        <v>25</v>
      </c>
      <c r="W25" s="750">
        <f>J25</f>
        <v>100</v>
      </c>
      <c r="X25" s="751"/>
      <c r="Y25" s="3067"/>
      <c r="Z25" s="23">
        <f>Q25</f>
        <v>111</v>
      </c>
      <c r="AA25" s="1903">
        <f>D25/F25</f>
        <v>1</v>
      </c>
      <c r="AB25" s="1903">
        <f>D25/H25</f>
        <v>1</v>
      </c>
      <c r="AC25" s="1903">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5"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71"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71"/>
      <c r="Q27" s="755" t="str">
        <f t="shared" si="11"/>
        <v>项目停车位配比</v>
      </c>
      <c r="R27" s="756" t="s">
        <v>25</v>
      </c>
      <c r="S27" s="757">
        <f t="shared" si="12"/>
        <v>100</v>
      </c>
      <c r="T27" s="756" t="s">
        <v>25</v>
      </c>
      <c r="U27" s="757">
        <f t="shared" si="13"/>
        <v>100</v>
      </c>
      <c r="V27" s="756" t="s">
        <v>25</v>
      </c>
      <c r="W27" s="757">
        <f t="shared" si="14"/>
        <v>100</v>
      </c>
      <c r="X27" s="758"/>
      <c r="Y27" s="3071"/>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71"/>
      <c r="Q28" s="1899" t="str">
        <f t="shared" si="11"/>
        <v>公共部分装修</v>
      </c>
      <c r="R28" s="753" t="s">
        <v>25</v>
      </c>
      <c r="S28" s="754">
        <f t="shared" si="12"/>
        <v>100</v>
      </c>
      <c r="T28" s="753" t="s">
        <v>25</v>
      </c>
      <c r="U28" s="754">
        <f t="shared" si="13"/>
        <v>100</v>
      </c>
      <c r="V28" s="753" t="s">
        <v>25</v>
      </c>
      <c r="W28" s="754">
        <f t="shared" si="14"/>
        <v>100</v>
      </c>
      <c r="X28" s="1900"/>
      <c r="Y28" s="3071"/>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71"/>
      <c r="Q29" s="1899" t="str">
        <f t="shared" si="11"/>
        <v>成新率</v>
      </c>
      <c r="R29" s="753" t="s">
        <v>25</v>
      </c>
      <c r="S29" s="754" t="e">
        <f t="shared" si="12"/>
        <v>#N/A</v>
      </c>
      <c r="T29" s="753" t="s">
        <v>25</v>
      </c>
      <c r="U29" s="754" t="e">
        <f t="shared" si="13"/>
        <v>#N/A</v>
      </c>
      <c r="V29" s="753" t="s">
        <v>25</v>
      </c>
      <c r="W29" s="754" t="e">
        <f t="shared" si="14"/>
        <v>#N/A</v>
      </c>
      <c r="X29" s="1900"/>
      <c r="Y29" s="3071"/>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71"/>
      <c r="Q30" s="1899" t="str">
        <f t="shared" si="11"/>
        <v>物业等级</v>
      </c>
      <c r="R30" s="753" t="s">
        <v>25</v>
      </c>
      <c r="S30" s="754">
        <f t="shared" si="12"/>
        <v>100</v>
      </c>
      <c r="T30" s="753" t="s">
        <v>25</v>
      </c>
      <c r="U30" s="754">
        <f t="shared" si="13"/>
        <v>100</v>
      </c>
      <c r="V30" s="753" t="s">
        <v>25</v>
      </c>
      <c r="W30" s="754">
        <f t="shared" si="14"/>
        <v>100</v>
      </c>
      <c r="X30" s="1900"/>
      <c r="Y30" s="3071"/>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71"/>
      <c r="Q31" s="1887" t="str">
        <f t="shared" si="11"/>
        <v>停车位面积</v>
      </c>
      <c r="R31" s="749" t="s">
        <v>25</v>
      </c>
      <c r="S31" s="750" t="e">
        <f t="shared" si="12"/>
        <v>#N/A</v>
      </c>
      <c r="T31" s="749" t="s">
        <v>25</v>
      </c>
      <c r="U31" s="750" t="e">
        <f t="shared" si="13"/>
        <v>#N/A</v>
      </c>
      <c r="V31" s="749" t="s">
        <v>25</v>
      </c>
      <c r="W31" s="750" t="e">
        <f t="shared" si="14"/>
        <v>#N/A</v>
      </c>
      <c r="X31" s="751"/>
      <c r="Y31" s="3071"/>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71" t="s">
        <v>2368</v>
      </c>
      <c r="Q32" s="1899" t="str">
        <f t="shared" si="11"/>
        <v>车位类型</v>
      </c>
      <c r="R32" s="753" t="s">
        <v>25</v>
      </c>
      <c r="S32" s="754">
        <f t="shared" si="12"/>
        <v>100</v>
      </c>
      <c r="T32" s="753" t="s">
        <v>25</v>
      </c>
      <c r="U32" s="754">
        <f t="shared" si="13"/>
        <v>100</v>
      </c>
      <c r="V32" s="753" t="s">
        <v>25</v>
      </c>
      <c r="W32" s="754">
        <f t="shared" si="14"/>
        <v>100</v>
      </c>
      <c r="X32" s="1900"/>
      <c r="Y32" s="3071"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71"/>
      <c r="Q33" s="1899" t="str">
        <f t="shared" si="11"/>
        <v>是否直接入户</v>
      </c>
      <c r="R33" s="753" t="s">
        <v>25</v>
      </c>
      <c r="S33" s="754">
        <f t="shared" si="12"/>
        <v>100</v>
      </c>
      <c r="T33" s="753" t="s">
        <v>25</v>
      </c>
      <c r="U33" s="754">
        <f t="shared" si="13"/>
        <v>100</v>
      </c>
      <c r="V33" s="753" t="s">
        <v>25</v>
      </c>
      <c r="W33" s="754">
        <f t="shared" si="14"/>
        <v>100</v>
      </c>
      <c r="X33" s="1900"/>
      <c r="Y33" s="307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71"/>
      <c r="Q34" s="1899">
        <f t="shared" si="11"/>
        <v>111</v>
      </c>
      <c r="R34" s="753" t="s">
        <v>25</v>
      </c>
      <c r="S34" s="754">
        <f t="shared" si="12"/>
        <v>100</v>
      </c>
      <c r="T34" s="753" t="s">
        <v>25</v>
      </c>
      <c r="U34" s="754">
        <f t="shared" si="13"/>
        <v>100</v>
      </c>
      <c r="V34" s="753" t="s">
        <v>25</v>
      </c>
      <c r="W34" s="754">
        <f t="shared" si="14"/>
        <v>100</v>
      </c>
      <c r="X34" s="1900"/>
      <c r="Y34" s="307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71"/>
      <c r="Q35" s="755">
        <f t="shared" si="11"/>
        <v>111</v>
      </c>
      <c r="R35" s="756" t="s">
        <v>25</v>
      </c>
      <c r="S35" s="757">
        <f t="shared" si="12"/>
        <v>100</v>
      </c>
      <c r="T35" s="756" t="s">
        <v>25</v>
      </c>
      <c r="U35" s="757">
        <f t="shared" si="13"/>
        <v>100</v>
      </c>
      <c r="V35" s="756" t="s">
        <v>25</v>
      </c>
      <c r="W35" s="757">
        <f t="shared" si="14"/>
        <v>100</v>
      </c>
      <c r="X35" s="758"/>
      <c r="Y35" s="307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71"/>
      <c r="Q36" s="1899">
        <f t="shared" si="11"/>
        <v>111</v>
      </c>
      <c r="R36" s="753" t="s">
        <v>25</v>
      </c>
      <c r="S36" s="754">
        <f t="shared" si="12"/>
        <v>100</v>
      </c>
      <c r="T36" s="753" t="s">
        <v>25</v>
      </c>
      <c r="U36" s="754">
        <f t="shared" si="13"/>
        <v>100</v>
      </c>
      <c r="V36" s="753" t="s">
        <v>25</v>
      </c>
      <c r="W36" s="754">
        <f t="shared" si="14"/>
        <v>100</v>
      </c>
      <c r="X36" s="1900"/>
      <c r="Y36" s="3071"/>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77" t="str">
        <f>A37</f>
        <v>成交单价</v>
      </c>
      <c r="Q37" s="3077"/>
      <c r="R37" s="3078">
        <f>E37</f>
        <v>0</v>
      </c>
      <c r="S37" s="3078"/>
      <c r="T37" s="3078">
        <f>G37</f>
        <v>0</v>
      </c>
      <c r="U37" s="3078"/>
      <c r="V37" s="3078">
        <f>I37</f>
        <v>0</v>
      </c>
      <c r="W37" s="3078"/>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77" t="str">
        <f>A38</f>
        <v>比较价值</v>
      </c>
      <c r="Q38" s="3077"/>
      <c r="R38" s="3078" t="e">
        <f>IF(E1="售价",ROUND(PRODUCT(R37,AA7:AA36),0),ROUND(PRODUCT(R37,AA7:AA36),1))</f>
        <v>#DIV/0!</v>
      </c>
      <c r="S38" s="3078"/>
      <c r="T38" s="3078" t="e">
        <f>IF(E1="售价",ROUND(PRODUCT(T37,AB7:AB36),0),ROUND(PRODUCT(T37,AB7:AB36),1))</f>
        <v>#DIV/0!</v>
      </c>
      <c r="U38" s="3078"/>
      <c r="V38" s="3078" t="e">
        <f>IF(E1="售价",ROUND(PRODUCT(V37,AC7:AC36),0),ROUND(PRODUCT(V37,AC7:AC36),1))</f>
        <v>#DIV/0!</v>
      </c>
      <c r="W38" s="3078"/>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83" t="str">
        <f>A39</f>
        <v>估价对象XX用房的比较价值（楼面单价，元/平方米）</v>
      </c>
      <c r="Q39" s="3084"/>
      <c r="R39" s="3085" t="e">
        <f>IF(E1="售价",ROUND(AVERAGE(R38:V38),0),ROUND(AVERAGE(R38:V38),1))</f>
        <v>#DIV/0!</v>
      </c>
      <c r="S39" s="3085"/>
      <c r="T39" s="3085"/>
      <c r="U39" s="3085"/>
      <c r="V39" s="3085"/>
      <c r="W39" s="308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9"/>
      <c r="E1" s="2380"/>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2336</v>
      </c>
      <c r="D3" s="378">
        <f>IF(C1="仅计算典型户型",'数据-取费表'!E5,'数据-取费表'!B5)</f>
        <v>140.46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1" t="s">
        <v>2338</v>
      </c>
      <c r="D4" s="3042"/>
      <c r="E4" s="3043" t="s">
        <v>2339</v>
      </c>
      <c r="F4" s="3044"/>
      <c r="G4" s="3041" t="s">
        <v>2340</v>
      </c>
      <c r="H4" s="3042"/>
      <c r="I4" s="3041" t="s">
        <v>2341</v>
      </c>
      <c r="J4" s="3042"/>
      <c r="K4" s="594"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39" t="s">
        <v>2340</v>
      </c>
      <c r="AC4" s="3038" t="s">
        <v>2341</v>
      </c>
    </row>
    <row r="5" spans="1:29" ht="15">
      <c r="A5" s="383"/>
      <c r="B5" s="384"/>
      <c r="C5" s="3086" t="s">
        <v>2344</v>
      </c>
      <c r="D5" s="3061"/>
      <c r="E5" s="3087" t="s">
        <v>2345</v>
      </c>
      <c r="F5" s="3059"/>
      <c r="G5" s="3086" t="s">
        <v>2346</v>
      </c>
      <c r="H5" s="3061"/>
      <c r="I5" s="3086" t="s">
        <v>2347</v>
      </c>
      <c r="J5" s="3061"/>
      <c r="K5" s="594"/>
      <c r="L5" s="1243"/>
      <c r="M5" s="1244"/>
      <c r="N5" s="1244"/>
      <c r="O5" s="1244"/>
      <c r="P5" s="3047"/>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594" t="s">
        <v>2349</v>
      </c>
      <c r="L6" s="1243"/>
      <c r="M6" s="1244"/>
      <c r="N6" s="1244"/>
      <c r="O6" s="1244"/>
      <c r="P6" s="3049"/>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73" t="s">
        <v>2351</v>
      </c>
      <c r="Q7" s="3075"/>
      <c r="R7" s="749" t="s">
        <v>25</v>
      </c>
      <c r="S7" s="750">
        <f t="shared" ref="S7:S14" si="0">F7</f>
        <v>0</v>
      </c>
      <c r="T7" s="749" t="s">
        <v>25</v>
      </c>
      <c r="U7" s="750">
        <f t="shared" ref="U7:U14" si="1">H7</f>
        <v>0</v>
      </c>
      <c r="V7" s="749" t="s">
        <v>25</v>
      </c>
      <c r="W7" s="750">
        <f t="shared" ref="W7:W14" si="2">J7</f>
        <v>0</v>
      </c>
      <c r="X7" s="751"/>
      <c r="Y7" s="3073" t="s">
        <v>2351</v>
      </c>
      <c r="Z7" s="3074"/>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3" t="s">
        <v>2354</v>
      </c>
      <c r="Q8" s="3074"/>
      <c r="R8" s="749" t="s">
        <v>25</v>
      </c>
      <c r="S8" s="750">
        <f t="shared" si="0"/>
        <v>0</v>
      </c>
      <c r="T8" s="749" t="s">
        <v>25</v>
      </c>
      <c r="U8" s="750">
        <f t="shared" si="1"/>
        <v>0</v>
      </c>
      <c r="V8" s="749" t="s">
        <v>25</v>
      </c>
      <c r="W8" s="750">
        <f t="shared" si="2"/>
        <v>0</v>
      </c>
      <c r="X8" s="751"/>
      <c r="Y8" s="3073" t="s">
        <v>2354</v>
      </c>
      <c r="Z8" s="3074"/>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7" t="s">
        <v>2357</v>
      </c>
      <c r="Q9" s="1887" t="str">
        <f t="shared" ref="Q9:Q14" si="6">B9</f>
        <v>用途</v>
      </c>
      <c r="R9" s="749" t="s">
        <v>25</v>
      </c>
      <c r="S9" s="750">
        <f t="shared" si="0"/>
        <v>100</v>
      </c>
      <c r="T9" s="749" t="s">
        <v>25</v>
      </c>
      <c r="U9" s="750">
        <f t="shared" si="1"/>
        <v>100</v>
      </c>
      <c r="V9" s="749" t="s">
        <v>25</v>
      </c>
      <c r="W9" s="750">
        <f t="shared" si="2"/>
        <v>100</v>
      </c>
      <c r="X9" s="751"/>
      <c r="Y9" s="2889"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7"/>
      <c r="Q10" s="1887" t="str">
        <f t="shared" si="6"/>
        <v>土地使用年限（年）</v>
      </c>
      <c r="R10" s="749" t="s">
        <v>25</v>
      </c>
      <c r="S10" s="750">
        <f t="shared" si="0"/>
        <v>100</v>
      </c>
      <c r="T10" s="749" t="s">
        <v>25</v>
      </c>
      <c r="U10" s="750">
        <f t="shared" si="1"/>
        <v>100</v>
      </c>
      <c r="V10" s="749" t="s">
        <v>25</v>
      </c>
      <c r="W10" s="750">
        <f t="shared" si="2"/>
        <v>100</v>
      </c>
      <c r="X10" s="751"/>
      <c r="Y10" s="2889"/>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7"/>
      <c r="Q11" s="1887">
        <f t="shared" si="6"/>
        <v>111</v>
      </c>
      <c r="R11" s="749" t="s">
        <v>25</v>
      </c>
      <c r="S11" s="750">
        <f t="shared" si="0"/>
        <v>100</v>
      </c>
      <c r="T11" s="749" t="s">
        <v>25</v>
      </c>
      <c r="U11" s="750">
        <f t="shared" si="1"/>
        <v>100</v>
      </c>
      <c r="V11" s="749" t="s">
        <v>25</v>
      </c>
      <c r="W11" s="750">
        <f t="shared" si="2"/>
        <v>100</v>
      </c>
      <c r="X11" s="751"/>
      <c r="Y11" s="2889"/>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7"/>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99.75">
      <c r="A14" s="419" t="s">
        <v>2361</v>
      </c>
      <c r="B14" s="26" t="s">
        <v>2505</v>
      </c>
      <c r="C14" s="2476" t="str">
        <f>IF(B1="工业",估价对象房地状况!G4,估价对象房地状况!C6)</f>
        <v>估价对象紧邻京周路，有901快车、839等多条公交线路及地铁燕房线燕山线通过，交通便捷度良好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66" t="s">
        <v>2362</v>
      </c>
      <c r="Q14" s="1899" t="str">
        <f t="shared" si="6"/>
        <v>交通便捷度</v>
      </c>
      <c r="R14" s="753" t="s">
        <v>25</v>
      </c>
      <c r="S14" s="754">
        <f t="shared" si="0"/>
        <v>100</v>
      </c>
      <c r="T14" s="753" t="s">
        <v>25</v>
      </c>
      <c r="U14" s="754">
        <f t="shared" si="1"/>
        <v>100</v>
      </c>
      <c r="V14" s="753" t="s">
        <v>25</v>
      </c>
      <c r="W14" s="754">
        <f t="shared" si="2"/>
        <v>100</v>
      </c>
      <c r="X14" s="1900"/>
      <c r="Y14" s="3066"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67"/>
      <c r="Q15" s="1899"/>
      <c r="R15" s="753"/>
      <c r="S15" s="754"/>
      <c r="T15" s="753"/>
      <c r="U15" s="754"/>
      <c r="V15" s="753"/>
      <c r="W15" s="754"/>
      <c r="X15" s="1900"/>
      <c r="Y15" s="3067"/>
      <c r="Z15" s="1902"/>
      <c r="AA15" s="1903">
        <v>1</v>
      </c>
      <c r="AB15" s="1903">
        <v>1</v>
      </c>
      <c r="AC15" s="1903">
        <v>1</v>
      </c>
    </row>
    <row r="16" spans="1:29" ht="42.75">
      <c r="A16" s="408"/>
      <c r="B16" s="615" t="s">
        <v>2477</v>
      </c>
      <c r="C16" s="2404"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67"/>
      <c r="Q16" s="1899" t="str">
        <f>B16</f>
        <v>公共配套设施</v>
      </c>
      <c r="R16" s="753" t="s">
        <v>25</v>
      </c>
      <c r="S16" s="754">
        <f>F16</f>
        <v>100</v>
      </c>
      <c r="T16" s="753" t="s">
        <v>25</v>
      </c>
      <c r="U16" s="754">
        <f>H16</f>
        <v>100</v>
      </c>
      <c r="V16" s="753" t="s">
        <v>25</v>
      </c>
      <c r="W16" s="754">
        <f>J16</f>
        <v>100</v>
      </c>
      <c r="X16" s="1900"/>
      <c r="Y16" s="306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67"/>
      <c r="Q17" s="1899"/>
      <c r="R17" s="753"/>
      <c r="S17" s="754"/>
      <c r="T17" s="753"/>
      <c r="U17" s="754"/>
      <c r="V17" s="753"/>
      <c r="W17" s="754"/>
      <c r="X17" s="1900"/>
      <c r="Y17" s="3067"/>
      <c r="Z17" s="1902"/>
      <c r="AA17" s="1903">
        <v>1</v>
      </c>
      <c r="AB17" s="1903">
        <v>1</v>
      </c>
      <c r="AC17" s="1903">
        <v>1</v>
      </c>
    </row>
    <row r="18" spans="1:29" ht="15">
      <c r="A18" s="408"/>
      <c r="B18" s="617" t="s">
        <v>2478</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67"/>
      <c r="Q18" s="1899" t="str">
        <f>B18</f>
        <v>基础设施水平</v>
      </c>
      <c r="R18" s="753" t="s">
        <v>25</v>
      </c>
      <c r="S18" s="754">
        <f>F18</f>
        <v>100</v>
      </c>
      <c r="T18" s="753" t="s">
        <v>25</v>
      </c>
      <c r="U18" s="754">
        <f>H18</f>
        <v>100</v>
      </c>
      <c r="V18" s="753" t="s">
        <v>25</v>
      </c>
      <c r="W18" s="754">
        <f>J18</f>
        <v>100</v>
      </c>
      <c r="X18" s="1900"/>
      <c r="Y18" s="306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67"/>
      <c r="Q19" s="1899"/>
      <c r="R19" s="753"/>
      <c r="S19" s="754"/>
      <c r="T19" s="753"/>
      <c r="U19" s="754"/>
      <c r="V19" s="753"/>
      <c r="W19" s="754"/>
      <c r="X19" s="1900"/>
      <c r="Y19" s="3067"/>
      <c r="Z19" s="1902"/>
      <c r="AA19" s="1903">
        <v>1</v>
      </c>
      <c r="AB19" s="1903">
        <v>1</v>
      </c>
      <c r="AC19" s="1903">
        <v>1</v>
      </c>
    </row>
    <row r="20" spans="1:29" ht="99.75">
      <c r="A20" s="408"/>
      <c r="B20" s="431" t="s">
        <v>2506</v>
      </c>
      <c r="C20" s="2404" t="str">
        <f>IF(B1="工业",估价对象房地状况!G7,估价对象房地状况!C9)</f>
        <v>自然环境有大石河水系（距离4公里）；人文环境有北京理工大学（房山分校）；综合评价环境状况较好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67"/>
      <c r="Q20" s="1899" t="str">
        <f>B20</f>
        <v>自然及人文环境</v>
      </c>
      <c r="R20" s="753" t="s">
        <v>25</v>
      </c>
      <c r="S20" s="754">
        <f>F20</f>
        <v>100</v>
      </c>
      <c r="T20" s="753" t="s">
        <v>25</v>
      </c>
      <c r="U20" s="754">
        <f>H20</f>
        <v>100</v>
      </c>
      <c r="V20" s="753" t="s">
        <v>25</v>
      </c>
      <c r="W20" s="754">
        <f>J20</f>
        <v>100</v>
      </c>
      <c r="X20" s="1900"/>
      <c r="Y20" s="306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67"/>
      <c r="Q21" s="1899"/>
      <c r="R21" s="753"/>
      <c r="S21" s="754"/>
      <c r="T21" s="753"/>
      <c r="U21" s="754"/>
      <c r="V21" s="753"/>
      <c r="W21" s="754"/>
      <c r="X21" s="1900"/>
      <c r="Y21" s="3067"/>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67"/>
      <c r="Q22" s="1899" t="str">
        <f>B22</f>
        <v>楼层</v>
      </c>
      <c r="R22" s="753" t="s">
        <v>25</v>
      </c>
      <c r="S22" s="754">
        <f>F22</f>
        <v>100</v>
      </c>
      <c r="T22" s="753" t="s">
        <v>25</v>
      </c>
      <c r="U22" s="754">
        <f>H22</f>
        <v>100</v>
      </c>
      <c r="V22" s="753" t="s">
        <v>25</v>
      </c>
      <c r="W22" s="754">
        <f>J22</f>
        <v>100</v>
      </c>
      <c r="X22" s="1900"/>
      <c r="Y22" s="3067"/>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67"/>
      <c r="Q23" s="1899">
        <f>B23</f>
        <v>111</v>
      </c>
      <c r="R23" s="753" t="s">
        <v>25</v>
      </c>
      <c r="S23" s="754">
        <f>F23</f>
        <v>100</v>
      </c>
      <c r="T23" s="753" t="s">
        <v>25</v>
      </c>
      <c r="U23" s="754">
        <f>H23</f>
        <v>100</v>
      </c>
      <c r="V23" s="753" t="s">
        <v>25</v>
      </c>
      <c r="W23" s="754">
        <f>J23</f>
        <v>100</v>
      </c>
      <c r="X23" s="1900"/>
      <c r="Y23" s="3067"/>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67"/>
      <c r="Q24" s="1899">
        <f t="shared" ref="Q24:Q34" si="11">B24</f>
        <v>111</v>
      </c>
      <c r="R24" s="753" t="s">
        <v>25</v>
      </c>
      <c r="S24" s="754">
        <f>F24</f>
        <v>100</v>
      </c>
      <c r="T24" s="753" t="s">
        <v>25</v>
      </c>
      <c r="U24" s="754">
        <f>H24</f>
        <v>100</v>
      </c>
      <c r="V24" s="753" t="s">
        <v>25</v>
      </c>
      <c r="W24" s="754">
        <f>J24</f>
        <v>100</v>
      </c>
      <c r="X24" s="1900"/>
      <c r="Y24" s="3067"/>
      <c r="Z24" s="1902">
        <f>Q24</f>
        <v>111</v>
      </c>
      <c r="AA24" s="1903">
        <f t="shared" si="3"/>
        <v>1</v>
      </c>
      <c r="AB24" s="1903">
        <f t="shared" si="4"/>
        <v>1</v>
      </c>
      <c r="AC24" s="1903">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67"/>
      <c r="Q25" s="1887">
        <f t="shared" si="11"/>
        <v>111</v>
      </c>
      <c r="R25" s="749" t="s">
        <v>25</v>
      </c>
      <c r="S25" s="750">
        <f>F25</f>
        <v>100</v>
      </c>
      <c r="T25" s="749" t="s">
        <v>25</v>
      </c>
      <c r="U25" s="750">
        <f>H25</f>
        <v>100</v>
      </c>
      <c r="V25" s="749" t="s">
        <v>25</v>
      </c>
      <c r="W25" s="750">
        <f>J25</f>
        <v>100</v>
      </c>
      <c r="X25" s="751"/>
      <c r="Y25" s="3067"/>
      <c r="Z25" s="23">
        <f>Q25</f>
        <v>111</v>
      </c>
      <c r="AA25" s="1903">
        <f>D25/F25</f>
        <v>1</v>
      </c>
      <c r="AB25" s="1903">
        <f>D25/H25</f>
        <v>1</v>
      </c>
      <c r="AC25" s="1903">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95"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71"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71"/>
      <c r="Q27" s="755" t="str">
        <f t="shared" si="11"/>
        <v>成新率</v>
      </c>
      <c r="R27" s="756" t="s">
        <v>25</v>
      </c>
      <c r="S27" s="757" t="e">
        <f t="shared" si="12"/>
        <v>#N/A</v>
      </c>
      <c r="T27" s="756" t="s">
        <v>25</v>
      </c>
      <c r="U27" s="757" t="e">
        <f t="shared" si="13"/>
        <v>#N/A</v>
      </c>
      <c r="V27" s="756" t="s">
        <v>25</v>
      </c>
      <c r="W27" s="757" t="e">
        <f t="shared" si="14"/>
        <v>#N/A</v>
      </c>
      <c r="X27" s="758"/>
      <c r="Y27" s="3071"/>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71"/>
      <c r="Q28" s="1899" t="str">
        <f t="shared" si="11"/>
        <v>物业等级</v>
      </c>
      <c r="R28" s="753" t="s">
        <v>25</v>
      </c>
      <c r="S28" s="754">
        <f t="shared" si="12"/>
        <v>100</v>
      </c>
      <c r="T28" s="753" t="s">
        <v>25</v>
      </c>
      <c r="U28" s="754">
        <f t="shared" si="13"/>
        <v>100</v>
      </c>
      <c r="V28" s="753" t="s">
        <v>25</v>
      </c>
      <c r="W28" s="754">
        <f t="shared" si="14"/>
        <v>100</v>
      </c>
      <c r="X28" s="1900"/>
      <c r="Y28" s="3071"/>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71"/>
      <c r="Q29" s="1899" t="str">
        <f t="shared" si="11"/>
        <v>有无电梯</v>
      </c>
      <c r="R29" s="753" t="s">
        <v>25</v>
      </c>
      <c r="S29" s="754">
        <f t="shared" si="12"/>
        <v>100</v>
      </c>
      <c r="T29" s="753" t="s">
        <v>25</v>
      </c>
      <c r="U29" s="754">
        <f t="shared" si="13"/>
        <v>100</v>
      </c>
      <c r="V29" s="753" t="s">
        <v>25</v>
      </c>
      <c r="W29" s="754">
        <f t="shared" si="14"/>
        <v>100</v>
      </c>
      <c r="X29" s="1900"/>
      <c r="Y29" s="3071"/>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71"/>
      <c r="Q30" s="1899" t="str">
        <f t="shared" si="11"/>
        <v>建筑面积</v>
      </c>
      <c r="R30" s="753" t="s">
        <v>25</v>
      </c>
      <c r="S30" s="754" t="e">
        <f t="shared" si="12"/>
        <v>#N/A</v>
      </c>
      <c r="T30" s="753" t="s">
        <v>25</v>
      </c>
      <c r="U30" s="754" t="e">
        <f t="shared" si="13"/>
        <v>#N/A</v>
      </c>
      <c r="V30" s="753" t="s">
        <v>25</v>
      </c>
      <c r="W30" s="754" t="e">
        <f t="shared" si="14"/>
        <v>#N/A</v>
      </c>
      <c r="X30" s="1900"/>
      <c r="Y30" s="3071"/>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71"/>
      <c r="Q31" s="1887" t="str">
        <f t="shared" si="11"/>
        <v>是否封闭</v>
      </c>
      <c r="R31" s="749" t="s">
        <v>25</v>
      </c>
      <c r="S31" s="750">
        <f t="shared" si="12"/>
        <v>100</v>
      </c>
      <c r="T31" s="749" t="s">
        <v>25</v>
      </c>
      <c r="U31" s="750">
        <f t="shared" si="13"/>
        <v>100</v>
      </c>
      <c r="V31" s="749" t="s">
        <v>25</v>
      </c>
      <c r="W31" s="750">
        <f t="shared" si="14"/>
        <v>100</v>
      </c>
      <c r="X31" s="751"/>
      <c r="Y31" s="3071"/>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71" t="s">
        <v>2368</v>
      </c>
      <c r="Q32" s="1899">
        <f t="shared" si="11"/>
        <v>111</v>
      </c>
      <c r="R32" s="753" t="s">
        <v>25</v>
      </c>
      <c r="S32" s="754">
        <f t="shared" si="12"/>
        <v>100</v>
      </c>
      <c r="T32" s="753" t="s">
        <v>25</v>
      </c>
      <c r="U32" s="754">
        <f t="shared" si="13"/>
        <v>100</v>
      </c>
      <c r="V32" s="753" t="s">
        <v>25</v>
      </c>
      <c r="W32" s="754">
        <f t="shared" si="14"/>
        <v>100</v>
      </c>
      <c r="X32" s="1900"/>
      <c r="Y32" s="3071" t="s">
        <v>2368</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71"/>
      <c r="Q33" s="1899">
        <f t="shared" si="11"/>
        <v>111</v>
      </c>
      <c r="R33" s="753" t="s">
        <v>25</v>
      </c>
      <c r="S33" s="754">
        <f t="shared" si="12"/>
        <v>100</v>
      </c>
      <c r="T33" s="753" t="s">
        <v>25</v>
      </c>
      <c r="U33" s="754">
        <f t="shared" si="13"/>
        <v>100</v>
      </c>
      <c r="V33" s="753" t="s">
        <v>25</v>
      </c>
      <c r="W33" s="754">
        <f t="shared" si="14"/>
        <v>100</v>
      </c>
      <c r="X33" s="1900"/>
      <c r="Y33" s="3071"/>
      <c r="Z33" s="1902">
        <f t="shared" si="15"/>
        <v>111</v>
      </c>
      <c r="AA33" s="1903">
        <f t="shared" si="3"/>
        <v>1</v>
      </c>
      <c r="AB33" s="1903">
        <f t="shared" si="4"/>
        <v>1</v>
      </c>
      <c r="AC33" s="1903">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71"/>
      <c r="Q34" s="1899">
        <f t="shared" si="11"/>
        <v>111</v>
      </c>
      <c r="R34" s="753" t="s">
        <v>25</v>
      </c>
      <c r="S34" s="754">
        <f t="shared" si="12"/>
        <v>100</v>
      </c>
      <c r="T34" s="753" t="s">
        <v>25</v>
      </c>
      <c r="U34" s="754">
        <f t="shared" si="13"/>
        <v>100</v>
      </c>
      <c r="V34" s="753" t="s">
        <v>25</v>
      </c>
      <c r="W34" s="754">
        <f t="shared" si="14"/>
        <v>100</v>
      </c>
      <c r="X34" s="1900"/>
      <c r="Y34" s="3071"/>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77" t="str">
        <f>A35</f>
        <v>成交单价（元/平方米）</v>
      </c>
      <c r="Q35" s="3077"/>
      <c r="R35" s="3078">
        <f>E35</f>
        <v>0</v>
      </c>
      <c r="S35" s="3078"/>
      <c r="T35" s="3078">
        <f>G35</f>
        <v>0</v>
      </c>
      <c r="U35" s="3078"/>
      <c r="V35" s="3078">
        <f>I35</f>
        <v>0</v>
      </c>
      <c r="W35" s="3078"/>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77" t="str">
        <f>A36</f>
        <v>比较价值（元/平方米）</v>
      </c>
      <c r="Q36" s="3077"/>
      <c r="R36" s="3078" t="e">
        <f>IF(E1="售价",ROUND(PRODUCT(R35,AA7:AA34),0),ROUND(PRODUCT(R35,AA7:AA34),1))</f>
        <v>#DIV/0!</v>
      </c>
      <c r="S36" s="3078"/>
      <c r="T36" s="3078" t="e">
        <f>IF(E1="售价",ROUND(PRODUCT(T35,AB7:AB34),0),ROUND(PRODUCT(T35,AB7:AB34),1))</f>
        <v>#DIV/0!</v>
      </c>
      <c r="U36" s="3078"/>
      <c r="V36" s="3078" t="e">
        <f>IF(E1="售价",ROUND(PRODUCT(V35,AC7:AC34),0),ROUND(PRODUCT(V35,AC7:AC34),1))</f>
        <v>#DIV/0!</v>
      </c>
      <c r="W36" s="3078"/>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83" t="str">
        <f>A37</f>
        <v>估价对象XX用房的比较价值（楼面单价，元/平方米）</v>
      </c>
      <c r="Q37" s="3084"/>
      <c r="R37" s="3085" t="e">
        <f>IF(E1="售价",ROUND(AVERAGE(R36:V36),0),ROUND(AVERAGE(R36:V36),1))</f>
        <v>#DIV/0!</v>
      </c>
      <c r="S37" s="3085"/>
      <c r="T37" s="3085"/>
      <c r="U37" s="3085"/>
      <c r="V37" s="3085"/>
      <c r="W37" s="308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41" t="s">
        <v>2338</v>
      </c>
      <c r="D4" s="3042"/>
      <c r="E4" s="3043" t="s">
        <v>2339</v>
      </c>
      <c r="F4" s="3044"/>
      <c r="G4" s="3041" t="s">
        <v>2340</v>
      </c>
      <c r="H4" s="3042"/>
      <c r="I4" s="3041" t="s">
        <v>2341</v>
      </c>
      <c r="J4" s="3042"/>
      <c r="K4" s="594"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39" t="s">
        <v>2340</v>
      </c>
      <c r="AC4" s="3038" t="s">
        <v>2341</v>
      </c>
    </row>
    <row r="5" spans="1:30" ht="15">
      <c r="A5" s="383"/>
      <c r="B5" s="384"/>
      <c r="C5" s="3086" t="s">
        <v>2344</v>
      </c>
      <c r="D5" s="3061"/>
      <c r="E5" s="3087" t="s">
        <v>2345</v>
      </c>
      <c r="F5" s="3059"/>
      <c r="G5" s="3086" t="s">
        <v>2346</v>
      </c>
      <c r="H5" s="3061"/>
      <c r="I5" s="3086" t="s">
        <v>2347</v>
      </c>
      <c r="J5" s="3061"/>
      <c r="K5" s="594"/>
      <c r="L5" s="1243"/>
      <c r="M5" s="1244"/>
      <c r="N5" s="1244"/>
      <c r="O5" s="1244"/>
      <c r="P5" s="3047"/>
      <c r="Q5" s="3048"/>
      <c r="R5" s="3053"/>
      <c r="S5" s="3054"/>
      <c r="T5" s="3053"/>
      <c r="U5" s="3054"/>
      <c r="V5" s="3057"/>
      <c r="W5" s="3057"/>
      <c r="X5" s="1900"/>
      <c r="Y5" s="3053"/>
      <c r="Z5" s="3054"/>
      <c r="AA5" s="3039"/>
      <c r="AB5" s="3039"/>
      <c r="AC5" s="3039"/>
    </row>
    <row r="6" spans="1:30" ht="15.75" thickBot="1">
      <c r="A6" s="385"/>
      <c r="B6" s="386"/>
      <c r="C6" s="3062" t="s">
        <v>2348</v>
      </c>
      <c r="D6" s="3063"/>
      <c r="E6" s="3064" t="s">
        <v>2348</v>
      </c>
      <c r="F6" s="3065"/>
      <c r="G6" s="3062" t="s">
        <v>2348</v>
      </c>
      <c r="H6" s="3063"/>
      <c r="I6" s="3062" t="s">
        <v>2348</v>
      </c>
      <c r="J6" s="3063"/>
      <c r="K6" s="594" t="s">
        <v>2349</v>
      </c>
      <c r="L6" s="1243"/>
      <c r="M6" s="1244"/>
      <c r="N6" s="1244"/>
      <c r="O6" s="1244"/>
      <c r="P6" s="3049"/>
      <c r="Q6" s="3050"/>
      <c r="R6" s="3053"/>
      <c r="S6" s="3054"/>
      <c r="T6" s="3055"/>
      <c r="U6" s="3056"/>
      <c r="V6" s="3057"/>
      <c r="W6" s="3057"/>
      <c r="X6" s="1900"/>
      <c r="Y6" s="3055"/>
      <c r="Z6" s="3056"/>
      <c r="AA6" s="3040"/>
      <c r="AB6" s="3040"/>
      <c r="AC6" s="3040"/>
    </row>
    <row r="7" spans="1:30" s="35" customFormat="1" ht="15.75" thickBot="1">
      <c r="A7" s="387" t="s">
        <v>2350</v>
      </c>
      <c r="B7" s="388"/>
      <c r="C7" s="389">
        <f>'数据-取费表'!B2</f>
        <v>43230</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73" t="s">
        <v>2351</v>
      </c>
      <c r="Q7" s="3075"/>
      <c r="R7" s="749" t="s">
        <v>25</v>
      </c>
      <c r="S7" s="750">
        <f t="shared" ref="S7:S15" si="0">F7</f>
        <v>0</v>
      </c>
      <c r="T7" s="749" t="s">
        <v>25</v>
      </c>
      <c r="U7" s="750">
        <f t="shared" ref="U7:U15" si="1">H7</f>
        <v>0</v>
      </c>
      <c r="V7" s="749" t="s">
        <v>25</v>
      </c>
      <c r="W7" s="750">
        <f t="shared" ref="W7:W15" si="2">J7</f>
        <v>0</v>
      </c>
      <c r="X7" s="751"/>
      <c r="Y7" s="3073" t="s">
        <v>2351</v>
      </c>
      <c r="Z7" s="3074"/>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3" t="s">
        <v>2354</v>
      </c>
      <c r="Q8" s="3074"/>
      <c r="R8" s="749" t="s">
        <v>25</v>
      </c>
      <c r="S8" s="750">
        <f t="shared" si="0"/>
        <v>0</v>
      </c>
      <c r="T8" s="749" t="s">
        <v>25</v>
      </c>
      <c r="U8" s="750">
        <f t="shared" si="1"/>
        <v>0</v>
      </c>
      <c r="V8" s="749" t="s">
        <v>25</v>
      </c>
      <c r="W8" s="750">
        <f t="shared" si="2"/>
        <v>0</v>
      </c>
      <c r="X8" s="751"/>
      <c r="Y8" s="3073" t="s">
        <v>2354</v>
      </c>
      <c r="Z8" s="3074"/>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77"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77"/>
      <c r="Q10" s="1887" t="str">
        <f t="shared" si="6"/>
        <v>土地使用年限（年）</v>
      </c>
      <c r="R10" s="749" t="s">
        <v>25</v>
      </c>
      <c r="S10" s="750">
        <f t="shared" si="0"/>
        <v>104</v>
      </c>
      <c r="T10" s="749" t="s">
        <v>25</v>
      </c>
      <c r="U10" s="750">
        <f t="shared" si="1"/>
        <v>104</v>
      </c>
      <c r="V10" s="749" t="s">
        <v>25</v>
      </c>
      <c r="W10" s="750">
        <f t="shared" si="2"/>
        <v>104</v>
      </c>
      <c r="X10" s="751"/>
      <c r="Y10" s="2889"/>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7"/>
      <c r="Q11" s="1887"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30" s="35" customFormat="1" ht="15">
      <c r="A12" s="411"/>
      <c r="B12" s="2397"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7"/>
      <c r="Q12" s="1887" t="str">
        <f t="shared" si="6"/>
        <v>配建</v>
      </c>
      <c r="R12" s="749" t="s">
        <v>25</v>
      </c>
      <c r="S12" s="750">
        <f t="shared" si="0"/>
        <v>100</v>
      </c>
      <c r="T12" s="749" t="s">
        <v>25</v>
      </c>
      <c r="U12" s="750">
        <f t="shared" si="1"/>
        <v>100</v>
      </c>
      <c r="V12" s="749" t="s">
        <v>25</v>
      </c>
      <c r="W12" s="750">
        <f t="shared" si="2"/>
        <v>100</v>
      </c>
      <c r="X12" s="751"/>
      <c r="Y12" s="2889"/>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89"/>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7"/>
      <c r="Q14" s="1887">
        <f t="shared" si="6"/>
        <v>111</v>
      </c>
      <c r="R14" s="749" t="s">
        <v>25</v>
      </c>
      <c r="S14" s="750">
        <f t="shared" si="0"/>
        <v>100</v>
      </c>
      <c r="T14" s="749" t="s">
        <v>25</v>
      </c>
      <c r="U14" s="750">
        <f t="shared" si="1"/>
        <v>100</v>
      </c>
      <c r="V14" s="749" t="s">
        <v>25</v>
      </c>
      <c r="W14" s="750">
        <f t="shared" si="2"/>
        <v>100</v>
      </c>
      <c r="X14" s="751"/>
      <c r="Y14" s="2889"/>
      <c r="Z14" s="23">
        <f t="shared" si="7"/>
        <v>111</v>
      </c>
      <c r="AA14" s="752">
        <f>D14/F14</f>
        <v>1</v>
      </c>
      <c r="AB14" s="752">
        <f>D14/H14</f>
        <v>1</v>
      </c>
      <c r="AC14" s="752">
        <f>D14/J14</f>
        <v>1</v>
      </c>
    </row>
    <row r="15" spans="1:30" ht="71.25">
      <c r="A15" s="380" t="s">
        <v>2361</v>
      </c>
      <c r="B15" s="1487" t="s">
        <v>1736</v>
      </c>
      <c r="C15" s="2464" t="str">
        <f>估价对象房地状况!C15</f>
        <v>周边有天恒乐活城、燕化星城等社区，综合评价居住社区成熟度较好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66" t="s">
        <v>2362</v>
      </c>
      <c r="Q15" s="1899" t="str">
        <f t="shared" si="6"/>
        <v>居住社区成熟度</v>
      </c>
      <c r="R15" s="753" t="s">
        <v>25</v>
      </c>
      <c r="S15" s="754">
        <f t="shared" si="0"/>
        <v>100</v>
      </c>
      <c r="T15" s="753" t="s">
        <v>25</v>
      </c>
      <c r="U15" s="754">
        <f t="shared" si="1"/>
        <v>100</v>
      </c>
      <c r="V15" s="753" t="s">
        <v>25</v>
      </c>
      <c r="W15" s="754">
        <f t="shared" si="2"/>
        <v>100</v>
      </c>
      <c r="X15" s="1900"/>
      <c r="Y15" s="3066"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67"/>
      <c r="Q16" s="1899"/>
      <c r="R16" s="753"/>
      <c r="S16" s="754"/>
      <c r="T16" s="753"/>
      <c r="U16" s="754"/>
      <c r="V16" s="753"/>
      <c r="W16" s="754"/>
      <c r="X16" s="1900"/>
      <c r="Y16" s="3067"/>
      <c r="Z16" s="1902"/>
      <c r="AA16" s="1903">
        <v>1</v>
      </c>
      <c r="AB16" s="1903">
        <v>1</v>
      </c>
      <c r="AC16" s="1903">
        <v>1</v>
      </c>
    </row>
    <row r="17" spans="1:29" ht="71.25">
      <c r="A17" s="383"/>
      <c r="B17" s="1489" t="s">
        <v>2447</v>
      </c>
      <c r="C17" s="2482" t="str">
        <f>估价对象房地状况!C16</f>
        <v>估价对象位于阎村商圈，周边商业氛围较好，人流量较大，商业繁华度较好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67"/>
      <c r="Q17" s="1899" t="str">
        <f>B17</f>
        <v>商业繁华度</v>
      </c>
      <c r="R17" s="753" t="s">
        <v>25</v>
      </c>
      <c r="S17" s="754">
        <f>F17</f>
        <v>100</v>
      </c>
      <c r="T17" s="753" t="s">
        <v>25</v>
      </c>
      <c r="U17" s="754">
        <f>H17</f>
        <v>100</v>
      </c>
      <c r="V17" s="753" t="s">
        <v>25</v>
      </c>
      <c r="W17" s="754">
        <f>J17</f>
        <v>100</v>
      </c>
      <c r="X17" s="1900"/>
      <c r="Y17" s="3067"/>
      <c r="Z17" s="1902" t="str">
        <f>Q17</f>
        <v>商业繁华度</v>
      </c>
      <c r="AA17" s="1903">
        <f t="shared" si="3"/>
        <v>1</v>
      </c>
      <c r="AB17" s="1903">
        <f t="shared" si="4"/>
        <v>1</v>
      </c>
      <c r="AC17" s="1903">
        <f t="shared" si="5"/>
        <v>1</v>
      </c>
    </row>
    <row r="18" spans="1:29" ht="15">
      <c r="A18" s="383"/>
      <c r="B18" s="1490"/>
      <c r="C18" s="2466"/>
      <c r="D18" s="430"/>
      <c r="E18" s="1468"/>
      <c r="F18" s="430"/>
      <c r="G18" s="1468"/>
      <c r="H18" s="427"/>
      <c r="I18" s="2405"/>
      <c r="J18" s="427"/>
      <c r="K18" s="655"/>
      <c r="L18" s="1253"/>
      <c r="M18" s="1244"/>
      <c r="N18" s="1244"/>
      <c r="O18" s="1252"/>
      <c r="P18" s="3067"/>
      <c r="Q18" s="1899"/>
      <c r="R18" s="753"/>
      <c r="S18" s="754"/>
      <c r="T18" s="753"/>
      <c r="U18" s="754"/>
      <c r="V18" s="753"/>
      <c r="W18" s="754"/>
      <c r="X18" s="1900"/>
      <c r="Y18" s="3067"/>
      <c r="Z18" s="1902"/>
      <c r="AA18" s="1903">
        <v>1</v>
      </c>
      <c r="AB18" s="1903">
        <v>1</v>
      </c>
      <c r="AC18" s="1903">
        <v>1</v>
      </c>
    </row>
    <row r="19" spans="1:29" ht="71.25">
      <c r="A19" s="383"/>
      <c r="B19" s="1489" t="s">
        <v>2476</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67"/>
      <c r="Q19" s="1899" t="str">
        <f>B19</f>
        <v>办公集聚程度</v>
      </c>
      <c r="R19" s="753" t="s">
        <v>25</v>
      </c>
      <c r="S19" s="754">
        <f>F19</f>
        <v>100</v>
      </c>
      <c r="T19" s="753" t="s">
        <v>25</v>
      </c>
      <c r="U19" s="754">
        <f>H19</f>
        <v>100</v>
      </c>
      <c r="V19" s="753" t="s">
        <v>25</v>
      </c>
      <c r="W19" s="754">
        <f>J19</f>
        <v>100</v>
      </c>
      <c r="X19" s="1900"/>
      <c r="Y19" s="306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67"/>
      <c r="Q20" s="1899"/>
      <c r="R20" s="753"/>
      <c r="S20" s="754"/>
      <c r="T20" s="753"/>
      <c r="U20" s="754"/>
      <c r="V20" s="753"/>
      <c r="W20" s="754"/>
      <c r="X20" s="1900"/>
      <c r="Y20" s="3067"/>
      <c r="Z20" s="1902"/>
      <c r="AA20" s="1903">
        <v>1</v>
      </c>
      <c r="AB20" s="1903">
        <v>1</v>
      </c>
      <c r="AC20" s="1903">
        <v>1</v>
      </c>
    </row>
    <row r="21" spans="1:29" ht="99.75">
      <c r="A21" s="383"/>
      <c r="B21" s="1489" t="s">
        <v>2505</v>
      </c>
      <c r="C21" s="2465" t="str">
        <f>估价对象房地状况!C18</f>
        <v>估价对象紧邻京周路，有901快车、839等多条公交线路及地铁燕房线燕山线通过，交通便捷度良好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67"/>
      <c r="Q21" s="1899" t="str">
        <f>B21</f>
        <v>交通便捷度</v>
      </c>
      <c r="R21" s="753" t="s">
        <v>25</v>
      </c>
      <c r="S21" s="754">
        <f>F21</f>
        <v>100</v>
      </c>
      <c r="T21" s="753" t="s">
        <v>25</v>
      </c>
      <c r="U21" s="754">
        <f>H21</f>
        <v>100</v>
      </c>
      <c r="V21" s="753" t="s">
        <v>25</v>
      </c>
      <c r="W21" s="754">
        <f>J21</f>
        <v>100</v>
      </c>
      <c r="X21" s="1900"/>
      <c r="Y21" s="306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67"/>
      <c r="Q22" s="1899"/>
      <c r="R22" s="753"/>
      <c r="S22" s="754"/>
      <c r="T22" s="753"/>
      <c r="U22" s="754"/>
      <c r="V22" s="753"/>
      <c r="W22" s="754"/>
      <c r="X22" s="1900"/>
      <c r="Y22" s="3067"/>
      <c r="Z22" s="1902"/>
      <c r="AA22" s="1903">
        <v>1</v>
      </c>
      <c r="AB22" s="1903">
        <v>1</v>
      </c>
      <c r="AC22" s="1903">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67"/>
      <c r="Q23" s="1899" t="str">
        <f t="shared" ref="Q23:Q37" si="8">B23</f>
        <v>区域土地利用方向</v>
      </c>
      <c r="R23" s="753" t="s">
        <v>25</v>
      </c>
      <c r="S23" s="754">
        <f>F23</f>
        <v>100</v>
      </c>
      <c r="T23" s="753" t="s">
        <v>25</v>
      </c>
      <c r="U23" s="754">
        <f>H23</f>
        <v>100</v>
      </c>
      <c r="V23" s="753" t="s">
        <v>25</v>
      </c>
      <c r="W23" s="754">
        <f>J23</f>
        <v>100</v>
      </c>
      <c r="X23" s="1900"/>
      <c r="Y23" s="3067"/>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67"/>
      <c r="Q24" s="1899"/>
      <c r="R24" s="753"/>
      <c r="S24" s="754"/>
      <c r="T24" s="753"/>
      <c r="U24" s="754"/>
      <c r="V24" s="753"/>
      <c r="W24" s="754"/>
      <c r="X24" s="1900"/>
      <c r="Y24" s="3067"/>
      <c r="Z24" s="1902"/>
      <c r="AA24" s="1903"/>
      <c r="AB24" s="1903"/>
      <c r="AC24" s="1903"/>
    </row>
    <row r="25" spans="1:29" ht="99.75">
      <c r="A25" s="383"/>
      <c r="B25" s="1491" t="s">
        <v>2546</v>
      </c>
      <c r="C25" s="2482" t="str">
        <f>估价对象房地状况!C20</f>
        <v>自然环境有大石河水系（距离4公里）；人文环境有北京理工大学（房山分校）；综合评价环境状况较好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67"/>
      <c r="Q25" s="1899" t="str">
        <f t="shared" si="8"/>
        <v>自然及人文环境状况</v>
      </c>
      <c r="R25" s="753" t="s">
        <v>25</v>
      </c>
      <c r="S25" s="754">
        <f>F25</f>
        <v>100</v>
      </c>
      <c r="T25" s="753" t="s">
        <v>25</v>
      </c>
      <c r="U25" s="754">
        <f>H25</f>
        <v>100</v>
      </c>
      <c r="V25" s="753" t="s">
        <v>25</v>
      </c>
      <c r="W25" s="754">
        <f>J25</f>
        <v>100</v>
      </c>
      <c r="X25" s="1900"/>
      <c r="Y25" s="306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67"/>
      <c r="Q26" s="1899"/>
      <c r="R26" s="753"/>
      <c r="S26" s="754"/>
      <c r="T26" s="753"/>
      <c r="U26" s="754"/>
      <c r="V26" s="753"/>
      <c r="W26" s="754"/>
      <c r="X26" s="1900"/>
      <c r="Y26" s="3067"/>
      <c r="Z26" s="1902"/>
      <c r="AA26" s="1903">
        <v>1</v>
      </c>
      <c r="AB26" s="1903">
        <v>1</v>
      </c>
      <c r="AC26" s="1903">
        <v>1</v>
      </c>
    </row>
    <row r="27" spans="1:29" ht="42.75">
      <c r="A27" s="383"/>
      <c r="B27" s="1491" t="s">
        <v>2448</v>
      </c>
      <c r="C27" s="2465"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67"/>
      <c r="Q27" s="1887" t="str">
        <f t="shared" ref="Q27" si="9">B27</f>
        <v>公共配套设施</v>
      </c>
      <c r="R27" s="749" t="s">
        <v>25</v>
      </c>
      <c r="S27" s="750">
        <f>F27</f>
        <v>100</v>
      </c>
      <c r="T27" s="749" t="s">
        <v>25</v>
      </c>
      <c r="U27" s="750">
        <f>H27</f>
        <v>100</v>
      </c>
      <c r="V27" s="749" t="s">
        <v>25</v>
      </c>
      <c r="W27" s="750">
        <f>J27</f>
        <v>100</v>
      </c>
      <c r="X27" s="1900"/>
      <c r="Y27" s="3067"/>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67"/>
      <c r="Q28" s="1899"/>
      <c r="R28" s="753"/>
      <c r="S28" s="754"/>
      <c r="T28" s="753"/>
      <c r="U28" s="754"/>
      <c r="V28" s="753"/>
      <c r="W28" s="754"/>
      <c r="X28" s="1900"/>
      <c r="Y28" s="3067"/>
      <c r="Z28" s="23"/>
      <c r="AA28" s="1903">
        <v>1</v>
      </c>
      <c r="AB28" s="1903">
        <v>1</v>
      </c>
      <c r="AC28" s="1903">
        <v>1</v>
      </c>
    </row>
    <row r="29" spans="1:29" s="35" customFormat="1" ht="15">
      <c r="A29" s="633"/>
      <c r="B29" s="1491" t="s">
        <v>2449</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67"/>
      <c r="Q29" s="1887" t="str">
        <f t="shared" si="8"/>
        <v>基础设施水平</v>
      </c>
      <c r="R29" s="749" t="s">
        <v>25</v>
      </c>
      <c r="S29" s="750">
        <f>F29</f>
        <v>100</v>
      </c>
      <c r="T29" s="749" t="s">
        <v>25</v>
      </c>
      <c r="U29" s="750">
        <f>H29</f>
        <v>100</v>
      </c>
      <c r="V29" s="749" t="s">
        <v>25</v>
      </c>
      <c r="W29" s="750">
        <f>J29</f>
        <v>100</v>
      </c>
      <c r="X29" s="751"/>
      <c r="Y29" s="3067"/>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67"/>
      <c r="Q30" s="1887"/>
      <c r="R30" s="749"/>
      <c r="S30" s="750"/>
      <c r="T30" s="749"/>
      <c r="U30" s="750"/>
      <c r="V30" s="749"/>
      <c r="W30" s="750"/>
      <c r="X30" s="751"/>
      <c r="Y30" s="3067"/>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6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67"/>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67"/>
      <c r="Q32" s="1899" t="str">
        <f t="shared" si="8"/>
        <v>毗邻道路的类型与等级</v>
      </c>
      <c r="R32" s="753" t="s">
        <v>25</v>
      </c>
      <c r="S32" s="754">
        <f t="shared" si="10"/>
        <v>100</v>
      </c>
      <c r="T32" s="753" t="s">
        <v>25</v>
      </c>
      <c r="U32" s="754">
        <f t="shared" si="11"/>
        <v>100</v>
      </c>
      <c r="V32" s="753" t="s">
        <v>25</v>
      </c>
      <c r="W32" s="754">
        <f t="shared" si="12"/>
        <v>100</v>
      </c>
      <c r="X32" s="1900"/>
      <c r="Y32" s="306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67"/>
      <c r="Q33" s="1899"/>
      <c r="R33" s="753"/>
      <c r="S33" s="754"/>
      <c r="T33" s="753"/>
      <c r="U33" s="754"/>
      <c r="V33" s="753"/>
      <c r="W33" s="754"/>
      <c r="X33" s="1900"/>
      <c r="Y33" s="3067"/>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67"/>
      <c r="Q34" s="1899" t="str">
        <f t="shared" si="8"/>
        <v>土地级别</v>
      </c>
      <c r="R34" s="753" t="s">
        <v>25</v>
      </c>
      <c r="S34" s="754">
        <f t="shared" si="10"/>
        <v>100</v>
      </c>
      <c r="T34" s="753" t="s">
        <v>25</v>
      </c>
      <c r="U34" s="754">
        <f t="shared" si="11"/>
        <v>100</v>
      </c>
      <c r="V34" s="753" t="s">
        <v>25</v>
      </c>
      <c r="W34" s="754">
        <f t="shared" si="12"/>
        <v>100</v>
      </c>
      <c r="X34" s="1900"/>
      <c r="Y34" s="306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67"/>
      <c r="Q35" s="1899">
        <f t="shared" si="8"/>
        <v>111</v>
      </c>
      <c r="R35" s="753" t="s">
        <v>25</v>
      </c>
      <c r="S35" s="754">
        <f t="shared" si="10"/>
        <v>100</v>
      </c>
      <c r="T35" s="753" t="s">
        <v>25</v>
      </c>
      <c r="U35" s="754">
        <f t="shared" si="11"/>
        <v>100</v>
      </c>
      <c r="V35" s="753" t="s">
        <v>25</v>
      </c>
      <c r="W35" s="754">
        <f t="shared" si="12"/>
        <v>100</v>
      </c>
      <c r="X35" s="1900"/>
      <c r="Y35" s="306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5" t="s">
        <v>2368</v>
      </c>
      <c r="Q36" s="1899">
        <f t="shared" si="8"/>
        <v>111</v>
      </c>
      <c r="R36" s="753" t="s">
        <v>25</v>
      </c>
      <c r="S36" s="754">
        <f t="shared" si="10"/>
        <v>100</v>
      </c>
      <c r="T36" s="753" t="s">
        <v>25</v>
      </c>
      <c r="U36" s="754">
        <f t="shared" si="11"/>
        <v>100</v>
      </c>
      <c r="V36" s="753" t="s">
        <v>25</v>
      </c>
      <c r="W36" s="754">
        <f t="shared" si="12"/>
        <v>100</v>
      </c>
      <c r="X36" s="1900"/>
      <c r="Y36" s="3071"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71"/>
      <c r="Q37" s="1899">
        <f t="shared" si="8"/>
        <v>111</v>
      </c>
      <c r="R37" s="756" t="s">
        <v>25</v>
      </c>
      <c r="S37" s="757">
        <f t="shared" si="10"/>
        <v>100</v>
      </c>
      <c r="T37" s="756" t="s">
        <v>25</v>
      </c>
      <c r="U37" s="757">
        <f t="shared" si="11"/>
        <v>100</v>
      </c>
      <c r="V37" s="756" t="s">
        <v>25</v>
      </c>
      <c r="W37" s="757">
        <f t="shared" si="12"/>
        <v>100</v>
      </c>
      <c r="X37" s="758"/>
      <c r="Y37" s="3071"/>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71"/>
      <c r="Q38" s="1899" t="str">
        <f>B38</f>
        <v>宗地面积</v>
      </c>
      <c r="R38" s="753" t="s">
        <v>25</v>
      </c>
      <c r="S38" s="754" t="e">
        <f t="shared" si="10"/>
        <v>#N/A</v>
      </c>
      <c r="T38" s="753" t="s">
        <v>25</v>
      </c>
      <c r="U38" s="754" t="e">
        <f t="shared" si="11"/>
        <v>#N/A</v>
      </c>
      <c r="V38" s="753" t="s">
        <v>25</v>
      </c>
      <c r="W38" s="754" t="e">
        <f t="shared" si="12"/>
        <v>#N/A</v>
      </c>
      <c r="X38" s="1900"/>
      <c r="Y38" s="3071"/>
      <c r="Z38" s="1902" t="str">
        <f t="shared" si="13"/>
        <v>宗地面积</v>
      </c>
      <c r="AA38" s="1903" t="e">
        <f t="shared" si="3"/>
        <v>#N/A</v>
      </c>
      <c r="AB38" s="1903" t="e">
        <f t="shared" si="4"/>
        <v>#N/A</v>
      </c>
      <c r="AC38" s="1903" t="e">
        <f t="shared" si="5"/>
        <v>#N/A</v>
      </c>
    </row>
    <row r="39" spans="1:29" ht="15">
      <c r="A39" s="453"/>
      <c r="B39" s="402" t="s">
        <v>2549</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71"/>
      <c r="Q39" s="1899" t="str">
        <f t="shared" ref="Q39:Q45" si="14">B39</f>
        <v>宗地形状</v>
      </c>
      <c r="R39" s="753" t="s">
        <v>25</v>
      </c>
      <c r="S39" s="754">
        <f t="shared" si="10"/>
        <v>100</v>
      </c>
      <c r="T39" s="753" t="s">
        <v>25</v>
      </c>
      <c r="U39" s="754">
        <f t="shared" si="11"/>
        <v>100</v>
      </c>
      <c r="V39" s="753" t="s">
        <v>25</v>
      </c>
      <c r="W39" s="754">
        <f t="shared" si="12"/>
        <v>100</v>
      </c>
      <c r="X39" s="1900"/>
      <c r="Y39" s="3071"/>
      <c r="Z39" s="1902" t="str">
        <f t="shared" si="13"/>
        <v>宗地形状</v>
      </c>
      <c r="AA39" s="1903">
        <f t="shared" si="3"/>
        <v>1</v>
      </c>
      <c r="AB39" s="1903">
        <f t="shared" si="4"/>
        <v>1</v>
      </c>
      <c r="AC39" s="1903">
        <f t="shared" si="5"/>
        <v>1</v>
      </c>
    </row>
    <row r="40" spans="1:29" ht="15">
      <c r="A40" s="453"/>
      <c r="B40" s="402" t="s">
        <v>2550</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71"/>
      <c r="Q40" s="1899" t="str">
        <f t="shared" si="14"/>
        <v>临街宽度及深度</v>
      </c>
      <c r="R40" s="753" t="s">
        <v>25</v>
      </c>
      <c r="S40" s="754">
        <f t="shared" si="10"/>
        <v>100</v>
      </c>
      <c r="T40" s="753" t="s">
        <v>25</v>
      </c>
      <c r="U40" s="754">
        <f t="shared" si="11"/>
        <v>100</v>
      </c>
      <c r="V40" s="753" t="s">
        <v>25</v>
      </c>
      <c r="W40" s="754">
        <f t="shared" si="12"/>
        <v>100</v>
      </c>
      <c r="X40" s="1900"/>
      <c r="Y40" s="3071"/>
      <c r="Z40" s="1902" t="str">
        <f t="shared" si="13"/>
        <v>临街宽度及深度</v>
      </c>
      <c r="AA40" s="1903">
        <f t="shared" si="3"/>
        <v>1</v>
      </c>
      <c r="AB40" s="1903">
        <f t="shared" si="4"/>
        <v>1</v>
      </c>
      <c r="AC40" s="1903">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71"/>
      <c r="Q41" s="1899" t="str">
        <f t="shared" si="14"/>
        <v>宗地开发程度</v>
      </c>
      <c r="R41" s="749" t="s">
        <v>25</v>
      </c>
      <c r="S41" s="750">
        <f t="shared" si="10"/>
        <v>100</v>
      </c>
      <c r="T41" s="749" t="s">
        <v>25</v>
      </c>
      <c r="U41" s="750">
        <f t="shared" si="11"/>
        <v>100</v>
      </c>
      <c r="V41" s="749" t="s">
        <v>25</v>
      </c>
      <c r="W41" s="750">
        <f t="shared" si="12"/>
        <v>100</v>
      </c>
      <c r="X41" s="751"/>
      <c r="Y41" s="3071"/>
      <c r="Z41" s="23" t="str">
        <f t="shared" si="13"/>
        <v>宗地开发程度</v>
      </c>
      <c r="AA41" s="752">
        <f t="shared" si="3"/>
        <v>1</v>
      </c>
      <c r="AB41" s="752">
        <f t="shared" si="4"/>
        <v>1</v>
      </c>
      <c r="AC41" s="752">
        <f t="shared" si="5"/>
        <v>1</v>
      </c>
    </row>
    <row r="42" spans="1:29" ht="15">
      <c r="A42" s="453"/>
      <c r="B42" s="402" t="s">
        <v>2552</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71" t="s">
        <v>2368</v>
      </c>
      <c r="Q42" s="1899" t="str">
        <f t="shared" si="14"/>
        <v>工程地质条件</v>
      </c>
      <c r="R42" s="753" t="s">
        <v>25</v>
      </c>
      <c r="S42" s="754">
        <f t="shared" si="10"/>
        <v>100</v>
      </c>
      <c r="T42" s="753" t="s">
        <v>25</v>
      </c>
      <c r="U42" s="754">
        <f t="shared" si="11"/>
        <v>100</v>
      </c>
      <c r="V42" s="753" t="s">
        <v>25</v>
      </c>
      <c r="W42" s="754">
        <f t="shared" si="12"/>
        <v>100</v>
      </c>
      <c r="X42" s="1900"/>
      <c r="Y42" s="3071" t="s">
        <v>2368</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71"/>
      <c r="Q43" s="1899">
        <f t="shared" si="14"/>
        <v>111</v>
      </c>
      <c r="R43" s="753" t="s">
        <v>25</v>
      </c>
      <c r="S43" s="754">
        <f t="shared" si="10"/>
        <v>100</v>
      </c>
      <c r="T43" s="753" t="s">
        <v>25</v>
      </c>
      <c r="U43" s="754">
        <f t="shared" si="11"/>
        <v>100</v>
      </c>
      <c r="V43" s="753" t="s">
        <v>25</v>
      </c>
      <c r="W43" s="754">
        <f t="shared" si="12"/>
        <v>100</v>
      </c>
      <c r="X43" s="1900"/>
      <c r="Y43" s="3071"/>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71"/>
      <c r="Q44" s="1899">
        <f t="shared" si="14"/>
        <v>111</v>
      </c>
      <c r="R44" s="753" t="s">
        <v>25</v>
      </c>
      <c r="S44" s="754">
        <f t="shared" si="10"/>
        <v>100</v>
      </c>
      <c r="T44" s="753" t="s">
        <v>25</v>
      </c>
      <c r="U44" s="754">
        <f t="shared" si="11"/>
        <v>100</v>
      </c>
      <c r="V44" s="753" t="s">
        <v>25</v>
      </c>
      <c r="W44" s="754">
        <f t="shared" si="12"/>
        <v>100</v>
      </c>
      <c r="X44" s="1900"/>
      <c r="Y44" s="3071"/>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71"/>
      <c r="Q45" s="1899">
        <f t="shared" si="14"/>
        <v>111</v>
      </c>
      <c r="R45" s="756" t="s">
        <v>25</v>
      </c>
      <c r="S45" s="757">
        <f t="shared" si="10"/>
        <v>100</v>
      </c>
      <c r="T45" s="756" t="s">
        <v>25</v>
      </c>
      <c r="U45" s="757">
        <f t="shared" si="11"/>
        <v>100</v>
      </c>
      <c r="V45" s="756" t="s">
        <v>25</v>
      </c>
      <c r="W45" s="757">
        <f t="shared" si="12"/>
        <v>100</v>
      </c>
      <c r="X45" s="758"/>
      <c r="Y45" s="3071"/>
      <c r="Z45" s="759">
        <f t="shared" si="13"/>
        <v>111</v>
      </c>
      <c r="AA45" s="1903">
        <f t="shared" si="3"/>
        <v>1</v>
      </c>
      <c r="AB45" s="1903">
        <f t="shared" si="4"/>
        <v>1</v>
      </c>
      <c r="AC45" s="1903">
        <f t="shared" si="5"/>
        <v>1</v>
      </c>
    </row>
    <row r="46" spans="1:29" ht="15">
      <c r="A46" s="460" t="s">
        <v>2516</v>
      </c>
      <c r="B46" s="2489" t="s">
        <v>2553</v>
      </c>
      <c r="C46" s="665" t="s">
        <v>1</v>
      </c>
      <c r="D46" s="462"/>
      <c r="E46" s="463"/>
      <c r="F46" s="464"/>
      <c r="G46" s="465"/>
      <c r="H46" s="466"/>
      <c r="I46" s="463"/>
      <c r="J46" s="466"/>
      <c r="K46" s="762"/>
      <c r="L46" s="1256"/>
      <c r="M46" s="1257"/>
      <c r="N46" s="1244"/>
      <c r="O46" s="1257"/>
      <c r="P46" s="3077" t="str">
        <f>A46</f>
        <v>成交单价</v>
      </c>
      <c r="Q46" s="3077"/>
      <c r="R46" s="3057">
        <f>E46</f>
        <v>0</v>
      </c>
      <c r="S46" s="3057"/>
      <c r="T46" s="3057">
        <f>G46</f>
        <v>0</v>
      </c>
      <c r="U46" s="3057"/>
      <c r="V46" s="3057">
        <f>I46</f>
        <v>0</v>
      </c>
      <c r="W46" s="3057"/>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77" t="str">
        <f>A47</f>
        <v>比较价值（元/平方米）</v>
      </c>
      <c r="Q47" s="3077"/>
      <c r="R47" s="3096" t="e">
        <f>ROUND(PRODUCT(R46,AA7:AA45),0)</f>
        <v>#DIV/0!</v>
      </c>
      <c r="S47" s="3096"/>
      <c r="T47" s="3096" t="e">
        <f>ROUND(PRODUCT(T46,AB7:AB45),0)</f>
        <v>#DIV/0!</v>
      </c>
      <c r="U47" s="3096"/>
      <c r="V47" s="3096" t="e">
        <f>ROUND(PRODUCT(V46,AC7:AC45),0)</f>
        <v>#DIV/0!</v>
      </c>
      <c r="W47" s="3096"/>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83" t="str">
        <f>A48</f>
        <v>估价对象XX用房的比较价值（楼面单价，元/平方米）</v>
      </c>
      <c r="Q48" s="3084"/>
      <c r="R48" s="3097" t="e">
        <f>ROUND(AVERAGE(R47:V47),0)</f>
        <v>#DIV/0!</v>
      </c>
      <c r="S48" s="3097"/>
      <c r="T48" s="3097"/>
      <c r="U48" s="3097"/>
      <c r="V48" s="3097"/>
      <c r="W48" s="309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0.6</v>
      </c>
      <c r="D57" s="1292">
        <v>0.25</v>
      </c>
      <c r="E57" s="677">
        <v>0</v>
      </c>
      <c r="F57" s="674" t="e">
        <f t="shared" si="15"/>
        <v>#DIV/0!</v>
      </c>
      <c r="G57" s="972">
        <f>SUMIF(修正!$A$45:$A$56,项目基本情况!$F$9,修正!B45:B56)</f>
        <v>0.6</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0.3</v>
      </c>
      <c r="D58" s="1292">
        <v>0.25</v>
      </c>
      <c r="E58" s="677">
        <v>0</v>
      </c>
      <c r="F58" s="674" t="e">
        <f t="shared" si="15"/>
        <v>#DIV/0!</v>
      </c>
      <c r="G58" s="972">
        <f>SUMIF(修正!$A$45:$A$56,项目基本情况!$F$9,修正!C45:C56)</f>
        <v>0.3</v>
      </c>
      <c r="H58" s="973"/>
      <c r="I58" s="1259"/>
      <c r="J58" s="1259"/>
      <c r="K58" s="1263"/>
      <c r="L58" s="1264"/>
      <c r="M58" s="1259"/>
      <c r="N58" s="1259"/>
      <c r="O58" s="971"/>
    </row>
    <row r="59" spans="1:15" s="675" customFormat="1">
      <c r="A59" s="676" t="s">
        <v>2565</v>
      </c>
      <c r="B59" s="178" t="e">
        <f t="shared" si="16"/>
        <v>#DIV/0!</v>
      </c>
      <c r="C59" s="117">
        <f t="shared" si="17"/>
        <v>0.2</v>
      </c>
      <c r="D59" s="1292">
        <v>0.25</v>
      </c>
      <c r="E59" s="677">
        <v>0</v>
      </c>
      <c r="F59" s="674" t="e">
        <f t="shared" si="15"/>
        <v>#DIV/0!</v>
      </c>
      <c r="G59" s="972">
        <f>SUMIF(修正!$A$45:$A$56,项目基本情况!$F$9,修正!D45:D56)</f>
        <v>0.2</v>
      </c>
      <c r="H59" s="973"/>
      <c r="I59" s="1257"/>
      <c r="J59" s="1262"/>
      <c r="K59" s="1258"/>
      <c r="L59" s="1258"/>
      <c r="M59" s="1257"/>
      <c r="N59" s="1257"/>
      <c r="O59" s="971"/>
    </row>
    <row r="60" spans="1:15" s="675" customFormat="1">
      <c r="A60" s="676" t="s">
        <v>2566</v>
      </c>
      <c r="B60" s="178" t="e">
        <f t="shared" si="16"/>
        <v>#DIV/0!</v>
      </c>
      <c r="C60" s="117">
        <f t="shared" si="17"/>
        <v>0.2</v>
      </c>
      <c r="D60" s="1292">
        <v>0.25</v>
      </c>
      <c r="E60" s="677">
        <v>0</v>
      </c>
      <c r="F60" s="674" t="e">
        <f t="shared" si="15"/>
        <v>#DIV/0!</v>
      </c>
      <c r="G60" s="972">
        <f>SUMIF(修正!$A$45:$A$56,项目基本情况!$F$9,修正!E45:E56)</f>
        <v>0.2</v>
      </c>
      <c r="H60" s="973"/>
      <c r="I60" s="1259"/>
      <c r="J60" s="1259"/>
      <c r="K60" s="1263"/>
      <c r="L60" s="1264"/>
      <c r="M60" s="1259"/>
      <c r="N60" s="1259"/>
      <c r="O60" s="971"/>
    </row>
    <row r="61" spans="1:15" s="675" customFormat="1">
      <c r="A61" s="676" t="s">
        <v>2567</v>
      </c>
      <c r="B61" s="178" t="e">
        <f t="shared" si="16"/>
        <v>#DIV/0!</v>
      </c>
      <c r="C61" s="117">
        <f t="shared" si="17"/>
        <v>0.2</v>
      </c>
      <c r="D61" s="1292">
        <v>0.25</v>
      </c>
      <c r="E61" s="677">
        <v>0</v>
      </c>
      <c r="F61" s="674" t="e">
        <f t="shared" si="15"/>
        <v>#DIV/0!</v>
      </c>
      <c r="G61" s="972">
        <f>SUMIF(修正!A45:A56,项目基本情况!F9,修正!F45:F56)</f>
        <v>0.2</v>
      </c>
      <c r="H61" s="973"/>
      <c r="I61" s="1257"/>
      <c r="J61" s="1262"/>
      <c r="K61" s="1258"/>
      <c r="L61" s="1258"/>
      <c r="M61" s="1257"/>
      <c r="N61" s="1257"/>
      <c r="O61" s="971"/>
    </row>
    <row r="62" spans="1:15" s="675" customFormat="1">
      <c r="A62" s="676" t="s">
        <v>2568</v>
      </c>
      <c r="B62" s="178" t="e">
        <f t="shared" si="16"/>
        <v>#DIV/0!</v>
      </c>
      <c r="C62" s="117">
        <f t="shared" si="17"/>
        <v>0.2</v>
      </c>
      <c r="D62" s="1292">
        <v>0.25</v>
      </c>
      <c r="E62" s="677">
        <v>0</v>
      </c>
      <c r="F62" s="674" t="e">
        <f t="shared" si="15"/>
        <v>#DIV/0!</v>
      </c>
      <c r="G62" s="972">
        <f>SUMIF(修正!A45:A56,项目基本情况!F9,修正!G45:G56)</f>
        <v>0.2</v>
      </c>
      <c r="H62" s="973"/>
      <c r="I62" s="1259"/>
      <c r="J62" s="1259"/>
      <c r="K62" s="1263"/>
      <c r="L62" s="1264"/>
      <c r="M62" s="1259"/>
      <c r="N62" s="1259"/>
      <c r="O62" s="971"/>
    </row>
    <row r="63" spans="1:15" s="675" customFormat="1">
      <c r="A63" s="676" t="s">
        <v>2569</v>
      </c>
      <c r="B63" s="178" t="e">
        <f t="shared" si="16"/>
        <v>#DIV/0!</v>
      </c>
      <c r="C63" s="117">
        <f>IF($C$55="北京市系数",G63,H63)</f>
        <v>0.15</v>
      </c>
      <c r="D63" s="1292">
        <v>0.25</v>
      </c>
      <c r="E63" s="677">
        <v>0</v>
      </c>
      <c r="F63" s="674" t="e">
        <f t="shared" si="15"/>
        <v>#DIV/0!</v>
      </c>
      <c r="G63" s="972">
        <f>SUMIF(修正!A45:A56,项目基本情况!F9,修正!H45:H56)</f>
        <v>0.15</v>
      </c>
      <c r="H63" s="973"/>
      <c r="I63" s="1257"/>
      <c r="J63" s="1262"/>
      <c r="K63" s="1258"/>
      <c r="L63" s="1258"/>
      <c r="M63" s="1257"/>
      <c r="N63" s="1257"/>
      <c r="O63" s="971"/>
    </row>
    <row r="64" spans="1:15" s="675" customFormat="1">
      <c r="A64" s="676" t="s">
        <v>2570</v>
      </c>
      <c r="B64" s="178" t="e">
        <f t="shared" si="16"/>
        <v>#DIV/0!</v>
      </c>
      <c r="C64" s="117">
        <f t="shared" si="17"/>
        <v>0.15</v>
      </c>
      <c r="D64" s="1292">
        <v>0.25</v>
      </c>
      <c r="E64" s="677">
        <v>0</v>
      </c>
      <c r="F64" s="674" t="e">
        <f t="shared" si="15"/>
        <v>#DIV/0!</v>
      </c>
      <c r="G64" s="972">
        <f>G63</f>
        <v>0.15</v>
      </c>
      <c r="H64" s="973"/>
      <c r="I64" s="1259"/>
      <c r="J64" s="1259"/>
      <c r="K64" s="1263"/>
      <c r="L64" s="1264"/>
      <c r="M64" s="1259"/>
      <c r="N64" s="1259"/>
      <c r="O64" s="971"/>
    </row>
    <row r="65" spans="1:17" s="675" customFormat="1">
      <c r="A65" s="676" t="s">
        <v>2571</v>
      </c>
      <c r="B65" s="178" t="e">
        <f t="shared" si="16"/>
        <v>#DIV/0!</v>
      </c>
      <c r="C65" s="117">
        <f t="shared" si="17"/>
        <v>0.15</v>
      </c>
      <c r="D65" s="1292">
        <v>0.25</v>
      </c>
      <c r="E65" s="677">
        <v>0</v>
      </c>
      <c r="F65" s="674" t="e">
        <f t="shared" si="15"/>
        <v>#DIV/0!</v>
      </c>
      <c r="G65" s="972">
        <f>G63</f>
        <v>0.15</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3" t="s">
        <v>2573</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4" t="s">
        <v>2574</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41" t="s">
        <v>2338</v>
      </c>
      <c r="D4" s="3042"/>
      <c r="E4" s="3043" t="s">
        <v>2339</v>
      </c>
      <c r="F4" s="3044"/>
      <c r="G4" s="3041" t="s">
        <v>2340</v>
      </c>
      <c r="H4" s="3042"/>
      <c r="I4" s="3041" t="s">
        <v>2341</v>
      </c>
      <c r="J4" s="3042"/>
      <c r="K4" s="594" t="s">
        <v>2342</v>
      </c>
      <c r="L4" s="1243"/>
      <c r="M4" s="1244"/>
      <c r="N4" s="1244"/>
      <c r="O4" s="1244"/>
      <c r="P4" s="3045" t="s">
        <v>2343</v>
      </c>
      <c r="Q4" s="3046"/>
      <c r="R4" s="3051" t="s">
        <v>2339</v>
      </c>
      <c r="S4" s="3052"/>
      <c r="T4" s="3051" t="s">
        <v>2340</v>
      </c>
      <c r="U4" s="3052"/>
      <c r="V4" s="3057" t="s">
        <v>2341</v>
      </c>
      <c r="W4" s="3057"/>
      <c r="X4" s="1900"/>
      <c r="Y4" s="3051" t="s">
        <v>2343</v>
      </c>
      <c r="Z4" s="3052"/>
      <c r="AA4" s="3038" t="s">
        <v>2339</v>
      </c>
      <c r="AB4" s="3039" t="s">
        <v>2340</v>
      </c>
      <c r="AC4" s="3038" t="s">
        <v>2341</v>
      </c>
    </row>
    <row r="5" spans="1:29" ht="15">
      <c r="A5" s="383"/>
      <c r="B5" s="384"/>
      <c r="C5" s="3086" t="s">
        <v>2344</v>
      </c>
      <c r="D5" s="3061"/>
      <c r="E5" s="3087" t="s">
        <v>2345</v>
      </c>
      <c r="F5" s="3059"/>
      <c r="G5" s="3086" t="s">
        <v>2346</v>
      </c>
      <c r="H5" s="3061"/>
      <c r="I5" s="3086" t="s">
        <v>2347</v>
      </c>
      <c r="J5" s="3061"/>
      <c r="K5" s="594"/>
      <c r="L5" s="1243"/>
      <c r="M5" s="1244"/>
      <c r="N5" s="1244"/>
      <c r="O5" s="1244"/>
      <c r="P5" s="3047"/>
      <c r="Q5" s="3048"/>
      <c r="R5" s="3053"/>
      <c r="S5" s="3054"/>
      <c r="T5" s="3053"/>
      <c r="U5" s="3054"/>
      <c r="V5" s="3057"/>
      <c r="W5" s="3057"/>
      <c r="X5" s="1900"/>
      <c r="Y5" s="3053"/>
      <c r="Z5" s="3054"/>
      <c r="AA5" s="3039"/>
      <c r="AB5" s="3039"/>
      <c r="AC5" s="3039"/>
    </row>
    <row r="6" spans="1:29" ht="15.75" thickBot="1">
      <c r="A6" s="385"/>
      <c r="B6" s="386"/>
      <c r="C6" s="3062" t="s">
        <v>2348</v>
      </c>
      <c r="D6" s="3063"/>
      <c r="E6" s="3064" t="s">
        <v>2348</v>
      </c>
      <c r="F6" s="3065"/>
      <c r="G6" s="3062" t="s">
        <v>2348</v>
      </c>
      <c r="H6" s="3063"/>
      <c r="I6" s="3062" t="s">
        <v>2348</v>
      </c>
      <c r="J6" s="3063"/>
      <c r="K6" s="594" t="s">
        <v>2349</v>
      </c>
      <c r="L6" s="1243"/>
      <c r="M6" s="1244"/>
      <c r="N6" s="1244"/>
      <c r="O6" s="1244"/>
      <c r="P6" s="3049"/>
      <c r="Q6" s="3050"/>
      <c r="R6" s="3053"/>
      <c r="S6" s="3054"/>
      <c r="T6" s="3055"/>
      <c r="U6" s="3056"/>
      <c r="V6" s="3057"/>
      <c r="W6" s="3057"/>
      <c r="X6" s="1900"/>
      <c r="Y6" s="3055"/>
      <c r="Z6" s="3056"/>
      <c r="AA6" s="3040"/>
      <c r="AB6" s="3040"/>
      <c r="AC6" s="3040"/>
    </row>
    <row r="7" spans="1:29" s="35" customFormat="1" ht="15.75" thickBot="1">
      <c r="A7" s="387" t="s">
        <v>2350</v>
      </c>
      <c r="B7" s="388"/>
      <c r="C7" s="389">
        <f>'数据-取费表'!B2</f>
        <v>43230</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73" t="s">
        <v>2351</v>
      </c>
      <c r="Q7" s="3075"/>
      <c r="R7" s="749" t="s">
        <v>25</v>
      </c>
      <c r="S7" s="750">
        <f t="shared" ref="S7:S15" si="0">F7</f>
        <v>0</v>
      </c>
      <c r="T7" s="749" t="s">
        <v>25</v>
      </c>
      <c r="U7" s="750">
        <f t="shared" ref="U7:U15" si="1">H7</f>
        <v>0</v>
      </c>
      <c r="V7" s="749" t="s">
        <v>25</v>
      </c>
      <c r="W7" s="750">
        <f t="shared" ref="W7:W15" si="2">J7</f>
        <v>0</v>
      </c>
      <c r="X7" s="751"/>
      <c r="Y7" s="3073" t="s">
        <v>2351</v>
      </c>
      <c r="Z7" s="3074"/>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3" t="s">
        <v>2354</v>
      </c>
      <c r="Q8" s="3074"/>
      <c r="R8" s="749" t="s">
        <v>25</v>
      </c>
      <c r="S8" s="750">
        <f t="shared" si="0"/>
        <v>0</v>
      </c>
      <c r="T8" s="749" t="s">
        <v>25</v>
      </c>
      <c r="U8" s="750">
        <f t="shared" si="1"/>
        <v>0</v>
      </c>
      <c r="V8" s="749" t="s">
        <v>25</v>
      </c>
      <c r="W8" s="750">
        <f t="shared" si="2"/>
        <v>0</v>
      </c>
      <c r="X8" s="751"/>
      <c r="Y8" s="3073" t="s">
        <v>2354</v>
      </c>
      <c r="Z8" s="3074"/>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77" t="s">
        <v>2357</v>
      </c>
      <c r="Q9" s="1887" t="str">
        <f t="shared" ref="Q9:Q15" si="6">B9</f>
        <v>用途</v>
      </c>
      <c r="R9" s="749" t="s">
        <v>25</v>
      </c>
      <c r="S9" s="750">
        <f t="shared" si="0"/>
        <v>100</v>
      </c>
      <c r="T9" s="749" t="s">
        <v>25</v>
      </c>
      <c r="U9" s="750">
        <f t="shared" si="1"/>
        <v>100</v>
      </c>
      <c r="V9" s="749" t="s">
        <v>25</v>
      </c>
      <c r="W9" s="750">
        <f t="shared" si="2"/>
        <v>100</v>
      </c>
      <c r="X9" s="751"/>
      <c r="Y9" s="2889"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77"/>
      <c r="Q10" s="1887" t="str">
        <f t="shared" si="6"/>
        <v>土地使用年限（年）</v>
      </c>
      <c r="R10" s="749" t="s">
        <v>25</v>
      </c>
      <c r="S10" s="750">
        <f t="shared" si="0"/>
        <v>104</v>
      </c>
      <c r="T10" s="749" t="s">
        <v>25</v>
      </c>
      <c r="U10" s="750">
        <f t="shared" si="1"/>
        <v>104</v>
      </c>
      <c r="V10" s="749" t="s">
        <v>25</v>
      </c>
      <c r="W10" s="750">
        <f t="shared" si="2"/>
        <v>104</v>
      </c>
      <c r="X10" s="751"/>
      <c r="Y10" s="2889"/>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7"/>
      <c r="Q11" s="1887" t="str">
        <f t="shared" si="6"/>
        <v>容积率</v>
      </c>
      <c r="R11" s="749" t="s">
        <v>25</v>
      </c>
      <c r="S11" s="750" t="e">
        <f t="shared" si="0"/>
        <v>#N/A</v>
      </c>
      <c r="T11" s="749" t="s">
        <v>25</v>
      </c>
      <c r="U11" s="750" t="e">
        <f t="shared" si="1"/>
        <v>#N/A</v>
      </c>
      <c r="V11" s="749" t="s">
        <v>25</v>
      </c>
      <c r="W11" s="750" t="e">
        <f t="shared" si="2"/>
        <v>#N/A</v>
      </c>
      <c r="X11" s="751"/>
      <c r="Y11" s="2889"/>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7"/>
      <c r="Q12" s="1887">
        <f t="shared" si="6"/>
        <v>111</v>
      </c>
      <c r="R12" s="749" t="s">
        <v>25</v>
      </c>
      <c r="S12" s="750">
        <f t="shared" si="0"/>
        <v>100</v>
      </c>
      <c r="T12" s="749" t="s">
        <v>25</v>
      </c>
      <c r="U12" s="750">
        <f t="shared" si="1"/>
        <v>100</v>
      </c>
      <c r="V12" s="749" t="s">
        <v>25</v>
      </c>
      <c r="W12" s="750">
        <f t="shared" si="2"/>
        <v>100</v>
      </c>
      <c r="X12" s="751"/>
      <c r="Y12" s="2889"/>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7"/>
      <c r="Q13" s="1887">
        <f t="shared" si="6"/>
        <v>111</v>
      </c>
      <c r="R13" s="749" t="s">
        <v>25</v>
      </c>
      <c r="S13" s="750">
        <f t="shared" si="0"/>
        <v>100</v>
      </c>
      <c r="T13" s="749" t="s">
        <v>25</v>
      </c>
      <c r="U13" s="750">
        <f t="shared" si="1"/>
        <v>100</v>
      </c>
      <c r="V13" s="749" t="s">
        <v>25</v>
      </c>
      <c r="W13" s="750">
        <f t="shared" si="2"/>
        <v>100</v>
      </c>
      <c r="X13" s="751"/>
      <c r="Y13" s="2889"/>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7"/>
      <c r="Q14" s="1887">
        <f t="shared" si="6"/>
        <v>111</v>
      </c>
      <c r="R14" s="749" t="s">
        <v>25</v>
      </c>
      <c r="S14" s="750">
        <f t="shared" si="0"/>
        <v>100</v>
      </c>
      <c r="T14" s="749" t="s">
        <v>25</v>
      </c>
      <c r="U14" s="750">
        <f t="shared" si="1"/>
        <v>100</v>
      </c>
      <c r="V14" s="749" t="s">
        <v>25</v>
      </c>
      <c r="W14" s="750">
        <f t="shared" si="2"/>
        <v>100</v>
      </c>
      <c r="X14" s="751"/>
      <c r="Y14" s="2889"/>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66" t="s">
        <v>2362</v>
      </c>
      <c r="Q15" s="1899" t="str">
        <f t="shared" si="6"/>
        <v>产业集聚程度</v>
      </c>
      <c r="R15" s="753" t="s">
        <v>25</v>
      </c>
      <c r="S15" s="754">
        <f t="shared" si="0"/>
        <v>100</v>
      </c>
      <c r="T15" s="753" t="s">
        <v>25</v>
      </c>
      <c r="U15" s="754">
        <f t="shared" si="1"/>
        <v>100</v>
      </c>
      <c r="V15" s="753" t="s">
        <v>25</v>
      </c>
      <c r="W15" s="754">
        <f t="shared" si="2"/>
        <v>100</v>
      </c>
      <c r="X15" s="1900"/>
      <c r="Y15" s="3066"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67"/>
      <c r="Q16" s="1899"/>
      <c r="R16" s="753"/>
      <c r="S16" s="754"/>
      <c r="T16" s="753"/>
      <c r="U16" s="754"/>
      <c r="V16" s="753"/>
      <c r="W16" s="754"/>
      <c r="X16" s="1900"/>
      <c r="Y16" s="3067"/>
      <c r="Z16" s="1902"/>
      <c r="AA16" s="1903">
        <v>1</v>
      </c>
      <c r="AB16" s="1903">
        <v>1</v>
      </c>
      <c r="AC16" s="1903">
        <v>1</v>
      </c>
    </row>
    <row r="17" spans="1:29" ht="85.5">
      <c r="A17" s="408"/>
      <c r="B17" s="615" t="s">
        <v>2505</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67"/>
      <c r="Q17" s="1899" t="str">
        <f>B17</f>
        <v>交通便捷度</v>
      </c>
      <c r="R17" s="753" t="s">
        <v>25</v>
      </c>
      <c r="S17" s="754">
        <f>F17</f>
        <v>100</v>
      </c>
      <c r="T17" s="753" t="s">
        <v>25</v>
      </c>
      <c r="U17" s="754">
        <f>H17</f>
        <v>100</v>
      </c>
      <c r="V17" s="753" t="s">
        <v>25</v>
      </c>
      <c r="W17" s="754">
        <f>J17</f>
        <v>100</v>
      </c>
      <c r="X17" s="1900"/>
      <c r="Y17" s="306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67"/>
      <c r="Q18" s="1899"/>
      <c r="R18" s="753"/>
      <c r="S18" s="754"/>
      <c r="T18" s="753"/>
      <c r="U18" s="754"/>
      <c r="V18" s="753"/>
      <c r="W18" s="754"/>
      <c r="X18" s="1900"/>
      <c r="Y18" s="3067"/>
      <c r="Z18" s="1902"/>
      <c r="AA18" s="1903">
        <v>1</v>
      </c>
      <c r="AB18" s="1903">
        <v>1</v>
      </c>
      <c r="AC18" s="1903">
        <v>1</v>
      </c>
    </row>
    <row r="19" spans="1:29" ht="15">
      <c r="A19" s="408"/>
      <c r="B19" s="615" t="s">
        <v>2545</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67"/>
      <c r="Q19" s="1899" t="str">
        <f t="shared" ref="Q19:Q33" si="8">B19</f>
        <v>区域土地利用方向</v>
      </c>
      <c r="R19" s="753" t="s">
        <v>25</v>
      </c>
      <c r="S19" s="754">
        <f>F19</f>
        <v>100</v>
      </c>
      <c r="T19" s="753" t="s">
        <v>25</v>
      </c>
      <c r="U19" s="754">
        <f>H19</f>
        <v>100</v>
      </c>
      <c r="V19" s="753" t="s">
        <v>25</v>
      </c>
      <c r="W19" s="754">
        <f>J19</f>
        <v>100</v>
      </c>
      <c r="X19" s="1900"/>
      <c r="Y19" s="306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67"/>
      <c r="Q20" s="1899"/>
      <c r="R20" s="753"/>
      <c r="S20" s="754"/>
      <c r="T20" s="753"/>
      <c r="U20" s="754"/>
      <c r="V20" s="753"/>
      <c r="W20" s="754"/>
      <c r="X20" s="1900"/>
      <c r="Y20" s="3067"/>
      <c r="Z20" s="1902"/>
      <c r="AA20" s="1903"/>
      <c r="AB20" s="1903"/>
      <c r="AC20" s="1903"/>
    </row>
    <row r="21" spans="1:29" ht="71.25">
      <c r="A21" s="383"/>
      <c r="B21" s="615" t="s">
        <v>2590</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67"/>
      <c r="Q21" s="1899" t="str">
        <f t="shared" si="8"/>
        <v>环境状况</v>
      </c>
      <c r="R21" s="753" t="s">
        <v>25</v>
      </c>
      <c r="S21" s="754">
        <f>F21</f>
        <v>100</v>
      </c>
      <c r="T21" s="753" t="s">
        <v>25</v>
      </c>
      <c r="U21" s="754">
        <f>H21</f>
        <v>100</v>
      </c>
      <c r="V21" s="753" t="s">
        <v>25</v>
      </c>
      <c r="W21" s="754">
        <f>J21</f>
        <v>100</v>
      </c>
      <c r="X21" s="1900"/>
      <c r="Y21" s="306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67"/>
      <c r="Q22" s="1899"/>
      <c r="R22" s="753"/>
      <c r="S22" s="754"/>
      <c r="T22" s="753"/>
      <c r="U22" s="754"/>
      <c r="V22" s="753"/>
      <c r="W22" s="754"/>
      <c r="X22" s="1900"/>
      <c r="Y22" s="3067"/>
      <c r="Z22" s="1902"/>
      <c r="AA22" s="1903">
        <v>1</v>
      </c>
      <c r="AB22" s="1903">
        <v>1</v>
      </c>
      <c r="AC22" s="1903">
        <v>1</v>
      </c>
    </row>
    <row r="23" spans="1:29" s="35" customFormat="1" ht="42.75">
      <c r="A23" s="633"/>
      <c r="B23" s="615" t="s">
        <v>2448</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67"/>
      <c r="Q23" s="1887" t="str">
        <f t="shared" si="8"/>
        <v>公共配套设施</v>
      </c>
      <c r="R23" s="749" t="s">
        <v>25</v>
      </c>
      <c r="S23" s="750">
        <f>F23</f>
        <v>100</v>
      </c>
      <c r="T23" s="749" t="s">
        <v>25</v>
      </c>
      <c r="U23" s="750">
        <f>H23</f>
        <v>100</v>
      </c>
      <c r="V23" s="749" t="s">
        <v>25</v>
      </c>
      <c r="W23" s="750">
        <f>J23</f>
        <v>100</v>
      </c>
      <c r="X23" s="751"/>
      <c r="Y23" s="3067"/>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67"/>
      <c r="Q24" s="1887"/>
      <c r="R24" s="749"/>
      <c r="S24" s="750"/>
      <c r="T24" s="749"/>
      <c r="U24" s="750"/>
      <c r="V24" s="749"/>
      <c r="W24" s="750"/>
      <c r="X24" s="751"/>
      <c r="Y24" s="3067"/>
      <c r="Z24" s="23"/>
      <c r="AA24" s="752">
        <v>1</v>
      </c>
      <c r="AB24" s="752">
        <v>1</v>
      </c>
      <c r="AC24" s="752">
        <v>1</v>
      </c>
    </row>
    <row r="25" spans="1:29" s="35" customFormat="1" ht="28.5">
      <c r="A25" s="633"/>
      <c r="B25" s="617" t="s">
        <v>2449</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67"/>
      <c r="Q25" s="1887" t="str">
        <f t="shared" ref="Q25" si="9">B25</f>
        <v>基础设施水平</v>
      </c>
      <c r="R25" s="749" t="s">
        <v>25</v>
      </c>
      <c r="S25" s="750">
        <f>F25</f>
        <v>100</v>
      </c>
      <c r="T25" s="749" t="s">
        <v>25</v>
      </c>
      <c r="U25" s="750">
        <f>H25</f>
        <v>100</v>
      </c>
      <c r="V25" s="749" t="s">
        <v>25</v>
      </c>
      <c r="W25" s="750">
        <f>J25</f>
        <v>100</v>
      </c>
      <c r="X25" s="751"/>
      <c r="Y25" s="3067"/>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67"/>
      <c r="Q26" s="1887"/>
      <c r="R26" s="749"/>
      <c r="S26" s="750"/>
      <c r="T26" s="749"/>
      <c r="U26" s="750"/>
      <c r="V26" s="749"/>
      <c r="W26" s="750"/>
      <c r="X26" s="751"/>
      <c r="Y26" s="3067"/>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6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67"/>
      <c r="Z27" s="1902" t="str">
        <f t="shared" ref="Z27:Z40" si="13">Q27</f>
        <v>临街状况</v>
      </c>
      <c r="AA27" s="1903">
        <f t="shared" si="3"/>
        <v>1</v>
      </c>
      <c r="AB27" s="1903">
        <f t="shared" si="4"/>
        <v>1</v>
      </c>
      <c r="AC27" s="1903">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67"/>
      <c r="Q28" s="1899" t="str">
        <f t="shared" si="8"/>
        <v>毗邻道路的类型与等级</v>
      </c>
      <c r="R28" s="753" t="s">
        <v>25</v>
      </c>
      <c r="S28" s="754">
        <f t="shared" si="10"/>
        <v>100</v>
      </c>
      <c r="T28" s="753" t="s">
        <v>25</v>
      </c>
      <c r="U28" s="754">
        <f t="shared" si="11"/>
        <v>100</v>
      </c>
      <c r="V28" s="753" t="s">
        <v>25</v>
      </c>
      <c r="W28" s="754">
        <f t="shared" si="12"/>
        <v>100</v>
      </c>
      <c r="X28" s="1900"/>
      <c r="Y28" s="306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67"/>
      <c r="Q29" s="1899"/>
      <c r="R29" s="753"/>
      <c r="S29" s="754"/>
      <c r="T29" s="753"/>
      <c r="U29" s="754"/>
      <c r="V29" s="753"/>
      <c r="W29" s="754"/>
      <c r="X29" s="1900"/>
      <c r="Y29" s="3067"/>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67"/>
      <c r="Q30" s="1899" t="str">
        <f t="shared" si="8"/>
        <v>土地级别</v>
      </c>
      <c r="R30" s="753" t="s">
        <v>25</v>
      </c>
      <c r="S30" s="754">
        <f t="shared" si="10"/>
        <v>100</v>
      </c>
      <c r="T30" s="753" t="s">
        <v>25</v>
      </c>
      <c r="U30" s="754">
        <f t="shared" si="11"/>
        <v>100</v>
      </c>
      <c r="V30" s="753" t="s">
        <v>25</v>
      </c>
      <c r="W30" s="754">
        <f t="shared" si="12"/>
        <v>100</v>
      </c>
      <c r="X30" s="1900"/>
      <c r="Y30" s="3067"/>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67"/>
      <c r="Q31" s="1899">
        <f t="shared" si="8"/>
        <v>111</v>
      </c>
      <c r="R31" s="753" t="s">
        <v>25</v>
      </c>
      <c r="S31" s="754">
        <f t="shared" si="10"/>
        <v>100</v>
      </c>
      <c r="T31" s="753" t="s">
        <v>25</v>
      </c>
      <c r="U31" s="754">
        <f t="shared" si="11"/>
        <v>100</v>
      </c>
      <c r="V31" s="753" t="s">
        <v>25</v>
      </c>
      <c r="W31" s="754">
        <f t="shared" si="12"/>
        <v>100</v>
      </c>
      <c r="X31" s="1900"/>
      <c r="Y31" s="3067"/>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5" t="s">
        <v>2368</v>
      </c>
      <c r="Q32" s="1899">
        <f t="shared" si="8"/>
        <v>111</v>
      </c>
      <c r="R32" s="753" t="s">
        <v>25</v>
      </c>
      <c r="S32" s="754">
        <f t="shared" si="10"/>
        <v>100</v>
      </c>
      <c r="T32" s="753" t="s">
        <v>25</v>
      </c>
      <c r="U32" s="754">
        <f t="shared" si="11"/>
        <v>100</v>
      </c>
      <c r="V32" s="753" t="s">
        <v>25</v>
      </c>
      <c r="W32" s="754">
        <f t="shared" si="12"/>
        <v>100</v>
      </c>
      <c r="X32" s="1900"/>
      <c r="Y32" s="3071" t="s">
        <v>2368</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71"/>
      <c r="Q33" s="1899">
        <f t="shared" si="8"/>
        <v>111</v>
      </c>
      <c r="R33" s="756" t="s">
        <v>25</v>
      </c>
      <c r="S33" s="757">
        <f t="shared" si="10"/>
        <v>100</v>
      </c>
      <c r="T33" s="756" t="s">
        <v>25</v>
      </c>
      <c r="U33" s="757">
        <f t="shared" si="11"/>
        <v>100</v>
      </c>
      <c r="V33" s="756" t="s">
        <v>25</v>
      </c>
      <c r="W33" s="757">
        <f t="shared" si="12"/>
        <v>100</v>
      </c>
      <c r="X33" s="758"/>
      <c r="Y33" s="3071"/>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71"/>
      <c r="Q34" s="1899" t="str">
        <f>B34</f>
        <v>宗地面积</v>
      </c>
      <c r="R34" s="753" t="s">
        <v>25</v>
      </c>
      <c r="S34" s="754" t="e">
        <f t="shared" si="10"/>
        <v>#N/A</v>
      </c>
      <c r="T34" s="753" t="s">
        <v>25</v>
      </c>
      <c r="U34" s="754" t="e">
        <f t="shared" si="11"/>
        <v>#N/A</v>
      </c>
      <c r="V34" s="753" t="s">
        <v>25</v>
      </c>
      <c r="W34" s="754" t="e">
        <f t="shared" si="12"/>
        <v>#N/A</v>
      </c>
      <c r="X34" s="1900"/>
      <c r="Y34" s="3071"/>
      <c r="Z34" s="1902" t="str">
        <f t="shared" si="13"/>
        <v>宗地面积</v>
      </c>
      <c r="AA34" s="1903" t="e">
        <f t="shared" si="3"/>
        <v>#N/A</v>
      </c>
      <c r="AB34" s="1903" t="e">
        <f t="shared" si="4"/>
        <v>#N/A</v>
      </c>
      <c r="AC34" s="1903" t="e">
        <f t="shared" si="5"/>
        <v>#N/A</v>
      </c>
    </row>
    <row r="35" spans="1:29" ht="15">
      <c r="A35" s="453"/>
      <c r="B35" s="402" t="s">
        <v>2549</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71"/>
      <c r="Q35" s="1899" t="str">
        <f t="shared" ref="Q35:Q40" si="14">B35</f>
        <v>宗地形状</v>
      </c>
      <c r="R35" s="753" t="s">
        <v>25</v>
      </c>
      <c r="S35" s="754">
        <f t="shared" si="10"/>
        <v>100</v>
      </c>
      <c r="T35" s="753" t="s">
        <v>25</v>
      </c>
      <c r="U35" s="754">
        <f t="shared" si="11"/>
        <v>100</v>
      </c>
      <c r="V35" s="753" t="s">
        <v>25</v>
      </c>
      <c r="W35" s="754">
        <f t="shared" si="12"/>
        <v>100</v>
      </c>
      <c r="X35" s="1900"/>
      <c r="Y35" s="3071"/>
      <c r="Z35" s="1902" t="str">
        <f t="shared" si="13"/>
        <v>宗地形状</v>
      </c>
      <c r="AA35" s="1903">
        <f t="shared" si="3"/>
        <v>1</v>
      </c>
      <c r="AB35" s="1903">
        <f t="shared" si="4"/>
        <v>1</v>
      </c>
      <c r="AC35" s="1903">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71"/>
      <c r="Q36" s="1899" t="str">
        <f t="shared" si="14"/>
        <v>宗地开发程度</v>
      </c>
      <c r="R36" s="749" t="s">
        <v>25</v>
      </c>
      <c r="S36" s="750">
        <f t="shared" si="10"/>
        <v>100</v>
      </c>
      <c r="T36" s="749" t="s">
        <v>25</v>
      </c>
      <c r="U36" s="750">
        <f t="shared" si="11"/>
        <v>100</v>
      </c>
      <c r="V36" s="749" t="s">
        <v>25</v>
      </c>
      <c r="W36" s="750">
        <f t="shared" si="12"/>
        <v>100</v>
      </c>
      <c r="X36" s="751"/>
      <c r="Y36" s="3071"/>
      <c r="Z36" s="23" t="str">
        <f t="shared" si="13"/>
        <v>宗地开发程度</v>
      </c>
      <c r="AA36" s="752">
        <f t="shared" si="3"/>
        <v>1</v>
      </c>
      <c r="AB36" s="752">
        <f t="shared" si="4"/>
        <v>1</v>
      </c>
      <c r="AC36" s="752">
        <f t="shared" si="5"/>
        <v>1</v>
      </c>
    </row>
    <row r="37" spans="1:29" ht="15">
      <c r="A37" s="453"/>
      <c r="B37" s="402" t="s">
        <v>2552</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71" t="s">
        <v>2368</v>
      </c>
      <c r="Q37" s="1899" t="str">
        <f t="shared" si="14"/>
        <v>工程地质条件</v>
      </c>
      <c r="R37" s="753" t="s">
        <v>25</v>
      </c>
      <c r="S37" s="754">
        <f t="shared" si="10"/>
        <v>100</v>
      </c>
      <c r="T37" s="753" t="s">
        <v>25</v>
      </c>
      <c r="U37" s="754">
        <f t="shared" si="11"/>
        <v>100</v>
      </c>
      <c r="V37" s="753" t="s">
        <v>25</v>
      </c>
      <c r="W37" s="754">
        <f t="shared" si="12"/>
        <v>100</v>
      </c>
      <c r="X37" s="1900"/>
      <c r="Y37" s="3071" t="s">
        <v>2368</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71"/>
      <c r="Q38" s="1899">
        <f t="shared" si="14"/>
        <v>111</v>
      </c>
      <c r="R38" s="753" t="s">
        <v>25</v>
      </c>
      <c r="S38" s="754">
        <f t="shared" si="10"/>
        <v>100</v>
      </c>
      <c r="T38" s="753" t="s">
        <v>25</v>
      </c>
      <c r="U38" s="754">
        <f t="shared" si="11"/>
        <v>100</v>
      </c>
      <c r="V38" s="753" t="s">
        <v>25</v>
      </c>
      <c r="W38" s="754">
        <f t="shared" si="12"/>
        <v>100</v>
      </c>
      <c r="X38" s="1900"/>
      <c r="Y38" s="3071"/>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71"/>
      <c r="Q39" s="1899">
        <f t="shared" si="14"/>
        <v>111</v>
      </c>
      <c r="R39" s="753" t="s">
        <v>25</v>
      </c>
      <c r="S39" s="754">
        <f t="shared" si="10"/>
        <v>100</v>
      </c>
      <c r="T39" s="753" t="s">
        <v>25</v>
      </c>
      <c r="U39" s="754">
        <f t="shared" si="11"/>
        <v>100</v>
      </c>
      <c r="V39" s="753" t="s">
        <v>25</v>
      </c>
      <c r="W39" s="754">
        <f t="shared" si="12"/>
        <v>100</v>
      </c>
      <c r="X39" s="1900"/>
      <c r="Y39" s="3071"/>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71"/>
      <c r="Q40" s="1899">
        <f t="shared" si="14"/>
        <v>111</v>
      </c>
      <c r="R40" s="756" t="s">
        <v>25</v>
      </c>
      <c r="S40" s="757">
        <f t="shared" si="10"/>
        <v>100</v>
      </c>
      <c r="T40" s="756" t="s">
        <v>25</v>
      </c>
      <c r="U40" s="757">
        <f t="shared" si="11"/>
        <v>100</v>
      </c>
      <c r="V40" s="756" t="s">
        <v>25</v>
      </c>
      <c r="W40" s="757">
        <f t="shared" si="12"/>
        <v>100</v>
      </c>
      <c r="X40" s="758"/>
      <c r="Y40" s="3071"/>
      <c r="Z40" s="759">
        <f t="shared" si="13"/>
        <v>111</v>
      </c>
      <c r="AA40" s="1903">
        <f t="shared" si="3"/>
        <v>1</v>
      </c>
      <c r="AB40" s="1903">
        <f t="shared" si="4"/>
        <v>1</v>
      </c>
      <c r="AC40" s="1903">
        <f t="shared" si="5"/>
        <v>1</v>
      </c>
    </row>
    <row r="41" spans="1:29" ht="15">
      <c r="A41" s="460" t="s">
        <v>2516</v>
      </c>
      <c r="B41" s="2489" t="s">
        <v>2591</v>
      </c>
      <c r="C41" s="665" t="s">
        <v>1</v>
      </c>
      <c r="D41" s="462"/>
      <c r="E41" s="463"/>
      <c r="F41" s="464"/>
      <c r="G41" s="465"/>
      <c r="H41" s="466"/>
      <c r="I41" s="463"/>
      <c r="J41" s="466"/>
      <c r="K41" s="762"/>
      <c r="L41" s="1256"/>
      <c r="M41" s="1244"/>
      <c r="N41" s="1244"/>
      <c r="O41" s="1257"/>
      <c r="P41" s="3077" t="str">
        <f>A41</f>
        <v>成交单价</v>
      </c>
      <c r="Q41" s="3077"/>
      <c r="R41" s="3057">
        <f>E41</f>
        <v>0</v>
      </c>
      <c r="S41" s="3057"/>
      <c r="T41" s="3057">
        <f>G41</f>
        <v>0</v>
      </c>
      <c r="U41" s="3057"/>
      <c r="V41" s="3057">
        <f>I41</f>
        <v>0</v>
      </c>
      <c r="W41" s="3057"/>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77" t="str">
        <f>A42</f>
        <v>比较价值（元/平方米）</v>
      </c>
      <c r="Q42" s="3077"/>
      <c r="R42" s="3096" t="e">
        <f>ROUND(PRODUCT(R41,AA7:AA40),0)</f>
        <v>#DIV/0!</v>
      </c>
      <c r="S42" s="3096"/>
      <c r="T42" s="3096" t="e">
        <f>ROUND(PRODUCT(T41,AB7:AB40),0)</f>
        <v>#DIV/0!</v>
      </c>
      <c r="U42" s="3096"/>
      <c r="V42" s="3096" t="e">
        <f>ROUND(PRODUCT(V41,AC7:AC40),0)</f>
        <v>#DIV/0!</v>
      </c>
      <c r="W42" s="3096"/>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83" t="str">
        <f>A43</f>
        <v>估价对象XX用房的比较价值（楼面单价，元/平方米）</v>
      </c>
      <c r="Q43" s="3084"/>
      <c r="R43" s="3097" t="e">
        <f>ROUND(AVERAGE(R42:V42),0)</f>
        <v>#DIV/0!</v>
      </c>
      <c r="S43" s="3097"/>
      <c r="T43" s="3097"/>
      <c r="U43" s="3097"/>
      <c r="V43" s="3097"/>
      <c r="W43" s="309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2565</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2566</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2567</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2568</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2569</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2570</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2571</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499" t="s">
        <v>2593</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估价对象为北京市房地产，为所有。根据《房屋所有权证》[]，估价对象建筑面积为140.46平方米，（分摊）出让国有建设用地使用权面积为平方米。估价对象用途为住宅。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2018年5月10日（评估专业人员实地查勘之日）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t="e">
        <f>C26</f>
        <v>#DIV/0!</v>
      </c>
      <c r="C2" s="2505" t="s">
        <v>2603</v>
      </c>
      <c r="D2" s="2506" t="s">
        <v>2604</v>
      </c>
      <c r="E2" s="2507"/>
      <c r="F2" s="2506" t="s">
        <v>2605</v>
      </c>
      <c r="G2" s="2508" t="str">
        <f>项目基本情况!F9</f>
        <v>十级</v>
      </c>
      <c r="H2" s="2509" t="s">
        <v>2606</v>
      </c>
      <c r="I2" s="2508" t="str">
        <f>项目基本情况!F10</f>
        <v>Ⅹ-房1</v>
      </c>
      <c r="J2" s="2510"/>
      <c r="L2" s="2511" t="s">
        <v>2607</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14"/>
      <c r="B4" s="3115"/>
      <c r="C4" s="3115"/>
      <c r="D4" s="3116"/>
      <c r="E4" s="3116"/>
      <c r="F4" s="3116"/>
      <c r="G4" s="3116"/>
      <c r="H4" s="3116"/>
      <c r="I4" s="3116"/>
      <c r="J4" s="3117"/>
      <c r="L4" s="2511" t="s">
        <v>2615</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2616</v>
      </c>
      <c r="B5" s="2515" t="s">
        <v>2617</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98"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2625</v>
      </c>
      <c r="X7" s="1711" t="str">
        <f>G2</f>
        <v>十级</v>
      </c>
      <c r="Y7" s="1711" t="s">
        <v>2626</v>
      </c>
      <c r="Z7" s="1712">
        <f>G3</f>
        <v>0</v>
      </c>
      <c r="AA7" s="1713"/>
      <c r="AB7" s="1713"/>
      <c r="AC7" s="1714"/>
      <c r="AD7" s="1715"/>
      <c r="AE7" s="1715"/>
      <c r="AF7" s="1715"/>
      <c r="AG7" s="1715"/>
      <c r="AH7" s="1715"/>
      <c r="AI7" s="1715"/>
      <c r="AJ7" s="1716"/>
    </row>
    <row r="8" spans="1:36" ht="15">
      <c r="A8" s="3099"/>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11" t="s">
        <v>2630</v>
      </c>
      <c r="X8" s="3112"/>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099"/>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13"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9"/>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1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9"/>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13" t="s">
        <v>2654</v>
      </c>
      <c r="X11" s="1722" t="s">
        <v>2655</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8"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13"/>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8"/>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09">
        <v>12</v>
      </c>
      <c r="S13" s="1710"/>
      <c r="T13" s="1709" t="e">
        <f t="shared" si="0"/>
        <v>#DIV/0!</v>
      </c>
      <c r="U13" s="1710"/>
      <c r="V13" s="1709" t="e">
        <f t="shared" si="1"/>
        <v>#DIV/0!</v>
      </c>
      <c r="W13" s="311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8"/>
      <c r="B14" s="2555"/>
      <c r="C14" s="2556" t="s">
        <v>2666</v>
      </c>
      <c r="D14" s="2557" t="s">
        <v>2667</v>
      </c>
      <c r="E14" s="2557" t="s">
        <v>2667</v>
      </c>
      <c r="F14" s="2558" t="s">
        <v>2668</v>
      </c>
      <c r="G14" s="2559" t="s">
        <v>2669</v>
      </c>
      <c r="H14" s="2560"/>
      <c r="I14" s="2561"/>
      <c r="J14" s="2562"/>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9"/>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8" t="b">
        <f>IF(E2="办公",2,IF(E2="工业",2,IF(E2="住宅",3,IF(E2="商业",IF(C8="不临58条商业街",2,3)))))</f>
        <v>0</v>
      </c>
      <c r="B16" s="2531" t="s">
        <v>2676</v>
      </c>
      <c r="C16" s="1885" t="e">
        <f>ROUND(SUM(G17:J17)/C17,0)</f>
        <v>#DIV/0!</v>
      </c>
      <c r="D16" s="2566" t="s">
        <v>2677</v>
      </c>
      <c r="E16" s="2567"/>
      <c r="F16" s="2568"/>
      <c r="G16" s="2569"/>
      <c r="H16" s="2569"/>
      <c r="I16" s="2569"/>
      <c r="J16" s="2570"/>
      <c r="L16" s="1460" t="s">
        <v>2678</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9"/>
      <c r="B17" s="2571" t="s">
        <v>2679</v>
      </c>
      <c r="C17" s="949">
        <f>SUMPRODUCT((修正!A2:A5=E2)*(修正!B1:M1=G2)*(修正!B2:M5))</f>
        <v>0</v>
      </c>
      <c r="D17" s="2572" t="s">
        <v>2680</v>
      </c>
      <c r="E17" s="948" t="str">
        <f>IF(OR(G2="八级",G2="九级",G2="十级",G2="十一级",G2="十二级"),"五通一平","七通一平")</f>
        <v>五通一平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ROUND(IF(H19="按公示增长率计算",SUMPRODUCT((地价!A3:A22=YEAR(G19)&amp;"-"&amp;ROUNDUP(MONTH(G19)/3,0))*(地价!X2:AB2=E2)*(地价!X3:AB22)),IF(H19="地价指数",M20/M19,(1+I19)^O19)),4)</f>
        <v>#DIV/0!</v>
      </c>
      <c r="D19" s="2582" t="s">
        <v>2687</v>
      </c>
      <c r="E19" s="953">
        <v>41640</v>
      </c>
      <c r="F19" s="2582" t="s">
        <v>2688</v>
      </c>
      <c r="G19" s="954">
        <f>'数据-取费表'!B2</f>
        <v>43230</v>
      </c>
      <c r="H19" s="2583" t="s">
        <v>2689</v>
      </c>
      <c r="I19" s="955" t="str">
        <f>IF(H19="季度增幅（自定义）",SUMIF(N21:N24,E2,O21:O24),"")</f>
        <v/>
      </c>
      <c r="J19" s="2579"/>
      <c r="K19" s="2580"/>
      <c r="L19" s="2584" t="s">
        <v>2690</v>
      </c>
      <c r="M19" s="1826">
        <f>ROUND(SUMIF(地价!B2:F2,E2,地价!B22:F22),0)</f>
        <v>0</v>
      </c>
      <c r="N19" s="1466" t="s">
        <v>2691</v>
      </c>
      <c r="O19" s="956">
        <f>ROUNDDOWN(DATEDIF(E19,G19,"M")/3,0)</f>
        <v>17</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6">
        <f ca="1">存贷款利率!D4/100</f>
        <v>4.3499999999999997E-2</v>
      </c>
      <c r="F20" s="2590" t="s">
        <v>2682</v>
      </c>
      <c r="G20" s="963">
        <f>SUMIF(M15:P15,E2,M17:P17)</f>
        <v>0</v>
      </c>
      <c r="H20" s="2590" t="s">
        <v>2695</v>
      </c>
      <c r="I20" s="964">
        <f>'数据-取费表'!B13</f>
        <v>58.5</v>
      </c>
      <c r="J20" s="965">
        <f>IF(E2="住宅",70,IF(E2="商业",40,50))</f>
        <v>50</v>
      </c>
      <c r="K20" s="2580"/>
      <c r="L20" s="2591" t="s">
        <v>2696</v>
      </c>
      <c r="M20" s="1827">
        <f>ROUND(SUMPRODUCT((地价!A4:A22=YEAR(G19)&amp;"-"&amp;ROUNDUP(MONTH(G19)/3,0))*(地价!B2:F2=E2)*(地价!B4:F22)),0)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899" t="s">
        <v>2704</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2705</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108" t="s">
        <v>2728</v>
      </c>
      <c r="B33" s="2646" t="s">
        <v>2729</v>
      </c>
      <c r="C33" s="123" t="e">
        <f>ROUND(D5*C19*C20*C24*F33,0)</f>
        <v>#DIV/0!</v>
      </c>
      <c r="D33" s="2631"/>
      <c r="E33" s="117" t="e">
        <f t="shared" ref="E33:E39" si="6">ROUND(C33*D33,0)</f>
        <v>#DIV/0!</v>
      </c>
      <c r="F33" s="117">
        <f>SUMIF(修正!A45:A56,G2,修正!B45:B56)</f>
        <v>0.6</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9"/>
      <c r="B34" s="2551" t="s">
        <v>2730</v>
      </c>
      <c r="C34" s="123" t="e">
        <f>ROUND(D5*C19*C20*C24*F34,0)</f>
        <v>#DIV/0!</v>
      </c>
      <c r="D34" s="2631"/>
      <c r="E34" s="117" t="e">
        <f t="shared" si="6"/>
        <v>#DIV/0!</v>
      </c>
      <c r="F34" s="117">
        <f>SUMIF(修正!A45:A56,G2,修正!C45:C56)</f>
        <v>0.3</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9"/>
      <c r="B35" s="2551" t="s">
        <v>2731</v>
      </c>
      <c r="C35" s="123" t="e">
        <f>ROUND(D5*C19*C20*C24*F35,0)</f>
        <v>#DIV/0!</v>
      </c>
      <c r="D35" s="2631"/>
      <c r="E35" s="117" t="e">
        <f t="shared" si="6"/>
        <v>#DIV/0!</v>
      </c>
      <c r="F35" s="117">
        <f>SUMIF(修正!A45:A56,G2,修正!D45:D56)</f>
        <v>0.2</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0"/>
      <c r="B36" s="2551" t="s">
        <v>2732</v>
      </c>
      <c r="C36" s="123" t="e">
        <f>ROUND(D5*C19*C20*C24*F36,0)</f>
        <v>#DIV/0!</v>
      </c>
      <c r="D36" s="2631"/>
      <c r="E36" s="117" t="e">
        <f t="shared" si="6"/>
        <v>#DIV/0!</v>
      </c>
      <c r="F36" s="117">
        <f>SUMIF(修正!A45:A56,G2,修正!E45:E56)</f>
        <v>0.2</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0.15</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38.25">
      <c r="A48" s="2667" t="s">
        <v>2754</v>
      </c>
      <c r="B48" s="2670" t="str">
        <f>估价对象房地状况!C16</f>
        <v>估价对象位于阎村商圈，周边商业氛围较好，人流量较大，商业繁华度较好</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51">
      <c r="A49" s="2667" t="s">
        <v>2755</v>
      </c>
      <c r="B49" s="2671" t="str">
        <f>估价对象房地状况!C18</f>
        <v>估价对象紧邻京周路，有901快车、839等多条公交线路及地铁燕房线燕山线通过，交通便捷度良好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f>估价对象房地状况!C24</f>
        <v>0</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25.5">
      <c r="A54" s="2674" t="s">
        <v>2762</v>
      </c>
      <c r="B54" s="2675" t="str">
        <f>估价对象房地状况!C21</f>
        <v>估价对象所在区域公共配套设施较好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4">
      <c r="A55" s="2674" t="s">
        <v>2763</v>
      </c>
      <c r="B55" s="2671" t="str">
        <f>估价对象房地状况!C22</f>
        <v>七通一平</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64.5" thickBot="1">
      <c r="A56" s="2676" t="s">
        <v>2764</v>
      </c>
      <c r="B56" s="2677" t="str">
        <f>估价对象房地状况!C20</f>
        <v>自然环境有大石河水系（距离4公里）；人文环境有北京理工大学（房山分校）；综合评价环境状况较好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38.25">
      <c r="A59" s="2667" t="s">
        <v>2769</v>
      </c>
      <c r="B59" s="2670" t="str">
        <f>估价对象房地状况!C17</f>
        <v>估价对象位于XX商圈，周边办公楼项目较多，入驻率高，办公集聚程度较好</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51">
      <c r="A60" s="2667" t="s">
        <v>2755</v>
      </c>
      <c r="B60" s="2671" t="str">
        <f>估价对象房地状况!C18</f>
        <v>估价对象紧邻京周路，有901快车、839等多条公交线路及地铁燕房线燕山线通过，交通便捷度良好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f>估价对象房地状况!C24</f>
        <v>0</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25.5">
      <c r="A65" s="2667" t="s">
        <v>2762</v>
      </c>
      <c r="B65" s="2675" t="str">
        <f>估价对象房地状况!C21</f>
        <v>估价对象所在区域公共配套设施较好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4">
      <c r="A66" s="2667" t="s">
        <v>2763</v>
      </c>
      <c r="B66" s="2675" t="str">
        <f>估价对象房地状况!C22</f>
        <v>七通一平</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64.5" thickBot="1">
      <c r="A67" s="2676" t="s">
        <v>2764</v>
      </c>
      <c r="B67" s="2679" t="str">
        <f>估价对象房地状况!C20</f>
        <v>自然环境有大石河水系（距离4公里）；人文环境有北京理工大学（房山分校）；综合评价环境状况较好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38.25">
      <c r="A70" s="2667" t="s">
        <v>2771</v>
      </c>
      <c r="B70" s="2670" t="str">
        <f>估价对象房地状况!C15</f>
        <v>周边有天恒乐活城、燕化星城等社区，综合评价居住社区成熟度较好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51">
      <c r="A71" s="2667" t="s">
        <v>2755</v>
      </c>
      <c r="B71" s="2671" t="str">
        <f>估价对象房地状况!C18</f>
        <v>估价对象紧邻京周路，有901快车、839等多条公交线路及地铁燕房线燕山线通过，交通便捷度良好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f>估价对象房地状况!C24</f>
        <v>0</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25.5">
      <c r="A74" s="2667" t="s">
        <v>2762</v>
      </c>
      <c r="B74" s="2675" t="str">
        <f>估价对象房地状况!C21</f>
        <v>估价对象所在区域公共配套设施较好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4">
      <c r="A75" s="2667" t="s">
        <v>2763</v>
      </c>
      <c r="B75" s="2675" t="str">
        <f>估价对象房地状况!C22</f>
        <v>七通一平</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63.75">
      <c r="A77" s="2667" t="s">
        <v>2764</v>
      </c>
      <c r="B77" s="2670" t="str">
        <f>估价对象房地状况!C20</f>
        <v>自然环境有大石河水系（距离4公里）；人文环境有北京理工大学（房山分校）；综合评价环境状况较好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100" t="s">
        <v>2777</v>
      </c>
      <c r="B90" s="3100"/>
      <c r="C90" s="3100"/>
      <c r="D90" s="3100"/>
      <c r="E90" s="3100"/>
      <c r="F90" s="3100"/>
      <c r="G90" s="3100"/>
      <c r="H90" s="3100"/>
      <c r="I90" s="3100"/>
      <c r="J90" s="3100"/>
      <c r="K90" s="2684"/>
      <c r="L90" s="2684"/>
      <c r="M90" s="2684"/>
      <c r="N90" s="2684"/>
    </row>
    <row r="91" spans="1:37">
      <c r="A91" s="3102" t="s">
        <v>2778</v>
      </c>
      <c r="B91" s="3102" t="s">
        <v>2779</v>
      </c>
      <c r="C91" s="2632" t="s">
        <v>2780</v>
      </c>
      <c r="D91" s="2633"/>
      <c r="E91" s="2633"/>
      <c r="F91" s="2633"/>
      <c r="G91" s="2633"/>
      <c r="H91" s="2633"/>
      <c r="I91" s="2633"/>
      <c r="J91" s="2685"/>
      <c r="K91" s="2686"/>
      <c r="L91" s="2686"/>
      <c r="M91" s="2686"/>
      <c r="N91" s="2686"/>
    </row>
    <row r="92" spans="1:37">
      <c r="A92" s="3102"/>
      <c r="B92" s="3102"/>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103"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04"/>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04"/>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04"/>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04"/>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04"/>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04"/>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05"/>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03"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04"/>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04"/>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04"/>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04"/>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04"/>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04"/>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04"/>
      <c r="B108" s="3106"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05"/>
      <c r="B109" s="3107"/>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01" t="s">
        <v>2785</v>
      </c>
      <c r="B110" s="3101"/>
      <c r="C110" s="3101"/>
      <c r="D110" s="3101"/>
      <c r="E110" s="3101"/>
      <c r="F110" s="3101"/>
      <c r="G110" s="3101"/>
      <c r="H110" s="3101"/>
      <c r="I110" s="3101"/>
      <c r="J110" s="3101"/>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十级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0" t="s">
        <v>788</v>
      </c>
      <c r="B1" s="312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估价对象位于阎村商圈，周边商业氛围较好，人流量较大，商业繁华度较好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估价对象紧邻京周路，有901快车、839等多条公交线路及地铁燕房线燕山线通过，交通便捷度良好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自然环境有大石河水系（距离4公里）；人文环境有北京理工大学（房山分校）；综合评价环境状况较好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估价对象紧邻京周路，有901快车、839等多条公交线路及地铁燕房线燕山线通过，交通便捷度良好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自然环境有大石河水系（距离4公里）；人文环境有北京理工大学（房山分校）；综合评价环境状况较好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周边有天恒乐活城、燕化星城等社区，综合评价居住社区成熟度较好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估价对象紧邻京周路，有901快车、839等多条公交线路及地铁燕房线燕山线通过，交通便捷度良好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自然环境有大石河水系（距离4公里）；人文环境有北京理工大学（房山分校）；综合评价环境状况较好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0" t="s">
        <v>105</v>
      </c>
      <c r="B1" s="3120"/>
      <c r="C1" s="3120"/>
      <c r="D1" s="3120"/>
      <c r="E1" s="3120"/>
      <c r="F1" s="312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1" t="s">
        <v>118</v>
      </c>
      <c r="B2" s="3121"/>
      <c r="C2" s="3121"/>
      <c r="D2" s="3121"/>
      <c r="E2" s="3121"/>
      <c r="F2" s="312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4" t="s">
        <v>132</v>
      </c>
      <c r="B18" s="907" t="s">
        <v>517</v>
      </c>
      <c r="C18" s="908" t="s">
        <v>518</v>
      </c>
      <c r="D18" s="909"/>
      <c r="E18" s="907">
        <v>1</v>
      </c>
      <c r="F18" s="910" t="s">
        <v>519</v>
      </c>
      <c r="G18" s="911"/>
      <c r="H18" s="903"/>
      <c r="I18" s="903"/>
    </row>
    <row r="19" spans="1:9" s="912" customFormat="1" ht="19.5" customHeight="1">
      <c r="A19" s="3124"/>
      <c r="B19" s="3124" t="s">
        <v>520</v>
      </c>
      <c r="C19" s="908" t="s">
        <v>521</v>
      </c>
      <c r="D19" s="909"/>
      <c r="E19" s="907">
        <v>0.9</v>
      </c>
      <c r="F19" s="910" t="s">
        <v>522</v>
      </c>
      <c r="G19" s="911"/>
      <c r="H19" s="903"/>
      <c r="I19" s="903"/>
    </row>
    <row r="20" spans="1:9" s="912" customFormat="1" ht="19.5" customHeight="1">
      <c r="A20" s="3124"/>
      <c r="B20" s="3124"/>
      <c r="C20" s="908" t="s">
        <v>523</v>
      </c>
      <c r="D20" s="909"/>
      <c r="E20" s="907">
        <v>1.1000000000000001</v>
      </c>
      <c r="F20" s="910" t="s">
        <v>524</v>
      </c>
      <c r="G20" s="911"/>
      <c r="H20" s="903"/>
      <c r="I20" s="903"/>
    </row>
    <row r="21" spans="1:9" s="912" customFormat="1" ht="19.5" customHeight="1">
      <c r="A21" s="3124"/>
      <c r="B21" s="3124"/>
      <c r="C21" s="908" t="s">
        <v>525</v>
      </c>
      <c r="D21" s="909"/>
      <c r="E21" s="907">
        <v>0.8</v>
      </c>
      <c r="F21" s="910" t="s">
        <v>526</v>
      </c>
      <c r="G21" s="911"/>
      <c r="H21" s="903"/>
      <c r="I21" s="903"/>
    </row>
    <row r="22" spans="1:9" s="912" customFormat="1" ht="19.5" customHeight="1">
      <c r="A22" s="3124"/>
      <c r="B22" s="3124"/>
      <c r="C22" s="908" t="s">
        <v>527</v>
      </c>
      <c r="D22" s="909"/>
      <c r="E22" s="907">
        <v>0.5</v>
      </c>
      <c r="F22" s="910"/>
      <c r="G22" s="911"/>
      <c r="H22" s="903"/>
      <c r="I22" s="903"/>
    </row>
    <row r="23" spans="1:9" s="912" customFormat="1" ht="19.5" customHeight="1">
      <c r="A23" s="3124" t="s">
        <v>133</v>
      </c>
      <c r="B23" s="907" t="s">
        <v>517</v>
      </c>
      <c r="C23" s="908" t="s">
        <v>528</v>
      </c>
      <c r="D23" s="909"/>
      <c r="E23" s="907">
        <v>1</v>
      </c>
      <c r="F23" s="910" t="s">
        <v>529</v>
      </c>
      <c r="G23" s="911"/>
      <c r="H23" s="903"/>
      <c r="I23" s="903"/>
    </row>
    <row r="24" spans="1:9" s="912" customFormat="1" ht="19.5" customHeight="1">
      <c r="A24" s="3124"/>
      <c r="B24" s="3124" t="s">
        <v>520</v>
      </c>
      <c r="C24" s="908" t="s">
        <v>530</v>
      </c>
      <c r="D24" s="909"/>
      <c r="E24" s="907">
        <v>0.5</v>
      </c>
      <c r="F24" s="910"/>
      <c r="G24" s="911"/>
      <c r="H24" s="903"/>
      <c r="I24" s="903"/>
    </row>
    <row r="25" spans="1:9" s="912" customFormat="1" ht="19.5" customHeight="1">
      <c r="A25" s="3124"/>
      <c r="B25" s="3124"/>
      <c r="C25" s="908" t="s">
        <v>531</v>
      </c>
      <c r="D25" s="909"/>
      <c r="E25" s="907">
        <v>1.1000000000000001</v>
      </c>
      <c r="F25" s="910"/>
      <c r="G25" s="911"/>
      <c r="H25" s="903"/>
      <c r="I25" s="903"/>
    </row>
    <row r="26" spans="1:9" s="912" customFormat="1" ht="19.5" customHeight="1">
      <c r="A26" s="3124"/>
      <c r="B26" s="3124"/>
      <c r="C26" s="908" t="s">
        <v>532</v>
      </c>
      <c r="D26" s="909"/>
      <c r="E26" s="907">
        <v>1.1000000000000001</v>
      </c>
      <c r="F26" s="910"/>
      <c r="G26" s="911"/>
      <c r="H26" s="903"/>
      <c r="I26" s="903"/>
    </row>
    <row r="27" spans="1:9" s="912" customFormat="1" ht="19.5" customHeight="1">
      <c r="A27" s="3124"/>
      <c r="B27" s="3124"/>
      <c r="C27" s="908" t="s">
        <v>533</v>
      </c>
      <c r="D27" s="909"/>
      <c r="E27" s="907">
        <v>0.9</v>
      </c>
      <c r="F27" s="910" t="s">
        <v>534</v>
      </c>
      <c r="G27" s="911"/>
      <c r="H27" s="903"/>
      <c r="I27" s="903"/>
    </row>
    <row r="28" spans="1:9" s="912" customFormat="1" ht="19.5" customHeight="1">
      <c r="A28" s="3124"/>
      <c r="B28" s="3124"/>
      <c r="C28" s="908" t="s">
        <v>535</v>
      </c>
      <c r="D28" s="909"/>
      <c r="E28" s="907">
        <v>0.9</v>
      </c>
      <c r="F28" s="910" t="s">
        <v>536</v>
      </c>
      <c r="G28" s="911"/>
      <c r="H28" s="903"/>
      <c r="I28" s="903"/>
    </row>
    <row r="29" spans="1:9" s="912" customFormat="1" ht="19.5" customHeight="1">
      <c r="A29" s="3124"/>
      <c r="B29" s="3124"/>
      <c r="C29" s="908" t="s">
        <v>537</v>
      </c>
      <c r="D29" s="909"/>
      <c r="E29" s="907">
        <v>0.9</v>
      </c>
      <c r="F29" s="910" t="s">
        <v>538</v>
      </c>
      <c r="G29" s="911"/>
      <c r="H29" s="903"/>
      <c r="I29" s="903"/>
    </row>
    <row r="30" spans="1:9" s="912" customFormat="1" ht="19.5" customHeight="1">
      <c r="A30" s="3124"/>
      <c r="B30" s="3124"/>
      <c r="C30" s="908" t="s">
        <v>539</v>
      </c>
      <c r="D30" s="909"/>
      <c r="E30" s="907">
        <v>0.9</v>
      </c>
      <c r="F30" s="910" t="s">
        <v>540</v>
      </c>
      <c r="G30" s="911"/>
      <c r="H30" s="903"/>
      <c r="I30" s="903"/>
    </row>
    <row r="31" spans="1:9" s="912" customFormat="1" ht="19.5" customHeight="1">
      <c r="A31" s="3124"/>
      <c r="B31" s="3124"/>
      <c r="C31" s="908" t="s">
        <v>541</v>
      </c>
      <c r="D31" s="909"/>
      <c r="E31" s="907">
        <v>0.8</v>
      </c>
      <c r="F31" s="910" t="s">
        <v>542</v>
      </c>
      <c r="G31" s="911"/>
      <c r="H31" s="903"/>
      <c r="I31" s="903"/>
    </row>
    <row r="32" spans="1:9" s="912" customFormat="1" ht="19.5" customHeight="1">
      <c r="A32" s="3124"/>
      <c r="B32" s="3124"/>
      <c r="C32" s="908" t="s">
        <v>543</v>
      </c>
      <c r="D32" s="909"/>
      <c r="E32" s="907">
        <v>0.8</v>
      </c>
      <c r="F32" s="910" t="s">
        <v>544</v>
      </c>
      <c r="G32" s="911"/>
      <c r="H32" s="903"/>
      <c r="I32" s="903"/>
    </row>
    <row r="33" spans="1:9" s="912" customFormat="1" ht="19.5" customHeight="1">
      <c r="A33" s="3124" t="s">
        <v>134</v>
      </c>
      <c r="B33" s="907" t="s">
        <v>517</v>
      </c>
      <c r="C33" s="908" t="s">
        <v>545</v>
      </c>
      <c r="D33" s="909"/>
      <c r="E33" s="907">
        <v>1</v>
      </c>
      <c r="F33" s="910" t="s">
        <v>546</v>
      </c>
      <c r="G33" s="911"/>
      <c r="H33" s="903"/>
      <c r="I33" s="903"/>
    </row>
    <row r="34" spans="1:9" s="912" customFormat="1" ht="19.5" customHeight="1">
      <c r="A34" s="3124"/>
      <c r="B34" s="907" t="s">
        <v>520</v>
      </c>
      <c r="C34" s="908" t="s">
        <v>547</v>
      </c>
      <c r="D34" s="909"/>
      <c r="E34" s="907">
        <v>1.5</v>
      </c>
      <c r="F34" s="910" t="s">
        <v>548</v>
      </c>
      <c r="G34" s="911"/>
      <c r="H34" s="903"/>
      <c r="I34" s="903"/>
    </row>
    <row r="35" spans="1:9" s="912" customFormat="1" ht="19.5" customHeight="1">
      <c r="A35" s="3124" t="s">
        <v>135</v>
      </c>
      <c r="B35" s="907" t="s">
        <v>517</v>
      </c>
      <c r="C35" s="908" t="s">
        <v>549</v>
      </c>
      <c r="D35" s="909"/>
      <c r="E35" s="907">
        <v>1</v>
      </c>
      <c r="F35" s="910" t="s">
        <v>550</v>
      </c>
      <c r="G35" s="911"/>
      <c r="H35" s="903"/>
      <c r="I35" s="903"/>
    </row>
    <row r="36" spans="1:9" s="912" customFormat="1" ht="19.5" customHeight="1">
      <c r="A36" s="3124"/>
      <c r="B36" s="3124" t="s">
        <v>520</v>
      </c>
      <c r="C36" s="908" t="s">
        <v>551</v>
      </c>
      <c r="D36" s="909"/>
      <c r="E36" s="907">
        <v>1</v>
      </c>
      <c r="F36" s="910" t="s">
        <v>552</v>
      </c>
      <c r="G36" s="911"/>
      <c r="H36" s="903"/>
      <c r="I36" s="903"/>
    </row>
    <row r="37" spans="1:9" s="912" customFormat="1" ht="19.5" customHeight="1">
      <c r="A37" s="3124"/>
      <c r="B37" s="3124"/>
      <c r="C37" s="908" t="s">
        <v>553</v>
      </c>
      <c r="D37" s="909"/>
      <c r="E37" s="907">
        <v>1.5</v>
      </c>
      <c r="F37" s="910" t="s">
        <v>554</v>
      </c>
      <c r="G37" s="911"/>
      <c r="H37" s="903"/>
      <c r="I37" s="903"/>
    </row>
    <row r="38" spans="1:9" s="912" customFormat="1" ht="19.5" customHeight="1">
      <c r="A38" s="3124"/>
      <c r="B38" s="3124"/>
      <c r="C38" s="908" t="s">
        <v>555</v>
      </c>
      <c r="D38" s="909"/>
      <c r="E38" s="907">
        <v>1</v>
      </c>
      <c r="F38" s="910" t="s">
        <v>556</v>
      </c>
      <c r="G38" s="911"/>
      <c r="H38" s="903"/>
      <c r="I38" s="903"/>
    </row>
    <row r="39" spans="1:9" s="912" customFormat="1" ht="19.5" customHeight="1">
      <c r="A39" s="3124"/>
      <c r="B39" s="312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4" t="s">
        <v>571</v>
      </c>
      <c r="C61" s="821" t="s">
        <v>572</v>
      </c>
      <c r="D61" s="821" t="s">
        <v>573</v>
      </c>
      <c r="E61" s="920">
        <v>0.5</v>
      </c>
      <c r="F61" s="907">
        <v>80</v>
      </c>
    </row>
    <row r="62" spans="1:8" s="903" customFormat="1" ht="24">
      <c r="A62" s="907">
        <v>2</v>
      </c>
      <c r="B62" s="3124"/>
      <c r="C62" s="821" t="s">
        <v>574</v>
      </c>
      <c r="D62" s="821" t="s">
        <v>575</v>
      </c>
      <c r="E62" s="920">
        <v>0.5</v>
      </c>
      <c r="F62" s="907">
        <v>80</v>
      </c>
    </row>
    <row r="63" spans="1:8" s="903" customFormat="1" ht="36">
      <c r="A63" s="907">
        <v>3</v>
      </c>
      <c r="B63" s="3124"/>
      <c r="C63" s="821" t="s">
        <v>576</v>
      </c>
      <c r="D63" s="821" t="s">
        <v>577</v>
      </c>
      <c r="E63" s="920">
        <v>0.5</v>
      </c>
      <c r="F63" s="907">
        <v>80</v>
      </c>
    </row>
    <row r="64" spans="1:8" s="903" customFormat="1" ht="36">
      <c r="A64" s="907">
        <v>4</v>
      </c>
      <c r="B64" s="3124"/>
      <c r="C64" s="821" t="s">
        <v>578</v>
      </c>
      <c r="D64" s="821" t="s">
        <v>579</v>
      </c>
      <c r="E64" s="920">
        <v>0.4</v>
      </c>
      <c r="F64" s="907">
        <v>60</v>
      </c>
    </row>
    <row r="65" spans="1:6" s="903" customFormat="1" ht="36">
      <c r="A65" s="907">
        <v>5</v>
      </c>
      <c r="B65" s="3124"/>
      <c r="C65" s="821" t="s">
        <v>580</v>
      </c>
      <c r="D65" s="821" t="s">
        <v>581</v>
      </c>
      <c r="E65" s="920">
        <v>0.2</v>
      </c>
      <c r="F65" s="907">
        <v>30</v>
      </c>
    </row>
    <row r="66" spans="1:6" s="903" customFormat="1" ht="36">
      <c r="A66" s="907">
        <v>6</v>
      </c>
      <c r="B66" s="3124"/>
      <c r="C66" s="821" t="s">
        <v>582</v>
      </c>
      <c r="D66" s="821" t="s">
        <v>583</v>
      </c>
      <c r="E66" s="920">
        <v>0.3</v>
      </c>
      <c r="F66" s="907">
        <v>50</v>
      </c>
    </row>
    <row r="67" spans="1:6" s="903" customFormat="1" ht="36">
      <c r="A67" s="907">
        <v>7</v>
      </c>
      <c r="B67" s="3124"/>
      <c r="C67" s="821" t="s">
        <v>584</v>
      </c>
      <c r="D67" s="821" t="s">
        <v>585</v>
      </c>
      <c r="E67" s="920">
        <v>0.2</v>
      </c>
      <c r="F67" s="907">
        <v>30</v>
      </c>
    </row>
    <row r="68" spans="1:6" s="903" customFormat="1" ht="36">
      <c r="A68" s="907">
        <v>8</v>
      </c>
      <c r="B68" s="3124"/>
      <c r="C68" s="821" t="s">
        <v>586</v>
      </c>
      <c r="D68" s="821" t="s">
        <v>587</v>
      </c>
      <c r="E68" s="920">
        <v>0.2</v>
      </c>
      <c r="F68" s="907">
        <v>30</v>
      </c>
    </row>
    <row r="69" spans="1:6" s="903" customFormat="1" ht="36">
      <c r="A69" s="907">
        <v>9</v>
      </c>
      <c r="B69" s="3124"/>
      <c r="C69" s="821" t="s">
        <v>588</v>
      </c>
      <c r="D69" s="821" t="s">
        <v>589</v>
      </c>
      <c r="E69" s="920">
        <v>0.2</v>
      </c>
      <c r="F69" s="907">
        <v>30</v>
      </c>
    </row>
    <row r="70" spans="1:6" s="903" customFormat="1" ht="48">
      <c r="A70" s="907">
        <v>10</v>
      </c>
      <c r="B70" s="3124"/>
      <c r="C70" s="821" t="s">
        <v>590</v>
      </c>
      <c r="D70" s="821" t="s">
        <v>591</v>
      </c>
      <c r="E70" s="920">
        <v>0.2</v>
      </c>
      <c r="F70" s="907">
        <v>30</v>
      </c>
    </row>
    <row r="71" spans="1:6" s="903" customFormat="1" ht="48">
      <c r="A71" s="907">
        <v>11</v>
      </c>
      <c r="B71" s="3124"/>
      <c r="C71" s="821" t="s">
        <v>592</v>
      </c>
      <c r="D71" s="821" t="s">
        <v>593</v>
      </c>
      <c r="E71" s="920">
        <v>0.2</v>
      </c>
      <c r="F71" s="907">
        <v>30</v>
      </c>
    </row>
    <row r="72" spans="1:6" s="903" customFormat="1" ht="36">
      <c r="A72" s="907">
        <v>12</v>
      </c>
      <c r="B72" s="3124"/>
      <c r="C72" s="821" t="s">
        <v>594</v>
      </c>
      <c r="D72" s="821" t="s">
        <v>595</v>
      </c>
      <c r="E72" s="920">
        <v>0.5</v>
      </c>
      <c r="F72" s="907">
        <v>80</v>
      </c>
    </row>
    <row r="73" spans="1:6" s="903" customFormat="1" ht="24">
      <c r="A73" s="907">
        <v>13</v>
      </c>
      <c r="B73" s="3124"/>
      <c r="C73" s="821" t="s">
        <v>596</v>
      </c>
      <c r="D73" s="821" t="s">
        <v>597</v>
      </c>
      <c r="E73" s="920">
        <v>0.4</v>
      </c>
      <c r="F73" s="907">
        <v>60</v>
      </c>
    </row>
    <row r="74" spans="1:6" s="903" customFormat="1" ht="24">
      <c r="A74" s="907">
        <v>14</v>
      </c>
      <c r="B74" s="3124"/>
      <c r="C74" s="821" t="s">
        <v>598</v>
      </c>
      <c r="D74" s="821" t="s">
        <v>599</v>
      </c>
      <c r="E74" s="920">
        <v>0.2</v>
      </c>
      <c r="F74" s="907">
        <v>30</v>
      </c>
    </row>
    <row r="75" spans="1:6" s="903" customFormat="1" ht="24">
      <c r="A75" s="907">
        <v>15</v>
      </c>
      <c r="B75" s="3124"/>
      <c r="C75" s="821" t="s">
        <v>600</v>
      </c>
      <c r="D75" s="821" t="s">
        <v>601</v>
      </c>
      <c r="E75" s="920">
        <v>0.2</v>
      </c>
      <c r="F75" s="907">
        <v>30</v>
      </c>
    </row>
    <row r="76" spans="1:6" s="903" customFormat="1" ht="24">
      <c r="A76" s="907">
        <v>16</v>
      </c>
      <c r="B76" s="3124" t="s">
        <v>602</v>
      </c>
      <c r="C76" s="821" t="s">
        <v>603</v>
      </c>
      <c r="D76" s="821" t="s">
        <v>604</v>
      </c>
      <c r="E76" s="920">
        <v>0.5</v>
      </c>
      <c r="F76" s="907">
        <v>80</v>
      </c>
    </row>
    <row r="77" spans="1:6" s="903" customFormat="1" ht="24">
      <c r="A77" s="907">
        <v>17</v>
      </c>
      <c r="B77" s="3124"/>
      <c r="C77" s="821" t="s">
        <v>605</v>
      </c>
      <c r="D77" s="821" t="s">
        <v>606</v>
      </c>
      <c r="E77" s="920">
        <v>0.5</v>
      </c>
      <c r="F77" s="907">
        <v>80</v>
      </c>
    </row>
    <row r="78" spans="1:6" s="903" customFormat="1" ht="24">
      <c r="A78" s="907">
        <v>18</v>
      </c>
      <c r="B78" s="3124"/>
      <c r="C78" s="821" t="s">
        <v>607</v>
      </c>
      <c r="D78" s="821" t="s">
        <v>608</v>
      </c>
      <c r="E78" s="920">
        <v>0.2</v>
      </c>
      <c r="F78" s="907">
        <v>30</v>
      </c>
    </row>
    <row r="79" spans="1:6" s="903" customFormat="1" ht="24">
      <c r="A79" s="907">
        <v>19</v>
      </c>
      <c r="B79" s="3124"/>
      <c r="C79" s="821" t="s">
        <v>609</v>
      </c>
      <c r="D79" s="821" t="s">
        <v>610</v>
      </c>
      <c r="E79" s="920">
        <v>0.5</v>
      </c>
      <c r="F79" s="907">
        <v>80</v>
      </c>
    </row>
    <row r="80" spans="1:6" s="903" customFormat="1" ht="36">
      <c r="A80" s="907">
        <v>20</v>
      </c>
      <c r="B80" s="3124"/>
      <c r="C80" s="821" t="s">
        <v>611</v>
      </c>
      <c r="D80" s="821" t="s">
        <v>612</v>
      </c>
      <c r="E80" s="920">
        <v>0.2</v>
      </c>
      <c r="F80" s="907">
        <v>30</v>
      </c>
    </row>
    <row r="81" spans="1:6" s="903" customFormat="1" ht="36">
      <c r="A81" s="907">
        <v>21</v>
      </c>
      <c r="B81" s="3124"/>
      <c r="C81" s="821" t="s">
        <v>613</v>
      </c>
      <c r="D81" s="821" t="s">
        <v>614</v>
      </c>
      <c r="E81" s="920">
        <v>0.2</v>
      </c>
      <c r="F81" s="907">
        <v>30</v>
      </c>
    </row>
    <row r="82" spans="1:6" s="903" customFormat="1" ht="48">
      <c r="A82" s="907">
        <v>22</v>
      </c>
      <c r="B82" s="3124"/>
      <c r="C82" s="821" t="s">
        <v>615</v>
      </c>
      <c r="D82" s="821" t="s">
        <v>616</v>
      </c>
      <c r="E82" s="920">
        <v>0.2</v>
      </c>
      <c r="F82" s="907">
        <v>30</v>
      </c>
    </row>
    <row r="83" spans="1:6" s="903" customFormat="1" ht="48">
      <c r="A83" s="907">
        <v>23</v>
      </c>
      <c r="B83" s="3124"/>
      <c r="C83" s="821" t="s">
        <v>617</v>
      </c>
      <c r="D83" s="821" t="s">
        <v>618</v>
      </c>
      <c r="E83" s="920">
        <v>0.2</v>
      </c>
      <c r="F83" s="907">
        <v>30</v>
      </c>
    </row>
    <row r="84" spans="1:6" s="903" customFormat="1" ht="36">
      <c r="A84" s="907">
        <v>24</v>
      </c>
      <c r="B84" s="3124"/>
      <c r="C84" s="821" t="s">
        <v>619</v>
      </c>
      <c r="D84" s="821" t="s">
        <v>620</v>
      </c>
      <c r="E84" s="920">
        <v>0.2</v>
      </c>
      <c r="F84" s="907">
        <v>30</v>
      </c>
    </row>
    <row r="85" spans="1:6" s="903" customFormat="1" ht="36">
      <c r="A85" s="907">
        <v>25</v>
      </c>
      <c r="B85" s="3124"/>
      <c r="C85" s="821" t="s">
        <v>621</v>
      </c>
      <c r="D85" s="821" t="s">
        <v>622</v>
      </c>
      <c r="E85" s="920">
        <v>0.5</v>
      </c>
      <c r="F85" s="907">
        <v>80</v>
      </c>
    </row>
    <row r="86" spans="1:6" s="903" customFormat="1" ht="36">
      <c r="A86" s="907">
        <v>26</v>
      </c>
      <c r="B86" s="3124"/>
      <c r="C86" s="821" t="s">
        <v>623</v>
      </c>
      <c r="D86" s="821" t="s">
        <v>624</v>
      </c>
      <c r="E86" s="920">
        <v>0.2</v>
      </c>
      <c r="F86" s="907">
        <v>30</v>
      </c>
    </row>
    <row r="87" spans="1:6" s="903" customFormat="1" ht="36">
      <c r="A87" s="907">
        <v>27</v>
      </c>
      <c r="B87" s="3124"/>
      <c r="C87" s="821" t="s">
        <v>625</v>
      </c>
      <c r="D87" s="821" t="s">
        <v>626</v>
      </c>
      <c r="E87" s="920">
        <v>0.2</v>
      </c>
      <c r="F87" s="907">
        <v>30</v>
      </c>
    </row>
    <row r="88" spans="1:6" s="903" customFormat="1" ht="36">
      <c r="A88" s="907">
        <v>28</v>
      </c>
      <c r="B88" s="3124"/>
      <c r="C88" s="821" t="s">
        <v>627</v>
      </c>
      <c r="D88" s="821" t="s">
        <v>628</v>
      </c>
      <c r="E88" s="920">
        <v>0.2</v>
      </c>
      <c r="F88" s="907">
        <v>30</v>
      </c>
    </row>
    <row r="89" spans="1:6" s="903" customFormat="1" ht="24">
      <c r="A89" s="907">
        <v>29</v>
      </c>
      <c r="B89" s="3124"/>
      <c r="C89" s="821" t="s">
        <v>629</v>
      </c>
      <c r="D89" s="821" t="s">
        <v>630</v>
      </c>
      <c r="E89" s="920">
        <v>0.2</v>
      </c>
      <c r="F89" s="907">
        <v>30</v>
      </c>
    </row>
    <row r="90" spans="1:6" s="903" customFormat="1" ht="24">
      <c r="A90" s="907">
        <v>30</v>
      </c>
      <c r="B90" s="3124"/>
      <c r="C90" s="821" t="s">
        <v>631</v>
      </c>
      <c r="D90" s="821" t="s">
        <v>632</v>
      </c>
      <c r="E90" s="920">
        <v>0.2</v>
      </c>
      <c r="F90" s="907">
        <v>30</v>
      </c>
    </row>
    <row r="91" spans="1:6" s="903" customFormat="1" ht="36">
      <c r="A91" s="907">
        <v>31</v>
      </c>
      <c r="B91" s="3124"/>
      <c r="C91" s="821" t="s">
        <v>633</v>
      </c>
      <c r="D91" s="821" t="s">
        <v>634</v>
      </c>
      <c r="E91" s="920">
        <v>0.2</v>
      </c>
      <c r="F91" s="907">
        <v>30</v>
      </c>
    </row>
    <row r="92" spans="1:6" s="903" customFormat="1" ht="24">
      <c r="A92" s="907">
        <v>32</v>
      </c>
      <c r="B92" s="3124" t="s">
        <v>635</v>
      </c>
      <c r="C92" s="907" t="s">
        <v>636</v>
      </c>
      <c r="D92" s="821" t="s">
        <v>637</v>
      </c>
      <c r="E92" s="920">
        <v>0.2</v>
      </c>
      <c r="F92" s="907">
        <v>30</v>
      </c>
    </row>
    <row r="93" spans="1:6" s="903" customFormat="1" ht="36">
      <c r="A93" s="907">
        <v>33</v>
      </c>
      <c r="B93" s="3124"/>
      <c r="C93" s="907" t="s">
        <v>638</v>
      </c>
      <c r="D93" s="821" t="s">
        <v>639</v>
      </c>
      <c r="E93" s="920">
        <v>0.2</v>
      </c>
      <c r="F93" s="907">
        <v>30</v>
      </c>
    </row>
    <row r="94" spans="1:6" s="903" customFormat="1" ht="48">
      <c r="A94" s="907">
        <v>34</v>
      </c>
      <c r="B94" s="3124"/>
      <c r="C94" s="907" t="s">
        <v>640</v>
      </c>
      <c r="D94" s="821" t="s">
        <v>641</v>
      </c>
      <c r="E94" s="920">
        <v>0.2</v>
      </c>
      <c r="F94" s="907">
        <v>30</v>
      </c>
    </row>
    <row r="95" spans="1:6" s="903" customFormat="1" ht="36">
      <c r="A95" s="907">
        <v>35</v>
      </c>
      <c r="B95" s="3124"/>
      <c r="C95" s="907" t="s">
        <v>642</v>
      </c>
      <c r="D95" s="821" t="s">
        <v>643</v>
      </c>
      <c r="E95" s="920">
        <v>0.2</v>
      </c>
      <c r="F95" s="907">
        <v>30</v>
      </c>
    </row>
    <row r="96" spans="1:6" s="903" customFormat="1" ht="48">
      <c r="A96" s="907">
        <v>36</v>
      </c>
      <c r="B96" s="3124"/>
      <c r="C96" s="821" t="s">
        <v>644</v>
      </c>
      <c r="D96" s="821" t="s">
        <v>645</v>
      </c>
      <c r="E96" s="920">
        <v>0.2</v>
      </c>
      <c r="F96" s="907">
        <v>30</v>
      </c>
    </row>
    <row r="97" spans="1:6" s="903" customFormat="1" ht="36">
      <c r="A97" s="907">
        <v>37</v>
      </c>
      <c r="B97" s="3124"/>
      <c r="C97" s="907" t="s">
        <v>646</v>
      </c>
      <c r="D97" s="821" t="s">
        <v>647</v>
      </c>
      <c r="E97" s="920">
        <v>0.2</v>
      </c>
      <c r="F97" s="907">
        <v>30</v>
      </c>
    </row>
    <row r="98" spans="1:6" s="903" customFormat="1" ht="36">
      <c r="A98" s="907">
        <v>38</v>
      </c>
      <c r="B98" s="3124"/>
      <c r="C98" s="907" t="s">
        <v>648</v>
      </c>
      <c r="D98" s="821" t="s">
        <v>649</v>
      </c>
      <c r="E98" s="920">
        <v>0.2</v>
      </c>
      <c r="F98" s="907">
        <v>30</v>
      </c>
    </row>
    <row r="99" spans="1:6" s="903" customFormat="1" ht="36">
      <c r="A99" s="907">
        <v>39</v>
      </c>
      <c r="B99" s="3124" t="s">
        <v>650</v>
      </c>
      <c r="C99" s="907" t="s">
        <v>651</v>
      </c>
      <c r="D99" s="821" t="s">
        <v>652</v>
      </c>
      <c r="E99" s="920">
        <v>0.3</v>
      </c>
      <c r="F99" s="907">
        <v>50</v>
      </c>
    </row>
    <row r="100" spans="1:6" s="903" customFormat="1" ht="24">
      <c r="A100" s="907">
        <v>40</v>
      </c>
      <c r="B100" s="3124"/>
      <c r="C100" s="907" t="s">
        <v>653</v>
      </c>
      <c r="D100" s="821" t="s">
        <v>654</v>
      </c>
      <c r="E100" s="920">
        <v>0.2</v>
      </c>
      <c r="F100" s="907">
        <v>30</v>
      </c>
    </row>
    <row r="101" spans="1:6" s="903" customFormat="1" ht="36">
      <c r="A101" s="907">
        <v>41</v>
      </c>
      <c r="B101" s="312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4" t="s">
        <v>665</v>
      </c>
      <c r="C105" s="907" t="s">
        <v>666</v>
      </c>
      <c r="D105" s="821" t="s">
        <v>667</v>
      </c>
      <c r="E105" s="920">
        <v>0.2</v>
      </c>
      <c r="F105" s="907">
        <v>30</v>
      </c>
    </row>
    <row r="106" spans="1:6" s="903" customFormat="1" ht="36">
      <c r="A106" s="907">
        <v>46</v>
      </c>
      <c r="B106" s="3124"/>
      <c r="C106" s="907" t="s">
        <v>668</v>
      </c>
      <c r="D106" s="821" t="s">
        <v>669</v>
      </c>
      <c r="E106" s="920">
        <v>0.2</v>
      </c>
      <c r="F106" s="907">
        <v>30</v>
      </c>
    </row>
    <row r="107" spans="1:6" s="903" customFormat="1" ht="36">
      <c r="A107" s="907">
        <v>47</v>
      </c>
      <c r="B107" s="3124" t="s">
        <v>670</v>
      </c>
      <c r="C107" s="907" t="s">
        <v>671</v>
      </c>
      <c r="D107" s="821" t="s">
        <v>672</v>
      </c>
      <c r="E107" s="920">
        <v>0.3</v>
      </c>
      <c r="F107" s="907">
        <v>50</v>
      </c>
    </row>
    <row r="108" spans="1:6" s="903" customFormat="1" ht="36">
      <c r="A108" s="907">
        <v>48</v>
      </c>
      <c r="B108" s="312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4" t="s">
        <v>681</v>
      </c>
      <c r="C111" s="907" t="s">
        <v>682</v>
      </c>
      <c r="D111" s="821" t="s">
        <v>683</v>
      </c>
      <c r="E111" s="920">
        <v>0.2</v>
      </c>
      <c r="F111" s="907">
        <v>30</v>
      </c>
    </row>
    <row r="112" spans="1:6" s="903" customFormat="1" ht="24">
      <c r="A112" s="907">
        <v>52</v>
      </c>
      <c r="B112" s="3124"/>
      <c r="C112" s="907" t="s">
        <v>684</v>
      </c>
      <c r="D112" s="821" t="s">
        <v>685</v>
      </c>
      <c r="E112" s="920">
        <v>0.2</v>
      </c>
      <c r="F112" s="907">
        <v>30</v>
      </c>
    </row>
    <row r="113" spans="1:6" s="903" customFormat="1" ht="24">
      <c r="A113" s="907">
        <v>53</v>
      </c>
      <c r="B113" s="312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4" t="s">
        <v>694</v>
      </c>
      <c r="C116" s="907" t="s">
        <v>695</v>
      </c>
      <c r="D116" s="821" t="s">
        <v>696</v>
      </c>
      <c r="E116" s="920">
        <v>0.2</v>
      </c>
      <c r="F116" s="907">
        <v>30</v>
      </c>
    </row>
    <row r="117" spans="1:6" ht="36">
      <c r="A117" s="907">
        <v>57</v>
      </c>
      <c r="B117" s="312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0" t="s">
        <v>1034</v>
      </c>
      <c r="C1" s="3130"/>
      <c r="D1" s="3130"/>
      <c r="E1" s="3130"/>
      <c r="F1" s="3130"/>
      <c r="G1" s="3129" t="s">
        <v>1035</v>
      </c>
      <c r="H1" s="3129"/>
      <c r="I1" s="3129"/>
      <c r="J1" s="3129"/>
      <c r="K1" s="3129"/>
      <c r="L1" s="3129"/>
      <c r="N1" s="3129" t="s">
        <v>1036</v>
      </c>
      <c r="O1" s="3129"/>
      <c r="P1" s="3129"/>
      <c r="Q1" s="3129"/>
      <c r="R1" s="1548"/>
      <c r="S1" s="3129" t="s">
        <v>1037</v>
      </c>
      <c r="T1" s="3129"/>
      <c r="U1" s="3129"/>
      <c r="V1" s="3129"/>
      <c r="X1" s="3128" t="s">
        <v>1038</v>
      </c>
      <c r="Y1" s="3129"/>
      <c r="Z1" s="3129"/>
      <c r="AA1" s="3129"/>
      <c r="AB1" s="3129"/>
      <c r="AD1" s="3128" t="s">
        <v>1039</v>
      </c>
      <c r="AE1" s="3129"/>
      <c r="AF1" s="3129"/>
      <c r="AG1" s="3129"/>
      <c r="AH1" s="3129"/>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7" customFormat="1" ht="14.25">
      <c r="A3" s="2728" t="s">
        <v>2807</v>
      </c>
      <c r="B3" s="2718"/>
      <c r="C3" s="2718"/>
      <c r="D3" s="2719"/>
      <c r="E3" s="2719"/>
      <c r="F3" s="2718"/>
      <c r="G3" s="2720"/>
      <c r="H3" s="2721"/>
      <c r="I3" s="2722">
        <f>ROUND(AVERAGE(I4:I19),2)</f>
        <v>2.31</v>
      </c>
      <c r="J3" s="2722">
        <f>ROUND(AVERAGE(J4:J19),2)</f>
        <v>1.5</v>
      </c>
      <c r="K3" s="2722">
        <f>ROUND(AVERAGE(K4:K19),2)</f>
        <v>2.57</v>
      </c>
      <c r="L3" s="2723">
        <f>ROUND(AVERAGE(L4:L19),2)</f>
        <v>1.38</v>
      </c>
      <c r="N3" s="2720"/>
      <c r="O3" s="2724"/>
      <c r="P3" s="2724"/>
      <c r="Q3" s="2724"/>
      <c r="R3" s="2724"/>
      <c r="S3" s="2720"/>
      <c r="T3" s="2724"/>
      <c r="U3" s="2724"/>
      <c r="V3" s="2724"/>
      <c r="W3" s="2727"/>
      <c r="X3" s="2725">
        <f>ROUND(SUMPRODUCT(PRODUCT(1+N3:N$21)),4)</f>
        <v>1.4517</v>
      </c>
      <c r="Y3" s="2725">
        <f>ROUND(SUMPRODUCT(PRODUCT(1+O3:O$21)),4)</f>
        <v>1.2928999999999999</v>
      </c>
      <c r="Z3" s="2725">
        <f t="shared" ref="Z3:Z19" si="0">Y3</f>
        <v>1.2928999999999999</v>
      </c>
      <c r="AA3" s="2725">
        <f>ROUND(SUMPRODUCT(PRODUCT(1+P3:P$21)),4)</f>
        <v>1.5068999999999999</v>
      </c>
      <c r="AB3" s="2725">
        <f>ROUND(SUMPRODUCT(PRODUCT(1+Q3:Q$21)),4)</f>
        <v>1.2557</v>
      </c>
      <c r="AD3" s="2726">
        <f>ROUND(AVERAGE(I3:I$22)/100,4)</f>
        <v>2.2700000000000001E-2</v>
      </c>
      <c r="AE3" s="2726">
        <f>ROUND(AVERAGE(J3:J$22)/100,4)</f>
        <v>1.5699999999999999E-2</v>
      </c>
      <c r="AF3" s="2726">
        <f t="shared" ref="AF3:AF10" si="1">AE3</f>
        <v>1.5699999999999999E-2</v>
      </c>
      <c r="AG3" s="2726">
        <f>ROUND(AVERAGE(K3:K$22)/100,4)</f>
        <v>2.5100000000000001E-2</v>
      </c>
      <c r="AH3" s="2726">
        <f>ROUND(AVERAGE(L3:L$22)/100,4)</f>
        <v>1.35E-2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2811</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29">
        <v>2018</v>
      </c>
      <c r="H5" s="1821">
        <v>2</v>
      </c>
      <c r="I5" s="2710">
        <v>0</v>
      </c>
      <c r="J5" s="2710">
        <v>0</v>
      </c>
      <c r="K5" s="2710">
        <v>0</v>
      </c>
      <c r="L5" s="2711">
        <v>0</v>
      </c>
      <c r="N5" s="1570">
        <f t="shared" ref="N5" si="7">I5/100</f>
        <v>0</v>
      </c>
      <c r="O5" s="1570">
        <f t="shared" ref="O5" si="8">J5/100</f>
        <v>0</v>
      </c>
      <c r="P5" s="1570">
        <f t="shared" ref="P5" si="9">K5/100</f>
        <v>0</v>
      </c>
      <c r="Q5" s="1570">
        <f t="shared" ref="Q5" si="10">L5/100</f>
        <v>0</v>
      </c>
      <c r="R5" s="1823"/>
      <c r="S5" s="1824"/>
      <c r="T5" s="1823"/>
      <c r="U5" s="1823"/>
      <c r="V5" s="1823"/>
      <c r="W5" s="2716" t="s">
        <v>2806</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2812</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08">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2808</v>
      </c>
      <c r="B7" s="1572">
        <v>439</v>
      </c>
      <c r="C7" s="1572">
        <v>327</v>
      </c>
      <c r="D7" s="1572">
        <f t="shared" si="14"/>
        <v>327</v>
      </c>
      <c r="E7" s="1572">
        <v>627</v>
      </c>
      <c r="F7" s="1573">
        <v>283</v>
      </c>
      <c r="G7" s="2715">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2803</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08"/>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07"/>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1050</v>
      </c>
      <c r="B10" s="1580">
        <f t="shared" si="2"/>
        <v>405.524</v>
      </c>
      <c r="C10" s="1580">
        <f t="shared" ref="C10" si="35">C11*(1+O10)</f>
        <v>307.79840000000002</v>
      </c>
      <c r="D10" s="1580">
        <f t="shared" si="14"/>
        <v>307.79840000000002</v>
      </c>
      <c r="E10" s="1580">
        <f t="shared" si="27"/>
        <v>574.67759999999998</v>
      </c>
      <c r="F10" s="1580">
        <f t="shared" si="27"/>
        <v>270.20280000000002</v>
      </c>
      <c r="G10" s="2708"/>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1051</v>
      </c>
      <c r="B11" s="1572">
        <v>392</v>
      </c>
      <c r="C11" s="1572">
        <v>302</v>
      </c>
      <c r="D11" s="1572">
        <f t="shared" si="14"/>
        <v>302</v>
      </c>
      <c r="E11" s="1572">
        <v>553</v>
      </c>
      <c r="F11" s="1573">
        <v>266</v>
      </c>
      <c r="G11" s="3131">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2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2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2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2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2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2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2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2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2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2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2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1219</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1052</v>
      </c>
      <c r="B23" s="1572">
        <v>299</v>
      </c>
      <c r="C23" s="1572">
        <v>252</v>
      </c>
      <c r="D23" s="1572">
        <f t="shared" si="39"/>
        <v>252</v>
      </c>
      <c r="E23" s="1572">
        <v>409</v>
      </c>
      <c r="F23" s="1573">
        <v>227</v>
      </c>
      <c r="G23" s="3132">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1053</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33"/>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1054</v>
      </c>
      <c r="B25" s="1580">
        <f t="shared" si="48"/>
        <v>288.2649053828776</v>
      </c>
      <c r="C25" s="1580">
        <f t="shared" si="48"/>
        <v>243.64564425013293</v>
      </c>
      <c r="D25" s="1580">
        <f t="shared" si="39"/>
        <v>243.64564425013293</v>
      </c>
      <c r="E25" s="1580">
        <f t="shared" si="49"/>
        <v>393.31080825986544</v>
      </c>
      <c r="F25" s="1580">
        <f t="shared" si="49"/>
        <v>223.07903790551154</v>
      </c>
      <c r="G25" s="3133"/>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1055</v>
      </c>
      <c r="B26" s="1580">
        <f t="shared" si="48"/>
        <v>282.50186729015837</v>
      </c>
      <c r="C26" s="1580">
        <f t="shared" si="48"/>
        <v>238.09796174155468</v>
      </c>
      <c r="D26" s="1580">
        <f t="shared" si="39"/>
        <v>238.09796174155468</v>
      </c>
      <c r="E26" s="1580">
        <f t="shared" si="49"/>
        <v>385.33438646014054</v>
      </c>
      <c r="F26" s="1580">
        <f t="shared" si="49"/>
        <v>221.55034055567739</v>
      </c>
      <c r="G26" s="3134"/>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1056</v>
      </c>
      <c r="B27" s="1614">
        <v>278</v>
      </c>
      <c r="C27" s="1614">
        <v>234</v>
      </c>
      <c r="D27" s="1614">
        <f t="shared" si="39"/>
        <v>234</v>
      </c>
      <c r="E27" s="1614">
        <v>379</v>
      </c>
      <c r="F27" s="1615">
        <v>220</v>
      </c>
      <c r="G27" s="312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1057</v>
      </c>
      <c r="B28" s="1580">
        <f>B27/(1+N27)</f>
        <v>275.49301357645425</v>
      </c>
      <c r="C28" s="1580">
        <f>C27/(1+O27)</f>
        <v>232.41954707985698</v>
      </c>
      <c r="D28" s="1580">
        <f t="shared" si="39"/>
        <v>232.41954707985698</v>
      </c>
      <c r="E28" s="1580">
        <f t="shared" ref="E28:F30" si="50">E27/(1+P27)</f>
        <v>375.32184591008121</v>
      </c>
      <c r="F28" s="1580">
        <f t="shared" si="50"/>
        <v>218.03766105054513</v>
      </c>
      <c r="G28" s="312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1058</v>
      </c>
      <c r="B29" s="1580">
        <f>B28/(1+N28)</f>
        <v>275.24529281292263</v>
      </c>
      <c r="C29" s="1580">
        <f>C28/(1+O28)</f>
        <v>231.74747938962707</v>
      </c>
      <c r="D29" s="1580">
        <f t="shared" si="39"/>
        <v>231.74747938962707</v>
      </c>
      <c r="E29" s="1580">
        <f t="shared" si="50"/>
        <v>375.35938184826603</v>
      </c>
      <c r="F29" s="1580">
        <f t="shared" si="50"/>
        <v>216.78033510692495</v>
      </c>
      <c r="G29" s="312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1059</v>
      </c>
      <c r="B30" s="1580">
        <f>B29/(1+N29)</f>
        <v>275.19025476197027</v>
      </c>
      <c r="C30" s="1616">
        <v>232</v>
      </c>
      <c r="D30" s="1616">
        <f t="shared" si="39"/>
        <v>232</v>
      </c>
      <c r="E30" s="1580">
        <f t="shared" si="50"/>
        <v>375.65990977608692</v>
      </c>
      <c r="F30" s="1580">
        <f t="shared" si="50"/>
        <v>214.12518283971252</v>
      </c>
      <c r="G30" s="312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1060</v>
      </c>
      <c r="B31" s="1572">
        <v>275</v>
      </c>
      <c r="C31" s="1572">
        <v>232</v>
      </c>
      <c r="D31" s="1572">
        <f t="shared" si="39"/>
        <v>232</v>
      </c>
      <c r="E31" s="1572">
        <v>376</v>
      </c>
      <c r="F31" s="1573">
        <v>213</v>
      </c>
      <c r="G31" s="312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1061</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2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1062</v>
      </c>
      <c r="B33" s="1580">
        <f t="shared" si="51"/>
        <v>275.19335084830601</v>
      </c>
      <c r="C33" s="1580">
        <f t="shared" si="51"/>
        <v>230.18088050139744</v>
      </c>
      <c r="D33" s="1580">
        <f t="shared" si="39"/>
        <v>230.18088050139744</v>
      </c>
      <c r="E33" s="1580">
        <f t="shared" si="52"/>
        <v>377.58482925212331</v>
      </c>
      <c r="F33" s="1580">
        <f t="shared" si="52"/>
        <v>210.90687997847917</v>
      </c>
      <c r="G33" s="312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1063</v>
      </c>
      <c r="B34" s="1580">
        <f t="shared" si="51"/>
        <v>276.29854502841971</v>
      </c>
      <c r="C34" s="1580">
        <f t="shared" si="51"/>
        <v>229.79023709833027</v>
      </c>
      <c r="D34" s="1580">
        <f t="shared" si="39"/>
        <v>229.79023709833027</v>
      </c>
      <c r="E34" s="1580">
        <f t="shared" si="52"/>
        <v>379.78759731655936</v>
      </c>
      <c r="F34" s="1580">
        <f t="shared" si="52"/>
        <v>211.32953905659235</v>
      </c>
      <c r="G34" s="312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1064</v>
      </c>
      <c r="B35" s="1572">
        <v>269</v>
      </c>
      <c r="C35" s="1572">
        <v>221</v>
      </c>
      <c r="D35" s="1572">
        <f t="shared" si="39"/>
        <v>221</v>
      </c>
      <c r="E35" s="1572">
        <v>373</v>
      </c>
      <c r="F35" s="1573">
        <v>196</v>
      </c>
      <c r="G35" s="312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1065</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2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1066</v>
      </c>
      <c r="B37" s="1580">
        <f t="shared" si="53"/>
        <v>242.95398227588385</v>
      </c>
      <c r="C37" s="1580">
        <f t="shared" si="53"/>
        <v>199.59137053614126</v>
      </c>
      <c r="D37" s="1580">
        <f t="shared" si="39"/>
        <v>199.59137053614126</v>
      </c>
      <c r="E37" s="1580">
        <f t="shared" si="54"/>
        <v>335.92189522342125</v>
      </c>
      <c r="F37" s="1580">
        <f t="shared" si="54"/>
        <v>183.10139991109489</v>
      </c>
      <c r="G37" s="312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1067</v>
      </c>
      <c r="B38" s="1580">
        <f t="shared" si="53"/>
        <v>232.06990378821649</v>
      </c>
      <c r="C38" s="1580">
        <f t="shared" si="53"/>
        <v>192.74878854286936</v>
      </c>
      <c r="D38" s="1580">
        <f t="shared" si="39"/>
        <v>192.74878854286936</v>
      </c>
      <c r="E38" s="1580">
        <f t="shared" si="54"/>
        <v>319.71247284992984</v>
      </c>
      <c r="F38" s="1580">
        <f t="shared" si="54"/>
        <v>175.67053622862409</v>
      </c>
      <c r="G38" s="312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1068</v>
      </c>
      <c r="B39" s="1572">
        <v>220</v>
      </c>
      <c r="C39" s="1572">
        <v>187</v>
      </c>
      <c r="D39" s="1572">
        <f t="shared" si="39"/>
        <v>187</v>
      </c>
      <c r="E39" s="1572">
        <v>301</v>
      </c>
      <c r="F39" s="1573">
        <v>168</v>
      </c>
      <c r="G39" s="312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1069</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2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1070</v>
      </c>
      <c r="B41" s="1580">
        <f t="shared" si="55"/>
        <v>210.630522469011</v>
      </c>
      <c r="C41" s="1580">
        <f t="shared" si="55"/>
        <v>181.69567812247232</v>
      </c>
      <c r="D41" s="1580">
        <f t="shared" si="39"/>
        <v>181.69567812247232</v>
      </c>
      <c r="E41" s="1580">
        <f t="shared" si="56"/>
        <v>286.13517466736738</v>
      </c>
      <c r="F41" s="1580">
        <f t="shared" si="56"/>
        <v>165.47535084591149</v>
      </c>
      <c r="G41" s="312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1071</v>
      </c>
      <c r="B42" s="1580">
        <f t="shared" si="55"/>
        <v>208.83454537875372</v>
      </c>
      <c r="C42" s="1580">
        <f t="shared" si="55"/>
        <v>183.77230517090351</v>
      </c>
      <c r="D42" s="1580">
        <f t="shared" si="39"/>
        <v>183.77230517090351</v>
      </c>
      <c r="E42" s="1580">
        <f t="shared" si="56"/>
        <v>281.10342338870947</v>
      </c>
      <c r="F42" s="1580">
        <f t="shared" si="56"/>
        <v>168.97309388942256</v>
      </c>
      <c r="G42" s="312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1072</v>
      </c>
      <c r="B43" s="1614">
        <v>214</v>
      </c>
      <c r="C43" s="1614">
        <v>188</v>
      </c>
      <c r="D43" s="1614">
        <f t="shared" si="39"/>
        <v>188</v>
      </c>
      <c r="E43" s="1614">
        <v>289</v>
      </c>
      <c r="F43" s="1615">
        <v>166</v>
      </c>
      <c r="G43" s="312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1073</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2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1074</v>
      </c>
      <c r="B45" s="1580">
        <f t="shared" si="57"/>
        <v>206.31694671589116</v>
      </c>
      <c r="C45" s="1580">
        <f t="shared" si="57"/>
        <v>183.61041121036101</v>
      </c>
      <c r="D45" s="1580">
        <f t="shared" si="39"/>
        <v>183.61041121036101</v>
      </c>
      <c r="E45" s="1580">
        <f t="shared" si="58"/>
        <v>276.66850301795557</v>
      </c>
      <c r="F45" s="1580">
        <f t="shared" si="58"/>
        <v>165.1360938278614</v>
      </c>
      <c r="G45" s="312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1075</v>
      </c>
      <c r="B46" s="1617">
        <f t="shared" si="57"/>
        <v>196.62341248059772</v>
      </c>
      <c r="C46" s="1617">
        <f t="shared" si="57"/>
        <v>170.99125648199012</v>
      </c>
      <c r="D46" s="1617">
        <f t="shared" si="39"/>
        <v>170.99125648199012</v>
      </c>
      <c r="E46" s="1617">
        <f t="shared" si="58"/>
        <v>266.07857570490052</v>
      </c>
      <c r="F46" s="1617">
        <f t="shared" si="58"/>
        <v>154.53499328828505</v>
      </c>
      <c r="G46" s="312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1076</v>
      </c>
      <c r="B47" s="1572">
        <v>188</v>
      </c>
      <c r="C47" s="1572">
        <v>165</v>
      </c>
      <c r="D47" s="1572">
        <f t="shared" si="39"/>
        <v>165</v>
      </c>
      <c r="E47" s="1572">
        <v>254</v>
      </c>
      <c r="F47" s="1573">
        <v>148</v>
      </c>
      <c r="G47" s="312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1077</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2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1078</v>
      </c>
      <c r="B49" s="1580">
        <f t="shared" si="61"/>
        <v>168.82017748715555</v>
      </c>
      <c r="C49" s="1580">
        <f t="shared" si="61"/>
        <v>148.06267029972753</v>
      </c>
      <c r="D49" s="1580">
        <f t="shared" si="39"/>
        <v>148.06267029972753</v>
      </c>
      <c r="E49" s="1580">
        <f t="shared" si="62"/>
        <v>216.46288379323747</v>
      </c>
      <c r="F49" s="1580">
        <f t="shared" si="62"/>
        <v>134.23529411764704</v>
      </c>
      <c r="G49" s="312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1079</v>
      </c>
      <c r="B50" s="1580">
        <f t="shared" si="61"/>
        <v>163.84913591779542</v>
      </c>
      <c r="C50" s="1580">
        <f t="shared" si="61"/>
        <v>145.0283378746594</v>
      </c>
      <c r="D50" s="1580">
        <f t="shared" si="39"/>
        <v>145.0283378746594</v>
      </c>
      <c r="E50" s="1580">
        <f t="shared" si="62"/>
        <v>204.95180722891567</v>
      </c>
      <c r="F50" s="1580">
        <f t="shared" si="62"/>
        <v>125.95920303605313</v>
      </c>
      <c r="G50" s="312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1080</v>
      </c>
      <c r="B51" s="1593">
        <v>159</v>
      </c>
      <c r="C51" s="1593">
        <v>141</v>
      </c>
      <c r="D51" s="1593">
        <f t="shared" si="39"/>
        <v>141</v>
      </c>
      <c r="E51" s="1593">
        <v>195</v>
      </c>
      <c r="F51" s="1594">
        <v>122</v>
      </c>
      <c r="G51" s="312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1081</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2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1082</v>
      </c>
      <c r="B53" s="1580">
        <f t="shared" si="65"/>
        <v>146.57412060301507</v>
      </c>
      <c r="C53" s="1580">
        <f t="shared" si="65"/>
        <v>136.46831955922866</v>
      </c>
      <c r="D53" s="1580">
        <f t="shared" si="39"/>
        <v>136.46831955922866</v>
      </c>
      <c r="E53" s="1580">
        <f t="shared" si="66"/>
        <v>166.73864894795128</v>
      </c>
      <c r="F53" s="1580">
        <f t="shared" si="66"/>
        <v>115.05882352941177</v>
      </c>
      <c r="G53" s="312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1083</v>
      </c>
      <c r="B54" s="1580">
        <f t="shared" si="65"/>
        <v>144.04145728643215</v>
      </c>
      <c r="C54" s="1580">
        <f t="shared" si="65"/>
        <v>136.12396694214877</v>
      </c>
      <c r="D54" s="1580">
        <f t="shared" si="39"/>
        <v>136.12396694214877</v>
      </c>
      <c r="E54" s="1580">
        <f t="shared" si="66"/>
        <v>158.32225913621264</v>
      </c>
      <c r="F54" s="1580">
        <f t="shared" si="66"/>
        <v>114.04278074866311</v>
      </c>
      <c r="G54" s="312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1084</v>
      </c>
      <c r="B55" s="1593">
        <v>138</v>
      </c>
      <c r="C55" s="1593">
        <v>131</v>
      </c>
      <c r="D55" s="1593">
        <f t="shared" si="39"/>
        <v>131</v>
      </c>
      <c r="E55" s="1593">
        <v>155</v>
      </c>
      <c r="F55" s="1594">
        <v>114</v>
      </c>
      <c r="G55" s="312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1085</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2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1086</v>
      </c>
      <c r="B57" s="1580">
        <f t="shared" si="69"/>
        <v>124.29032258064517</v>
      </c>
      <c r="C57" s="1580">
        <f t="shared" si="69"/>
        <v>123.8968609865471</v>
      </c>
      <c r="D57" s="1580">
        <f t="shared" si="39"/>
        <v>123.8968609865471</v>
      </c>
      <c r="E57" s="1580">
        <f t="shared" si="70"/>
        <v>138.00507614213197</v>
      </c>
      <c r="F57" s="1580">
        <f t="shared" si="70"/>
        <v>107.96106557377048</v>
      </c>
      <c r="G57" s="312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1087</v>
      </c>
      <c r="B58" s="1580">
        <f t="shared" si="69"/>
        <v>122.57204301075269</v>
      </c>
      <c r="C58" s="1580">
        <f t="shared" si="69"/>
        <v>123.4932735426009</v>
      </c>
      <c r="D58" s="1580">
        <f t="shared" si="39"/>
        <v>123.4932735426009</v>
      </c>
      <c r="E58" s="1580">
        <f t="shared" si="70"/>
        <v>129.82233502538071</v>
      </c>
      <c r="F58" s="1580">
        <f t="shared" si="70"/>
        <v>107.39446721311475</v>
      </c>
      <c r="G58" s="312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1088</v>
      </c>
      <c r="B59" s="1614">
        <v>121</v>
      </c>
      <c r="C59" s="1614">
        <v>122</v>
      </c>
      <c r="D59" s="1614">
        <f t="shared" si="39"/>
        <v>122</v>
      </c>
      <c r="E59" s="1614">
        <v>124</v>
      </c>
      <c r="F59" s="1615">
        <v>107</v>
      </c>
      <c r="G59" s="312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1089</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2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1090</v>
      </c>
      <c r="B61" s="1580">
        <f t="shared" si="73"/>
        <v>116.99099099099099</v>
      </c>
      <c r="C61" s="1580">
        <f t="shared" si="73"/>
        <v>118.84848484848486</v>
      </c>
      <c r="D61" s="1580">
        <f t="shared" si="39"/>
        <v>118.84848484848486</v>
      </c>
      <c r="E61" s="1580">
        <f t="shared" si="74"/>
        <v>117.60960960960961</v>
      </c>
      <c r="F61" s="1580">
        <f t="shared" si="74"/>
        <v>104</v>
      </c>
      <c r="G61" s="312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1091</v>
      </c>
      <c r="B62" s="1617">
        <f t="shared" si="73"/>
        <v>112.48648648648648</v>
      </c>
      <c r="C62" s="1617">
        <f t="shared" si="73"/>
        <v>115.21212121212122</v>
      </c>
      <c r="D62" s="1617">
        <f t="shared" si="39"/>
        <v>115.21212121212122</v>
      </c>
      <c r="E62" s="1617">
        <f t="shared" si="74"/>
        <v>110.4024024024024</v>
      </c>
      <c r="F62" s="1617">
        <f t="shared" si="74"/>
        <v>104</v>
      </c>
      <c r="G62" s="312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1092</v>
      </c>
      <c r="B63" s="1635">
        <v>111</v>
      </c>
      <c r="C63" s="1635">
        <v>114</v>
      </c>
      <c r="D63" s="1635">
        <f t="shared" si="39"/>
        <v>114</v>
      </c>
      <c r="E63" s="1635">
        <v>108</v>
      </c>
      <c r="F63" s="1636">
        <v>104</v>
      </c>
      <c r="G63" s="3125">
        <v>2003</v>
      </c>
      <c r="H63" s="1625">
        <v>4</v>
      </c>
      <c r="I63" s="1637"/>
      <c r="J63" s="1637"/>
      <c r="K63" s="1637"/>
      <c r="L63" s="1637"/>
      <c r="N63" s="1638"/>
      <c r="O63" s="1637"/>
      <c r="P63" s="1637"/>
      <c r="Q63" s="1637"/>
      <c r="S63" s="1638"/>
      <c r="T63" s="1637"/>
      <c r="U63" s="1637"/>
      <c r="V63" s="1637"/>
      <c r="X63" s="1629"/>
      <c r="Y63" s="1629"/>
      <c r="Z63" s="1629"/>
    </row>
    <row r="64" spans="1:26">
      <c r="A64" s="1563" t="s">
        <v>1093</v>
      </c>
      <c r="B64" s="1639">
        <f t="shared" ref="B64:C66" si="75">B65+(B$63-B$67)/4</f>
        <v>109.75</v>
      </c>
      <c r="C64" s="1639">
        <f t="shared" si="75"/>
        <v>112.25</v>
      </c>
      <c r="D64" s="1639">
        <f t="shared" si="39"/>
        <v>112.25</v>
      </c>
      <c r="E64" s="1639">
        <f t="shared" ref="E64:F66" si="76">E65+(E$63-E$67)/4</f>
        <v>107.25</v>
      </c>
      <c r="F64" s="1639">
        <f t="shared" si="76"/>
        <v>103.5</v>
      </c>
      <c r="G64" s="3126">
        <v>2003</v>
      </c>
      <c r="H64" s="1590">
        <v>3</v>
      </c>
      <c r="I64" s="1637"/>
      <c r="J64" s="1637"/>
      <c r="K64" s="1637"/>
      <c r="L64" s="1637"/>
      <c r="X64" s="1629"/>
      <c r="Y64" s="1629"/>
      <c r="Z64" s="1629"/>
    </row>
    <row r="65" spans="1:26">
      <c r="A65" s="1563" t="s">
        <v>1094</v>
      </c>
      <c r="B65" s="1639">
        <f t="shared" si="75"/>
        <v>108.5</v>
      </c>
      <c r="C65" s="1639">
        <f t="shared" si="75"/>
        <v>110.5</v>
      </c>
      <c r="D65" s="1639">
        <f t="shared" si="39"/>
        <v>110.5</v>
      </c>
      <c r="E65" s="1639">
        <f t="shared" si="76"/>
        <v>106.5</v>
      </c>
      <c r="F65" s="1639">
        <f t="shared" si="76"/>
        <v>103</v>
      </c>
      <c r="G65" s="3126">
        <v>2003</v>
      </c>
      <c r="H65" s="1567">
        <v>2</v>
      </c>
      <c r="I65" s="1637"/>
      <c r="J65" s="1637"/>
      <c r="K65" s="1637"/>
      <c r="L65" s="1637"/>
      <c r="X65" s="1629"/>
      <c r="Y65" s="1629"/>
      <c r="Z65" s="1629"/>
    </row>
    <row r="66" spans="1:26" ht="13.5" thickBot="1">
      <c r="A66" s="1563" t="s">
        <v>1095</v>
      </c>
      <c r="B66" s="1639">
        <f t="shared" si="75"/>
        <v>107.25</v>
      </c>
      <c r="C66" s="1639">
        <f t="shared" si="75"/>
        <v>108.75</v>
      </c>
      <c r="D66" s="1639">
        <f t="shared" si="39"/>
        <v>108.75</v>
      </c>
      <c r="E66" s="1639">
        <f t="shared" si="76"/>
        <v>105.75</v>
      </c>
      <c r="F66" s="1639">
        <f t="shared" si="76"/>
        <v>102.5</v>
      </c>
      <c r="G66" s="3127">
        <v>2003</v>
      </c>
      <c r="H66" s="1640">
        <v>1</v>
      </c>
      <c r="I66" s="1637"/>
      <c r="J66" s="1637"/>
      <c r="K66" s="1637"/>
      <c r="L66" s="1637"/>
      <c r="S66" s="1575"/>
      <c r="T66" s="1576"/>
      <c r="U66" s="1576"/>
      <c r="X66" s="1629"/>
      <c r="Y66" s="1629"/>
      <c r="Z66" s="1629"/>
    </row>
    <row r="67" spans="1:26" ht="13.5" thickBot="1">
      <c r="A67" s="1563" t="s">
        <v>1096</v>
      </c>
      <c r="B67" s="1641">
        <v>106</v>
      </c>
      <c r="C67" s="1641">
        <v>107</v>
      </c>
      <c r="D67" s="1641">
        <f t="shared" si="39"/>
        <v>107</v>
      </c>
      <c r="E67" s="1641">
        <v>105</v>
      </c>
      <c r="F67" s="1642">
        <v>102</v>
      </c>
      <c r="G67" s="3125">
        <v>2002</v>
      </c>
      <c r="H67" s="1585">
        <v>4</v>
      </c>
      <c r="I67" s="1637"/>
      <c r="J67" s="1637"/>
      <c r="K67" s="1637"/>
      <c r="L67" s="1637"/>
      <c r="N67" s="1638"/>
      <c r="O67" s="1637"/>
      <c r="P67" s="1637"/>
      <c r="Q67" s="1637"/>
      <c r="S67" s="1638"/>
      <c r="T67" s="1637"/>
      <c r="U67" s="1637"/>
      <c r="V67" s="1637"/>
      <c r="X67" s="1629"/>
      <c r="Y67" s="1629"/>
      <c r="Z67" s="1629"/>
    </row>
    <row r="68" spans="1:26">
      <c r="A68" s="1563" t="s">
        <v>1097</v>
      </c>
      <c r="B68" s="1639">
        <f t="shared" ref="B68:C70" si="77">B69+(B$67-B$71)/4</f>
        <v>105</v>
      </c>
      <c r="C68" s="1639">
        <f t="shared" si="77"/>
        <v>106</v>
      </c>
      <c r="D68" s="1639">
        <f t="shared" si="39"/>
        <v>106</v>
      </c>
      <c r="E68" s="1639">
        <f t="shared" ref="E68:F70" si="78">E69+(E$67-E$71)/4</f>
        <v>104.5</v>
      </c>
      <c r="F68" s="1639">
        <f t="shared" si="78"/>
        <v>101.5</v>
      </c>
      <c r="G68" s="3126">
        <v>2002</v>
      </c>
      <c r="H68" s="1590">
        <v>3</v>
      </c>
      <c r="I68" s="1637"/>
      <c r="J68" s="1637"/>
      <c r="K68" s="1637"/>
      <c r="L68" s="1637"/>
      <c r="X68" s="1629"/>
      <c r="Y68" s="1629"/>
      <c r="Z68" s="1629"/>
    </row>
    <row r="69" spans="1:26">
      <c r="A69" s="1563" t="s">
        <v>1098</v>
      </c>
      <c r="B69" s="1639">
        <f t="shared" si="77"/>
        <v>104</v>
      </c>
      <c r="C69" s="1639">
        <f t="shared" si="77"/>
        <v>105</v>
      </c>
      <c r="D69" s="1639">
        <f t="shared" si="39"/>
        <v>105</v>
      </c>
      <c r="E69" s="1639">
        <f t="shared" si="78"/>
        <v>104</v>
      </c>
      <c r="F69" s="1639">
        <f t="shared" si="78"/>
        <v>101</v>
      </c>
      <c r="G69" s="3126">
        <v>2002</v>
      </c>
      <c r="H69" s="1567">
        <v>2</v>
      </c>
      <c r="I69" s="1637"/>
      <c r="J69" s="1637"/>
      <c r="K69" s="1637"/>
      <c r="L69" s="1637"/>
      <c r="X69" s="1629"/>
      <c r="Y69" s="1629"/>
      <c r="Z69" s="1629"/>
    </row>
    <row r="70" spans="1:26" s="1601" customFormat="1" ht="13.5" thickBot="1">
      <c r="A70" s="1597" t="s">
        <v>1099</v>
      </c>
      <c r="B70" s="1643">
        <f t="shared" si="77"/>
        <v>103</v>
      </c>
      <c r="C70" s="1643">
        <f t="shared" si="77"/>
        <v>104</v>
      </c>
      <c r="D70" s="1643">
        <f t="shared" si="39"/>
        <v>104</v>
      </c>
      <c r="E70" s="1643">
        <f t="shared" si="78"/>
        <v>103.5</v>
      </c>
      <c r="F70" s="1643">
        <f t="shared" si="78"/>
        <v>100.5</v>
      </c>
      <c r="G70" s="312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1100</v>
      </c>
      <c r="G73" s="1653"/>
      <c r="N73" s="1653"/>
      <c r="S73" s="1653"/>
    </row>
    <row r="74" spans="1:26" s="1652" customFormat="1">
      <c r="A74" s="1652" t="s">
        <v>1101</v>
      </c>
      <c r="G74" s="1653"/>
      <c r="N74" s="1653"/>
      <c r="S74" s="1653"/>
    </row>
    <row r="75" spans="1:26" s="1652" customFormat="1">
      <c r="A75" s="1652" t="s">
        <v>1102</v>
      </c>
      <c r="G75" s="1653"/>
      <c r="I75" s="1654"/>
      <c r="J75" s="1654"/>
      <c r="K75" s="1654"/>
      <c r="L75" s="1654"/>
      <c r="N75" s="1655"/>
      <c r="O75" s="1654"/>
      <c r="P75" s="1654"/>
      <c r="Q75" s="1654"/>
      <c r="S75" s="1655"/>
      <c r="T75" s="1654"/>
      <c r="U75" s="1654"/>
      <c r="V75" s="1654"/>
    </row>
    <row r="76" spans="1:26" s="1652" customFormat="1">
      <c r="A76" s="1652" t="s">
        <v>1103</v>
      </c>
      <c r="G76" s="1653"/>
      <c r="N76" s="1653"/>
      <c r="S76" s="1653"/>
    </row>
    <row r="83" spans="7:22" ht="13.5" thickBot="1"/>
    <row r="84" spans="7:22">
      <c r="G84" s="1574"/>
      <c r="S84" s="1656" t="s">
        <v>1104</v>
      </c>
      <c r="T84" s="1657" t="s">
        <v>1105</v>
      </c>
      <c r="U84" s="1657" t="s">
        <v>1106</v>
      </c>
      <c r="V84" s="1657" t="s">
        <v>1107</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43230</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N34"/>
  <sheetViews>
    <sheetView topLeftCell="A13" workbookViewId="0">
      <selection activeCell="O37" sqref="O37"/>
    </sheetView>
  </sheetViews>
  <sheetFormatPr defaultRowHeight="13.5"/>
  <sheetData>
    <row r="5" spans="14:14">
      <c r="N5">
        <v>26</v>
      </c>
    </row>
    <row r="13" spans="14:14">
      <c r="N13">
        <v>28</v>
      </c>
    </row>
    <row r="24" spans="14:14">
      <c r="N24">
        <v>33</v>
      </c>
    </row>
    <row r="34" spans="14:14">
      <c r="N34">
        <v>31</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P48"/>
  <sheetViews>
    <sheetView workbookViewId="0">
      <selection activeCell="Q32" sqref="Q32"/>
    </sheetView>
  </sheetViews>
  <sheetFormatPr defaultRowHeight="13.5"/>
  <sheetData>
    <row r="6" spans="15:16" ht="14.25">
      <c r="P6" s="414" t="s">
        <v>2886</v>
      </c>
    </row>
    <row r="8" spans="15:16">
      <c r="O8" s="1909"/>
    </row>
    <row r="21" spans="15:16" ht="14.25">
      <c r="O21" s="1909"/>
      <c r="P21" s="414" t="s">
        <v>2887</v>
      </c>
    </row>
    <row r="36" spans="15:16">
      <c r="O36" s="1909"/>
    </row>
    <row r="48" spans="15:16" ht="14.25">
      <c r="P48" s="414" t="s">
        <v>2888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6"/>
      <c r="C2" s="2776"/>
      <c r="D2" s="2776"/>
      <c r="E2" s="2776"/>
    </row>
    <row r="3" spans="1:5" ht="13.5" customHeight="1">
      <c r="A3" s="1930"/>
      <c r="B3" s="1930"/>
      <c r="C3" s="1930"/>
      <c r="D3" s="1930"/>
      <c r="E3" s="1930"/>
    </row>
    <row r="4" spans="1:5" ht="19.5" thickBot="1">
      <c r="A4" s="2777" t="str">
        <f>IF(项目基本情况!D5="房地产市场价值","估价结果一览表（市场价值不需本页表格)","估价结果一览表")</f>
        <v>估价结果一览表</v>
      </c>
      <c r="B4" s="2777"/>
      <c r="C4" s="2777"/>
      <c r="D4" s="2777"/>
      <c r="E4" s="2777"/>
    </row>
    <row r="5" spans="1:5" ht="14.25" customHeight="1" thickTop="1">
      <c r="A5" s="1927"/>
      <c r="B5" s="1931" t="s">
        <v>742</v>
      </c>
      <c r="C5" s="2778" t="s">
        <v>784</v>
      </c>
      <c r="D5" s="2779"/>
      <c r="E5" s="1927"/>
    </row>
    <row r="6" spans="1:5" ht="14.25">
      <c r="A6" s="1927"/>
      <c r="B6" s="1932" t="str">
        <f>项目基本情况!I1</f>
        <v>北京市房地产</v>
      </c>
      <c r="C6" s="2780">
        <f>项目基本情况!C12</f>
        <v>140.46</v>
      </c>
      <c r="D6" s="2780"/>
      <c r="E6" s="1927"/>
    </row>
    <row r="7" spans="1:5" ht="14.25">
      <c r="A7" s="1927"/>
      <c r="B7" s="2774" t="s">
        <v>785</v>
      </c>
      <c r="C7" s="1933" t="str">
        <f>IF('数据-取费表'!B3="万元","总价（万元）","总价（元）")</f>
        <v>总价（元）</v>
      </c>
      <c r="D7" s="1934">
        <f ca="1">IF('数据-取费表'!E3="否",结果表!I102,'结果表 (1修多)'!I103)</f>
        <v>4194697</v>
      </c>
      <c r="E7" s="1927"/>
    </row>
    <row r="8" spans="1:5" ht="28.5">
      <c r="A8" s="1927"/>
      <c r="B8" s="2774"/>
      <c r="C8" s="1935" t="s">
        <v>1176</v>
      </c>
      <c r="D8" s="1936" t="str">
        <f ca="1">IF('数据-取费表'!B3="万元",NUMBERSTRING(INT(D7*10000),2)&amp;"元整",NUMBERSTRING(INT(D7),2)&amp;"元整")</f>
        <v>肆佰壹拾玖万肆仟陆佰玖拾柒元整</v>
      </c>
      <c r="E8" s="1927"/>
    </row>
    <row r="9" spans="1:5" ht="14.25">
      <c r="A9" s="1927"/>
      <c r="B9" s="2774"/>
      <c r="C9" s="1937" t="s">
        <v>1274</v>
      </c>
      <c r="D9" s="1934">
        <f ca="1">IF('数据-取费表'!E3="否",结果表!I103,'结果表 (1修多)'!I104)</f>
        <v>29864</v>
      </c>
      <c r="E9" s="1927"/>
    </row>
    <row r="10" spans="1:5" ht="14.25">
      <c r="A10" s="1927"/>
      <c r="B10" s="278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1" t="str">
        <f>IF('数据-取费表'!E3="否",结果表!F110,'结果表 (1修多)'!F111)</f>
        <v>3.房地产抵押价值</v>
      </c>
      <c r="C15" s="1928" t="str">
        <f>C7</f>
        <v>总价（元）</v>
      </c>
      <c r="D15" s="1934">
        <f ca="1">IF('数据-取费表'!E3="否",结果表!I110,'结果表 (1修多)'!I111)</f>
        <v>4194697</v>
      </c>
      <c r="E15" s="1927"/>
    </row>
    <row r="16" spans="1:5" ht="28.5">
      <c r="A16" s="1927"/>
      <c r="B16" s="2781"/>
      <c r="C16" s="1935" t="s">
        <v>1176</v>
      </c>
      <c r="D16" s="1934" t="str">
        <f ca="1">IF('数据-取费表'!B3="万元",NUMBERSTRING(INT(D15*10000),2)&amp;"元整",NUMBERSTRING(INT(D15),2)&amp;"元整")</f>
        <v>肆佰壹拾玖万肆仟陆佰玖拾柒元整</v>
      </c>
      <c r="E16" s="1927"/>
    </row>
    <row r="17" spans="1:5" ht="14.25">
      <c r="A17" s="1927"/>
      <c r="B17" s="2781"/>
      <c r="C17" s="1937" t="s">
        <v>1274</v>
      </c>
      <c r="D17" s="1934">
        <f ca="1">IF('数据-取费表'!E3="否",结果表!I111,'结果表 (1修多)'!I112)</f>
        <v>29864</v>
      </c>
      <c r="E17" s="1927"/>
    </row>
    <row r="18" spans="1:5" ht="14.25">
      <c r="A18" s="1927"/>
      <c r="B18" s="2781" t="str">
        <f>IF('数据-取费表'!E3="否",结果表!F112,'结果表 (1修多)'!F113)</f>
        <v>——</v>
      </c>
      <c r="C18" s="1928" t="str">
        <f>C7</f>
        <v>总价（元）</v>
      </c>
      <c r="D18" s="1934" t="str">
        <f>IF('数据-取费表'!E3="否",结果表!I112,'结果表 (1修多)'!I113)</f>
        <v>——</v>
      </c>
      <c r="E18" s="1927"/>
    </row>
    <row r="19" spans="1:5" ht="14.25">
      <c r="A19" s="1927"/>
      <c r="B19" s="2781"/>
      <c r="C19" s="1935" t="s">
        <v>1176</v>
      </c>
      <c r="D19" s="1934" t="e">
        <f>IF('数据-取费表'!B3="万元",NUMBERSTRING(INT(D18*10000),2)&amp;"元整",NUMBERSTRING(INT(D18),2)&amp;"元整")</f>
        <v>#VALUE!</v>
      </c>
      <c r="E19" s="1927"/>
    </row>
    <row r="20" spans="1:5" ht="14.25">
      <c r="A20" s="1927"/>
      <c r="B20" s="2781"/>
      <c r="C20" s="1937" t="s">
        <v>1274</v>
      </c>
      <c r="D20" s="1934" t="str">
        <f>IF('数据-取费表'!E3="否",结果表!I113,'结果表 (1修多)'!I114)</f>
        <v>——</v>
      </c>
      <c r="E20" s="1927"/>
    </row>
    <row r="21" spans="1:5" ht="14.25">
      <c r="A21" s="1927"/>
      <c r="B21" s="2774" t="str">
        <f>IF('数据-取费表'!E3="否",结果表!F114,'结果表 (1修多)'!F115)</f>
        <v>——</v>
      </c>
      <c r="C21" s="1933" t="str">
        <f>C7</f>
        <v>总价（元）</v>
      </c>
      <c r="D21" s="1934" t="str">
        <f>IF('数据-取费表'!E3="否",结果表!I114,'结果表 (1修多)'!I115)</f>
        <v>——</v>
      </c>
      <c r="E21" s="1927"/>
    </row>
    <row r="22" spans="1:5" ht="14.25">
      <c r="A22" s="1927"/>
      <c r="B22" s="2774"/>
      <c r="C22" s="1935" t="s">
        <v>1176</v>
      </c>
      <c r="D22" s="1936" t="e">
        <f>IF('数据-取费表'!B3="万元",NUMBERSTRING(INT(D21*10000),2)&amp;"元整",NUMBERSTRING(INT(D21),2)&amp;"元整")</f>
        <v>#VALUE!</v>
      </c>
      <c r="E22" s="1927"/>
    </row>
    <row r="23" spans="1:5" ht="15" thickBot="1">
      <c r="A23" s="1927"/>
      <c r="B23" s="2775"/>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9" t="s">
        <v>1275</v>
      </c>
      <c r="C25" s="2789"/>
      <c r="D25" s="2789"/>
      <c r="E25" s="1927"/>
    </row>
    <row r="26" spans="1:5" ht="18.75" customHeight="1" thickTop="1">
      <c r="A26" s="1927"/>
      <c r="B26" s="2792" t="s">
        <v>1175</v>
      </c>
      <c r="C26" s="2793"/>
      <c r="D26" s="2790" t="s">
        <v>1174</v>
      </c>
      <c r="E26" s="1927"/>
    </row>
    <row r="27" spans="1:5" ht="18.75" customHeight="1">
      <c r="A27" s="1927"/>
      <c r="B27" s="2794"/>
      <c r="C27" s="2795"/>
      <c r="D27" s="2791"/>
      <c r="E27" s="1927"/>
    </row>
    <row r="28" spans="1:5" ht="14.25">
      <c r="A28" s="1927"/>
      <c r="B28" s="2782" t="s">
        <v>785</v>
      </c>
      <c r="C28" s="1944" t="s">
        <v>1177</v>
      </c>
      <c r="D28" s="1945">
        <f ca="1">IF('数据-取费表'!E3="否",结果表!I102,'结果表 (1修多)'!I103)</f>
        <v>4194697</v>
      </c>
      <c r="E28" s="1927"/>
    </row>
    <row r="29" spans="1:5" ht="28.5">
      <c r="A29" s="1927"/>
      <c r="B29" s="2783"/>
      <c r="C29" s="1946" t="s">
        <v>1176</v>
      </c>
      <c r="D29" s="1947" t="str">
        <f ca="1">IF('数据-取费表'!B3="万元",NUMBERSTRING(INT(D28*10000),2)&amp;"元整",NUMBERSTRING(INT(D28),2)&amp;"元整")</f>
        <v>肆佰壹拾玖万肆仟陆佰玖拾柒元整</v>
      </c>
      <c r="E29" s="1927"/>
    </row>
    <row r="30" spans="1:5" ht="14.25">
      <c r="A30" s="1927"/>
      <c r="B30" s="2784"/>
      <c r="C30" s="1937" t="s">
        <v>1179</v>
      </c>
      <c r="D30" s="1948">
        <f ca="1">IF('数据-取费表'!E3="否",结果表!I103,'结果表 (1修多)'!I104)</f>
        <v>29864</v>
      </c>
      <c r="E30" s="1927"/>
    </row>
    <row r="31" spans="1:5" ht="14.25">
      <c r="A31" s="1927"/>
      <c r="B31" s="2787" t="str">
        <f>B10</f>
        <v>2.估价师所知悉的法定优先受偿款</v>
      </c>
      <c r="C31" s="1949" t="s">
        <v>1178</v>
      </c>
      <c r="D31" s="1950">
        <f>IF('数据-取费表'!E3="否",结果表!I105,'结果表 (1修多)'!I106)</f>
        <v>0</v>
      </c>
      <c r="E31" s="1927"/>
    </row>
    <row r="32" spans="1:5" ht="14.25">
      <c r="A32" s="1927"/>
      <c r="B32" s="279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85" t="str">
        <f>B15</f>
        <v>3.房地产抵押价值</v>
      </c>
      <c r="C36" s="1949" t="str">
        <f>C28</f>
        <v>总价</v>
      </c>
      <c r="D36" s="1950">
        <f ca="1">IF('数据-取费表'!E3="否",结果表!I110,'结果表 (1修多)'!I111)</f>
        <v>4194697</v>
      </c>
      <c r="E36" s="1927"/>
    </row>
    <row r="37" spans="1:5" ht="28.5">
      <c r="A37" s="1927"/>
      <c r="B37" s="2785"/>
      <c r="C37" s="1946" t="s">
        <v>1176</v>
      </c>
      <c r="D37" s="1951" t="str">
        <f ca="1">IF('数据-取费表'!B3="万元",NUMBERSTRING(INT(D36*10000),2)&amp;"元整",NUMBERSTRING(INT(D36),2)&amp;"元整")</f>
        <v>肆佰壹拾玖万肆仟陆佰玖拾柒元整</v>
      </c>
      <c r="E37" s="1927"/>
    </row>
    <row r="38" spans="1:5" ht="14.25">
      <c r="A38" s="1927"/>
      <c r="B38" s="2785"/>
      <c r="C38" s="1937" t="s">
        <v>1180</v>
      </c>
      <c r="D38" s="1948">
        <f ca="1">IF('数据-取费表'!E3="否",结果表!D113,'结果表 (1修多)'!D116)</f>
        <v>29864</v>
      </c>
      <c r="E38" s="1927"/>
    </row>
    <row r="39" spans="1:5" ht="14.25">
      <c r="A39" s="1927"/>
      <c r="B39" s="2786" t="str">
        <f>B18</f>
        <v>——</v>
      </c>
      <c r="C39" s="1949" t="str">
        <f>C28</f>
        <v>总价</v>
      </c>
      <c r="D39" s="1950" t="str">
        <f>IF('数据-取费表'!E3="否",结果表!I112,'结果表 (1修多)'!I113)</f>
        <v>——</v>
      </c>
      <c r="E39" s="1927"/>
    </row>
    <row r="40" spans="1:5" ht="14.25">
      <c r="A40" s="1927"/>
      <c r="B40" s="2786"/>
      <c r="C40" s="1946" t="s">
        <v>1176</v>
      </c>
      <c r="D40" s="1951" t="e">
        <f>IF('数据-取费表'!B3="万元",NUMBERSTRING(INT(D39*10000),2)&amp;"元整",NUMBERSTRING(INT(D39),2)&amp;"元整")</f>
        <v>#VALUE!</v>
      </c>
      <c r="E40" s="1927"/>
    </row>
    <row r="41" spans="1:5" ht="14.25">
      <c r="A41" s="1927"/>
      <c r="B41" s="2786"/>
      <c r="C41" s="1937" t="s">
        <v>1180</v>
      </c>
      <c r="D41" s="1948" t="str">
        <f>IF('数据-取费表'!E3="否",结果表!D115,'结果表 (1修多)'!D118)</f>
        <v>——</v>
      </c>
      <c r="E41" s="1927"/>
    </row>
    <row r="42" spans="1:5" ht="14.25">
      <c r="A42" s="1927"/>
      <c r="B42" s="2785" t="str">
        <f>B21</f>
        <v>——</v>
      </c>
      <c r="C42" s="1949" t="str">
        <f>C28</f>
        <v>总价</v>
      </c>
      <c r="D42" s="1950" t="str">
        <f>IF('数据-取费表'!E3="否",结果表!I114,'结果表 (1修多)'!I115)</f>
        <v>——</v>
      </c>
      <c r="E42" s="1927"/>
    </row>
    <row r="43" spans="1:5" ht="14.25">
      <c r="A43" s="1927"/>
      <c r="B43" s="2787"/>
      <c r="C43" s="1946" t="s">
        <v>1176</v>
      </c>
      <c r="D43" s="1952" t="e">
        <f>IF('数据-取费表'!B3="万元",NUMBERSTRING(INT(D42*10000),2)&amp;"元整",NUMBERSTRING(INT(D42),2)&amp;"元整")</f>
        <v>#VALUE!</v>
      </c>
      <c r="E43" s="1927"/>
    </row>
    <row r="44" spans="1:5" ht="15" thickBot="1">
      <c r="A44" s="1927"/>
      <c r="B44" s="278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3" t="str">
        <f>IF(项目基本情况!D5="房地产市场价值","估价结果一览表","结果表-2")</f>
        <v>结果表-2</v>
      </c>
      <c r="B1" s="2803"/>
      <c r="C1" s="2803"/>
      <c r="D1" s="2803"/>
      <c r="E1" s="2803"/>
      <c r="F1" s="2803"/>
      <c r="G1" s="2803"/>
      <c r="H1" s="2803"/>
      <c r="I1" s="2803"/>
    </row>
    <row r="2" spans="1:9" ht="30" customHeight="1" thickTop="1">
      <c r="A2" s="2804" t="s">
        <v>1276</v>
      </c>
      <c r="B2" s="2804" t="s">
        <v>1277</v>
      </c>
      <c r="C2" s="2804" t="s">
        <v>1278</v>
      </c>
      <c r="D2" s="2804" t="str">
        <f>IF('数据-取费表'!E3="否",结果表!D119,'结果表 (1修多)'!D122)</f>
        <v>出让国有建设用地使用权价值</v>
      </c>
      <c r="E2" s="2804"/>
      <c r="F2" s="2804" t="s">
        <v>1279</v>
      </c>
      <c r="G2" s="2804"/>
      <c r="H2" s="2804" t="s">
        <v>1280</v>
      </c>
      <c r="I2" s="2804"/>
    </row>
    <row r="3" spans="1:9" ht="15">
      <c r="A3" s="2799"/>
      <c r="B3" s="2799"/>
      <c r="C3" s="2799"/>
      <c r="D3" s="1049" t="s">
        <v>1281</v>
      </c>
      <c r="E3" s="1049" t="s">
        <v>1282</v>
      </c>
      <c r="F3" s="1049" t="s">
        <v>1281</v>
      </c>
      <c r="G3" s="1049" t="s">
        <v>1283</v>
      </c>
      <c r="H3" s="1049" t="s">
        <v>1281</v>
      </c>
      <c r="I3" s="1049" t="s">
        <v>1283</v>
      </c>
    </row>
    <row r="4" spans="1:9" ht="46.5" customHeight="1">
      <c r="A4" s="1049" t="str">
        <f>项目基本情况!I1</f>
        <v>北京市房地产</v>
      </c>
      <c r="B4" s="1049">
        <f>结果表!B121</f>
        <v>140.46</v>
      </c>
      <c r="C4" s="1049">
        <f>结果表!C121</f>
        <v>0</v>
      </c>
      <c r="D4" s="1049">
        <f ca="1">IF('数据-取费表'!E3="否",结果表!D121,'结果表 (1修多)'!D124)</f>
        <v>2957245</v>
      </c>
      <c r="E4" s="1049">
        <f ca="1">IF('数据-取费表'!E3="否",结果表!E121,'结果表 (1修多)'!E124)</f>
        <v>21054</v>
      </c>
      <c r="F4" s="1049">
        <f ca="1">IF('数据-取费表'!E3="否",结果表!F121,'结果表 (1修多)'!F124)</f>
        <v>1237453</v>
      </c>
      <c r="G4" s="1049">
        <f ca="1">IF('数据-取费表'!E3="否",结果表!G121,'结果表 (1修多)'!G124)</f>
        <v>8810</v>
      </c>
      <c r="H4" s="1049">
        <f ca="1">IF('数据-取费表'!E3="否",结果表!H121,'结果表 (1修多)'!H124)</f>
        <v>4194697</v>
      </c>
      <c r="I4" s="1049">
        <f ca="1">IF('数据-取费表'!E3="否",结果表!I121,'结果表 (1修多)'!I124)</f>
        <v>29864</v>
      </c>
    </row>
    <row r="5" spans="1:9" ht="15">
      <c r="A5" s="2799" t="s">
        <v>1284</v>
      </c>
      <c r="B5" s="2799"/>
      <c r="C5" s="2799"/>
      <c r="D5" s="2797" t="str">
        <f ca="1">IF('数据-取费表'!E3="否",结果表!D122,'结果表 (1修多)'!D125)</f>
        <v>贰佰玖拾伍万柒仟贰佰肆拾伍元整</v>
      </c>
      <c r="E5" s="2797"/>
      <c r="F5" s="2797" t="str">
        <f ca="1">IF('数据-取费表'!E3="否",结果表!F122,'结果表 (1修多)'!F125)</f>
        <v>壹佰贰拾叁万柒仟肆佰伍拾叁元整</v>
      </c>
      <c r="G5" s="2797"/>
      <c r="H5" s="2797" t="str">
        <f ca="1">IF('数据-取费表'!E3="否",结果表!H122,'结果表 (1修多)'!H125)</f>
        <v>肆佰壹拾玖万肆仟陆佰玖拾柒元整</v>
      </c>
      <c r="I5" s="2797"/>
    </row>
    <row r="6" spans="1:9" ht="15.75">
      <c r="A6" s="2798" t="str">
        <f>IF('数据-取费表'!E3="否",结果表!A123,'结果表 (1修多)'!A126)</f>
        <v>估价师所知悉的法定优先受偿款</v>
      </c>
      <c r="B6" s="2798"/>
      <c r="C6" s="2798"/>
      <c r="D6" s="2798">
        <f>IF('数据-取费表'!E3="否",结果表!D123,'结果表 (1修多)'!D126)</f>
        <v>0</v>
      </c>
      <c r="E6" s="2798"/>
      <c r="F6" s="2798"/>
      <c r="G6" s="2798"/>
      <c r="H6" s="2798"/>
      <c r="I6" s="2798"/>
    </row>
    <row r="7" spans="1:9" ht="15">
      <c r="A7" s="2799" t="s">
        <v>1284</v>
      </c>
      <c r="B7" s="2799"/>
      <c r="C7" s="2799"/>
      <c r="D7" s="2800">
        <f>IF('数据-取费表'!E3="否",结果表!D124,'结果表 (1修多)'!D127)</f>
        <v>0</v>
      </c>
      <c r="E7" s="2801"/>
      <c r="F7" s="2801"/>
      <c r="G7" s="2801"/>
      <c r="H7" s="2801"/>
      <c r="I7" s="2802"/>
    </row>
    <row r="8" spans="1:9" ht="15.75">
      <c r="A8" s="2798" t="str">
        <f>IF('数据-取费表'!E3="否",结果表!A125,'结果表 (1修多)'!A128)</f>
        <v>房地产抵押价值</v>
      </c>
      <c r="B8" s="2798"/>
      <c r="C8" s="2798"/>
      <c r="D8" s="2798">
        <f ca="1">IF('数据-取费表'!E3="否",结果表!D125,'结果表 (1修多)'!D128)</f>
        <v>4194697</v>
      </c>
      <c r="E8" s="2798"/>
      <c r="F8" s="2798"/>
      <c r="G8" s="2798"/>
      <c r="H8" s="2798"/>
      <c r="I8" s="2798"/>
    </row>
    <row r="9" spans="1:9" ht="15">
      <c r="A9" s="2799" t="s">
        <v>1284</v>
      </c>
      <c r="B9" s="2799"/>
      <c r="C9" s="2799"/>
      <c r="D9" s="2797">
        <f ca="1">IF('数据-取费表'!E3="否",结果表!D126,'结果表 (1修多)'!D129)</f>
        <v>29864</v>
      </c>
      <c r="E9" s="2797"/>
      <c r="F9" s="2797"/>
      <c r="G9" s="2797"/>
      <c r="H9" s="2797"/>
      <c r="I9" s="2797"/>
    </row>
    <row r="10" spans="1:9" ht="15.75">
      <c r="A10" s="2798" t="str">
        <f>IF('数据-取费表'!E3="否",结果表!A127,'结果表 (1修多)'!A130)</f>
        <v/>
      </c>
      <c r="B10" s="2798"/>
      <c r="C10" s="2798"/>
      <c r="D10" s="2798" t="str">
        <f>IF('数据-取费表'!E3="否",结果表!D127,'结果表 (1修多)'!D129)</f>
        <v>——</v>
      </c>
      <c r="E10" s="2798"/>
      <c r="F10" s="2798"/>
      <c r="G10" s="2798"/>
      <c r="H10" s="2798"/>
      <c r="I10" s="2798"/>
    </row>
    <row r="11" spans="1:9" ht="15">
      <c r="A11" s="2799" t="s">
        <v>1284</v>
      </c>
      <c r="B11" s="2799"/>
      <c r="C11" s="2799"/>
      <c r="D11" s="2797" t="str">
        <f>IF('数据-取费表'!E3="否",结果表!D128,'结果表 (1修多)'!D131)</f>
        <v>——</v>
      </c>
      <c r="E11" s="2797"/>
      <c r="F11" s="2797"/>
      <c r="G11" s="2797"/>
      <c r="H11" s="2797"/>
      <c r="I11" s="2797"/>
    </row>
    <row r="12" spans="1:9" ht="15.75">
      <c r="A12" s="2798" t="str">
        <f>IF('数据-取费表'!E3="否",结果表!A129,'结果表 (1修多)'!A132)</f>
        <v/>
      </c>
      <c r="B12" s="2798"/>
      <c r="C12" s="2798"/>
      <c r="D12" s="2798" t="str">
        <f>IF('数据-取费表'!E3="否",结果表!D129,'结果表 (1修多)'!D132)</f>
        <v>——</v>
      </c>
      <c r="E12" s="2798"/>
      <c r="F12" s="2798"/>
      <c r="G12" s="2798"/>
      <c r="H12" s="2798"/>
      <c r="I12" s="2798"/>
    </row>
    <row r="13" spans="1:9" ht="15.75" thickBot="1">
      <c r="A13" s="2805" t="s">
        <v>1284</v>
      </c>
      <c r="B13" s="2805"/>
      <c r="C13" s="2805"/>
      <c r="D13" s="2806">
        <f>IF('数据-取费表'!E3="否",结果表!D130,'结果表 (1修多)'!D133)</f>
        <v>0</v>
      </c>
      <c r="E13" s="2806"/>
      <c r="F13" s="2806"/>
      <c r="G13" s="2806"/>
      <c r="H13" s="2806"/>
      <c r="I13" s="2806"/>
    </row>
    <row r="14" spans="1:9" ht="15" thickTop="1">
      <c r="A14" s="2807" t="str">
        <f>IF('数据-取费表'!E3="否",结果表!A131,'结果表 (1修多)'!A134)</f>
        <v>单位：平方米、元、元/平方米（币种：人民币）</v>
      </c>
      <c r="B14" s="2807"/>
      <c r="C14" s="2807"/>
      <c r="D14" s="2807"/>
      <c r="E14" s="2807"/>
      <c r="F14" s="2807"/>
      <c r="G14" s="2807"/>
      <c r="H14" s="2807"/>
      <c r="I14" s="2807"/>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2" t="s">
        <v>1298</v>
      </c>
      <c r="B1" s="2812"/>
      <c r="C1" s="2812"/>
      <c r="D1" s="2812"/>
    </row>
    <row r="2" spans="1:4" ht="18">
      <c r="A2" s="2811" t="s">
        <v>1286</v>
      </c>
      <c r="B2" s="2811"/>
      <c r="C2" s="2811"/>
      <c r="D2" s="2811"/>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811" t="s">
        <v>1291</v>
      </c>
      <c r="B7" s="2811"/>
      <c r="C7" s="2811"/>
      <c r="D7" s="2811"/>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8" t="s">
        <v>1300</v>
      </c>
      <c r="B12" s="2810"/>
      <c r="C12" s="2810"/>
      <c r="D12" s="2810"/>
    </row>
    <row r="13" spans="1:4" ht="15.75">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0"/>
      <c r="C13" s="2810"/>
      <c r="D13" s="2810"/>
    </row>
    <row r="14" spans="1:4" ht="30" customHeight="1">
      <c r="A14" s="2808" t="str">
        <f>IF(项目基本情况!D4="抵押","3.抵押双方在办理抵押登记手续时，应使用本公司出具的正式《房地产评估报告》，特提醒报告使用者注意。","——")</f>
        <v>——</v>
      </c>
      <c r="B14" s="2810"/>
      <c r="C14" s="2810"/>
      <c r="D14" s="2810"/>
    </row>
    <row r="15" spans="1:4" ht="15.75" customHeight="1">
      <c r="A15" s="2808" t="str">
        <f>IF(项目基本情况!D4="抵押","4.本次评估估价师所知悉的法定优先受偿款情况说明如下：","——")</f>
        <v>——</v>
      </c>
      <c r="B15" s="2810"/>
      <c r="C15" s="2810"/>
      <c r="D15" s="2810"/>
    </row>
    <row r="16" spans="1:4" ht="75" customHeight="1">
      <c r="A16" s="2808" t="str">
        <f>IF(项目基本情况!D4="抵押",CONCATENATE(项目基本情况!J13,项目基本情况!J14,项目基本情况!J15),"——")</f>
        <v>——</v>
      </c>
      <c r="B16" s="2808"/>
      <c r="C16" s="2808"/>
      <c r="D16" s="2808"/>
    </row>
    <row r="17" spans="1:4" ht="63.75" customHeight="1">
      <c r="A17" s="2809" t="s">
        <v>1301</v>
      </c>
      <c r="B17" s="2809"/>
      <c r="C17" s="2809"/>
      <c r="D17" s="2809"/>
    </row>
    <row r="18" spans="1:4" ht="15.75" customHeight="1">
      <c r="A18" s="2808" t="str">
        <f>IF(项目基本情况!D4="抵押",结果表!K106,"——")</f>
        <v>——</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09" t="s">
        <v>1294</v>
      </c>
      <c r="B20" s="2809"/>
      <c r="C20" s="2809"/>
      <c r="D20" s="280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8" t="s">
        <v>1380</v>
      </c>
      <c r="B15" s="2813" t="s">
        <v>1381</v>
      </c>
      <c r="C15" s="2814"/>
    </row>
    <row r="16" spans="1:7" ht="14.25">
      <c r="A16" s="2819"/>
      <c r="B16" s="2813" t="s">
        <v>1382</v>
      </c>
      <c r="C16" s="2814"/>
    </row>
    <row r="17" spans="1:3" ht="14.25">
      <c r="A17" s="2819"/>
      <c r="B17" s="2813" t="s">
        <v>1383</v>
      </c>
      <c r="C17" s="2814"/>
    </row>
    <row r="18" spans="1:3" ht="14.25">
      <c r="A18" s="2820"/>
      <c r="B18" s="2815" t="s">
        <v>1384</v>
      </c>
      <c r="C18" s="2814"/>
    </row>
    <row r="19" spans="1:3" ht="14.25">
      <c r="A19" s="1980" t="s">
        <v>1385</v>
      </c>
      <c r="B19" s="1981"/>
      <c r="C19" s="1982"/>
    </row>
    <row r="20" spans="1:3" ht="14.25">
      <c r="A20" s="2816" t="s">
        <v>1386</v>
      </c>
      <c r="B20" s="2815" t="s">
        <v>1387</v>
      </c>
      <c r="C20" s="2814"/>
    </row>
    <row r="21" spans="1:3" ht="14.25">
      <c r="A21" s="2816"/>
      <c r="B21" s="2815" t="s">
        <v>1388</v>
      </c>
      <c r="C21" s="2814"/>
    </row>
    <row r="22" spans="1:3" ht="14.25">
      <c r="A22" s="2816"/>
      <c r="B22" s="2815" t="s">
        <v>1389</v>
      </c>
      <c r="C22" s="2814"/>
    </row>
    <row r="23" spans="1:3" ht="14.25">
      <c r="A23" s="2816"/>
      <c r="B23" s="2817" t="s">
        <v>1390</v>
      </c>
      <c r="C23" s="1983" t="s">
        <v>1391</v>
      </c>
    </row>
    <row r="24" spans="1:3" ht="14.25">
      <c r="A24" s="2816"/>
      <c r="B24" s="2817"/>
      <c r="C24" s="1983" t="s">
        <v>1392</v>
      </c>
    </row>
    <row r="25" spans="1:3" ht="14.25">
      <c r="A25" s="2816"/>
      <c r="B25" s="2817"/>
      <c r="C25" s="1983" t="s">
        <v>1393</v>
      </c>
    </row>
    <row r="26" spans="1:3" ht="14.25">
      <c r="A26" s="2816"/>
      <c r="B26" s="2817"/>
      <c r="C26" s="1983" t="s">
        <v>1394</v>
      </c>
    </row>
    <row r="27" spans="1:3" ht="14.25">
      <c r="A27" s="2816"/>
      <c r="B27" s="2817"/>
      <c r="C27" s="1983" t="s">
        <v>1395</v>
      </c>
    </row>
    <row r="28" spans="1:3" ht="14.25">
      <c r="A28" s="2816"/>
      <c r="B28" s="2817"/>
      <c r="C28" s="1983" t="s">
        <v>1396</v>
      </c>
    </row>
    <row r="29" spans="1:3" ht="14.25">
      <c r="A29" s="2816"/>
      <c r="B29" s="2817"/>
      <c r="C29" s="1983" t="s">
        <v>1397</v>
      </c>
    </row>
    <row r="30" spans="1:3" ht="14.25">
      <c r="A30" s="2816"/>
      <c r="B30" s="2817"/>
      <c r="C30" s="1983" t="s">
        <v>1398</v>
      </c>
    </row>
    <row r="31" spans="1:3" ht="14.25">
      <c r="A31" s="2816"/>
      <c r="B31" s="281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43238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21" t="s">
        <v>769</v>
      </c>
      <c r="B25" s="2821"/>
      <c r="C25" s="2821"/>
      <c r="D25" s="2821"/>
      <c r="E25" s="2821"/>
      <c r="F25" s="2821"/>
      <c r="G25" s="2821"/>
      <c r="H25" s="2821"/>
    </row>
    <row r="26" spans="1:8" s="1034" customFormat="1" ht="24" customHeight="1">
      <c r="A26" s="2822" t="s">
        <v>770</v>
      </c>
      <c r="B26" s="2822"/>
      <c r="C26" s="2822"/>
      <c r="D26" s="1062"/>
      <c r="E26" s="1062"/>
      <c r="F26" s="2822" t="s">
        <v>771</v>
      </c>
      <c r="G26" s="2822"/>
      <c r="H26" s="282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2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本次估价的“房地产价值”是指在正常市场情况下，在价值时点2018年5月10日，估价对象规划用途为住宅，假定未设立法定优先受偿款下的房地产市场价值。</v>
      </c>
    </row>
    <row r="54" spans="1:4">
      <c r="A54" s="2823"/>
      <c r="B54" s="9" t="s">
        <v>1536</v>
      </c>
      <c r="C54" s="9" t="s">
        <v>1537</v>
      </c>
    </row>
    <row r="55" spans="1:4">
      <c r="A55" s="2823"/>
      <c r="B55" s="9" t="s">
        <v>1538</v>
      </c>
      <c r="C55" s="9" t="s">
        <v>1539</v>
      </c>
    </row>
    <row r="56" spans="1:4">
      <c r="A56" s="2823"/>
      <c r="B56" s="9" t="s">
        <v>1540</v>
      </c>
      <c r="C56" s="9" t="s">
        <v>1541</v>
      </c>
    </row>
    <row r="57" spans="1:4">
      <c r="A57" s="282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2018-05-18T06:21:46Z</dcterms:modified>
</cp:coreProperties>
</file>