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5.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KG\Desktop\司法华展国际公寓\"/>
    </mc:Choice>
  </mc:AlternateContent>
  <xr:revisionPtr revIDLastSave="0" documentId="13_ncr:1_{48E90463-1C2F-4F94-B113-E36E64A6047F}" xr6:coauthVersionLast="45" xr6:coauthVersionMax="45" xr10:uidLastSave="{00000000-0000-0000-0000-000000000000}"/>
  <bookViews>
    <workbookView xWindow="-120" yWindow="-120" windowWidth="20730" windowHeight="1116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北京通" sheetId="85" r:id="rId12"/>
    <sheet name="项目基本情况" sheetId="4" r:id="rId13"/>
    <sheet name="数据-基础表" sheetId="3" r:id="rId14"/>
    <sheet name="数据-汇总表" sheetId="6" r:id="rId15"/>
    <sheet name="数据-取费表" sheetId="1" r:id="rId16"/>
    <sheet name="估价对象房地状况" sheetId="20" state="hidden" r:id="rId17"/>
    <sheet name="结果表" sheetId="9" r:id="rId18"/>
    <sheet name="成本法" sheetId="68" state="hidden" r:id="rId19"/>
    <sheet name="法拍" sheetId="82" r:id="rId20"/>
    <sheet name="挂牌" sheetId="86" r:id="rId21"/>
    <sheet name="三部案例" sheetId="80" r:id="rId22"/>
    <sheet name="比较法-住宅" sheetId="21" r:id="rId23"/>
    <sheet name="收益法" sheetId="15" r:id="rId24"/>
    <sheet name="公共部分" sheetId="84" state="hidden" r:id="rId25"/>
    <sheet name="收益法 (2)" sheetId="83" state="hidden" r:id="rId26"/>
    <sheet name="收益法 (元)" sheetId="67" state="hidden" r:id="rId27"/>
    <sheet name="租金案例" sheetId="81" r:id="rId28"/>
    <sheet name="成本法 (元)" sheetId="69" state="hidden" r:id="rId29"/>
    <sheet name="假设开发法" sheetId="12" state="hidden" r:id="rId30"/>
    <sheet name="收益法-酒店模型" sheetId="77" state="hidden" r:id="rId31"/>
    <sheet name="收益法（汇总）" sheetId="70"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 name="系统读取表" sheetId="74" r:id="rId52"/>
  </sheets>
  <externalReferences>
    <externalReference r:id="rId53"/>
    <externalReference r:id="rId54"/>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2" hidden="1">'比较法-住宅'!$A$1:$L$49</definedName>
    <definedName name="_xlnm._FilterDatabase" localSheetId="13"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2"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22">'比较法-住宅'!$A$1:$K$54,'比较法-住宅'!$A$57:$M$131</definedName>
    <definedName name="_xlnm.Print_Area" localSheetId="18">成本法!$A$1:$G$57</definedName>
    <definedName name="_xlnm.Print_Area" localSheetId="28">'成本法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9">假设开发法!$A$1:$K$32</definedName>
    <definedName name="_xlnm.Print_Area" localSheetId="17">结果表!$A$1:$I$127</definedName>
    <definedName name="_xlnm.Print_Area" localSheetId="23">收益法!$A$1:$F$43,收益法!$H$3:$M$29,收益法!$A$46:$F$71,收益法!$I$46:$N$65</definedName>
    <definedName name="_xlnm.Print_Area" localSheetId="25">'收益法 (2)'!$A$1:$F$43,'收益法 (2)'!$H$3:$M$29,'收益法 (2)'!$A$46:$F$71,'收益法 (2)'!$I$46:$N$65</definedName>
    <definedName name="_xlnm.Print_Area" localSheetId="26">'收益法 (元)'!$A$1:$F$43,'收益法 (元)'!$H$3:$M$29,'收益法 (元)'!$A$45:$F$71,'收益法 (元)'!$I$46:$N$65</definedName>
    <definedName name="_xlnm.Print_Area" localSheetId="31">'收益法（汇总）'!$A$1:$F$13</definedName>
    <definedName name="_xlnm.Print_Area" localSheetId="14">'数据-汇总表'!$A$1:$P$32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51">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9" i="81" l="1"/>
  <c r="C126" i="21" l="1"/>
  <c r="F126" i="21"/>
  <c r="E126" i="21"/>
  <c r="D126" i="21"/>
  <c r="I44" i="21"/>
  <c r="G44" i="21"/>
  <c r="E44" i="21"/>
  <c r="F92" i="21"/>
  <c r="E92" i="21"/>
  <c r="D92" i="21"/>
  <c r="C92" i="21"/>
  <c r="V58" i="21"/>
  <c r="W58" i="21" s="1"/>
  <c r="X58" i="21" s="1"/>
  <c r="Y58" i="21" s="1"/>
  <c r="P58" i="21"/>
  <c r="Q58" i="21" s="1"/>
  <c r="R58" i="21" s="1"/>
  <c r="S58" i="21" s="1"/>
  <c r="T58" i="21" s="1"/>
  <c r="U58" i="21" s="1"/>
  <c r="M5" i="80"/>
  <c r="I7" i="21"/>
  <c r="G7" i="21"/>
  <c r="E7" i="21"/>
  <c r="I47" i="21"/>
  <c r="I5" i="21"/>
  <c r="G5" i="21"/>
  <c r="E5" i="21"/>
  <c r="E47" i="21"/>
  <c r="G47" i="21"/>
  <c r="K4" i="81"/>
  <c r="K3" i="81"/>
  <c r="K7" i="81" l="1"/>
  <c r="K6" i="81"/>
  <c r="K5" i="81"/>
  <c r="D3" i="4"/>
  <c r="G7" i="83" l="1"/>
  <c r="G6" i="83" l="1"/>
  <c r="C2" i="84" l="1"/>
  <c r="D6" i="84" s="1"/>
  <c r="I33" i="21" l="1"/>
  <c r="G33" i="21"/>
  <c r="E33" i="21"/>
  <c r="F43" i="83" l="1"/>
  <c r="G8" i="83" s="1"/>
  <c r="D7" i="84" l="1"/>
  <c r="D8" i="84" s="1"/>
  <c r="Q72" i="83" l="1"/>
  <c r="C62" i="83"/>
  <c r="C61" i="83"/>
  <c r="C60" i="83"/>
  <c r="Q59" i="83"/>
  <c r="K59" i="83"/>
  <c r="P61" i="83" s="1"/>
  <c r="Q58" i="83"/>
  <c r="Q51" i="83"/>
  <c r="J50" i="83"/>
  <c r="M47" i="83"/>
  <c r="L46" i="83"/>
  <c r="D46" i="83"/>
  <c r="C34" i="83"/>
  <c r="F33" i="83"/>
  <c r="F61" i="83" s="1"/>
  <c r="C33" i="83"/>
  <c r="C32" i="83"/>
  <c r="F23" i="83"/>
  <c r="F21" i="83"/>
  <c r="F20" i="83"/>
  <c r="M19" i="83"/>
  <c r="F18" i="83"/>
  <c r="F17" i="83"/>
  <c r="F15" i="83"/>
  <c r="P74" i="83" l="1"/>
  <c r="D23" i="83"/>
  <c r="D22" i="83"/>
  <c r="D24" i="83"/>
  <c r="I54" i="83"/>
  <c r="C8" i="82"/>
  <c r="C7" i="82"/>
  <c r="C6" i="82"/>
  <c r="C5" i="82"/>
  <c r="C4" i="82"/>
  <c r="C3" i="82"/>
  <c r="C2" i="82"/>
  <c r="G159" i="82"/>
  <c r="E5" i="82" s="1"/>
  <c r="G158" i="82"/>
  <c r="D5" i="82" s="1"/>
  <c r="F5" i="82" s="1"/>
  <c r="G136" i="82"/>
  <c r="E4" i="82" s="1"/>
  <c r="G135" i="82"/>
  <c r="D4" i="82" s="1"/>
  <c r="F4" i="82" s="1"/>
  <c r="G107" i="82"/>
  <c r="E2" i="82" s="1"/>
  <c r="G106" i="82"/>
  <c r="D2" i="82" s="1"/>
  <c r="F2" i="82" s="1"/>
  <c r="G83" i="82"/>
  <c r="E8" i="82" s="1"/>
  <c r="G82" i="82"/>
  <c r="D8" i="82" s="1"/>
  <c r="F8" i="82" s="1"/>
  <c r="G59" i="82"/>
  <c r="E7" i="82" s="1"/>
  <c r="G58" i="82"/>
  <c r="D7" i="82" s="1"/>
  <c r="F7" i="82" s="1"/>
  <c r="G34" i="82"/>
  <c r="E6" i="82" s="1"/>
  <c r="H11" i="82"/>
  <c r="G11" i="82"/>
  <c r="E3" i="82" s="1"/>
  <c r="G33" i="82"/>
  <c r="D6" i="82" s="1"/>
  <c r="F6" i="82" s="1"/>
  <c r="G10" i="82"/>
  <c r="D3" i="82" s="1"/>
  <c r="F3" i="82" s="1"/>
  <c r="C27" i="83" l="1"/>
  <c r="F50" i="83"/>
  <c r="M7" i="83"/>
  <c r="F71" i="83"/>
  <c r="C37" i="21"/>
  <c r="G37" i="21" s="1"/>
  <c r="B55" i="1"/>
  <c r="B56" i="1"/>
  <c r="B57" i="1"/>
  <c r="B58" i="1"/>
  <c r="B59" i="1"/>
  <c r="B54" i="1"/>
  <c r="Y6" i="1"/>
  <c r="O19" i="1"/>
  <c r="O20" i="1" s="1"/>
  <c r="O21" i="1" s="1"/>
  <c r="P21" i="1" s="1"/>
  <c r="E37" i="21" l="1"/>
  <c r="I37" i="21"/>
  <c r="F19" i="6"/>
  <c r="C33" i="21" s="1"/>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AA23" i="79" s="1"/>
  <c r="AD23" i="79" s="1"/>
  <c r="Z29" i="79"/>
  <c r="N29" i="79"/>
  <c r="M29" i="79"/>
  <c r="L29" i="79"/>
  <c r="I29" i="79"/>
  <c r="AB25" i="79"/>
  <c r="AA25" i="79"/>
  <c r="Z25" i="79"/>
  <c r="N25" i="79"/>
  <c r="M25" i="79"/>
  <c r="M23" i="79" s="1"/>
  <c r="P23" i="79" s="1"/>
  <c r="L25" i="79"/>
  <c r="I25" i="79"/>
  <c r="AD25" i="79" s="1"/>
  <c r="T23" i="79"/>
  <c r="W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B3" i="79" s="1"/>
  <c r="AA5" i="79"/>
  <c r="AD5" i="79" s="1"/>
  <c r="Z5" i="79"/>
  <c r="Y5" i="79"/>
  <c r="P5" i="79"/>
  <c r="O5" i="79"/>
  <c r="N5" i="79"/>
  <c r="U3" i="79" s="1"/>
  <c r="M5" i="79"/>
  <c r="L5" i="79"/>
  <c r="S3" i="79" s="1"/>
  <c r="K5" i="79"/>
  <c r="I5" i="79"/>
  <c r="Z3" i="79"/>
  <c r="T3" i="79"/>
  <c r="W3" i="79" s="1"/>
  <c r="M3" i="79"/>
  <c r="P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K3" i="79" l="1"/>
  <c r="O3" i="79"/>
  <c r="V3" i="79"/>
  <c r="S12" i="79"/>
  <c r="U12" i="79"/>
  <c r="R14" i="79"/>
  <c r="T14" i="79"/>
  <c r="W14" i="79" s="1"/>
  <c r="V14" i="79"/>
  <c r="L23" i="79"/>
  <c r="U23" i="79"/>
  <c r="AD29" i="79"/>
  <c r="S30" i="79"/>
  <c r="U30" i="79"/>
  <c r="AD31" i="79"/>
  <c r="T31" i="79"/>
  <c r="W31" i="79" s="1"/>
  <c r="S32" i="79"/>
  <c r="U32" i="79"/>
  <c r="AD33" i="79"/>
  <c r="T33" i="79"/>
  <c r="W33" i="79" s="1"/>
  <c r="S34" i="79"/>
  <c r="U34" i="79"/>
  <c r="AD35" i="79"/>
  <c r="L3" i="79"/>
  <c r="N3" i="79"/>
  <c r="AA3" i="79"/>
  <c r="AD3" i="79" s="1"/>
  <c r="S10" i="79"/>
  <c r="U10" i="79"/>
  <c r="R11" i="79"/>
  <c r="V11"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O24" i="71"/>
  <c r="Q25" i="71"/>
  <c r="F24" i="71"/>
  <c r="F23" i="71" s="1"/>
  <c r="P25" i="71"/>
  <c r="E24" i="71"/>
  <c r="O25" i="71"/>
  <c r="N25" i="71"/>
  <c r="B24" i="71"/>
  <c r="B23"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B61" i="72" s="1"/>
  <c r="A14" i="62"/>
  <c r="B60" i="72" s="1"/>
  <c r="A13" i="62"/>
  <c r="B59" i="72" s="1"/>
  <c r="A19" i="62"/>
  <c r="B65" i="72" s="1"/>
  <c r="A12" i="62"/>
  <c r="B58" i="72" s="1"/>
  <c r="A120" i="9"/>
  <c r="H2" i="52"/>
  <c r="A1" i="52"/>
  <c r="A3" i="53"/>
  <c r="Q26" i="71"/>
  <c r="AB26" i="71" s="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C8" i="68"/>
  <c r="B49" i="48"/>
  <c r="B5" i="72" s="1"/>
  <c r="D89" i="71"/>
  <c r="F88" i="71"/>
  <c r="F87" i="71" s="1"/>
  <c r="F86" i="71" s="1"/>
  <c r="E88" i="71"/>
  <c r="E87" i="71"/>
  <c r="E86" i="71" s="1"/>
  <c r="C88" i="71"/>
  <c r="D88" i="71" s="1"/>
  <c r="B88" i="71"/>
  <c r="B87" i="71" s="1"/>
  <c r="B86" i="71" s="1"/>
  <c r="D85" i="71"/>
  <c r="F84" i="71"/>
  <c r="F83" i="71" s="1"/>
  <c r="E84" i="71"/>
  <c r="E83" i="71"/>
  <c r="E82" i="71" s="1"/>
  <c r="C84" i="71"/>
  <c r="D84" i="71" s="1"/>
  <c r="B84" i="71"/>
  <c r="B83" i="71" s="1"/>
  <c r="B82" i="71" s="1"/>
  <c r="F82" i="71"/>
  <c r="D81" i="71"/>
  <c r="Q80" i="71"/>
  <c r="P80" i="71"/>
  <c r="O80" i="71"/>
  <c r="N80" i="71"/>
  <c r="F80" i="71"/>
  <c r="V80" i="71" s="1"/>
  <c r="E80" i="71"/>
  <c r="U80" i="71" s="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D61" i="71"/>
  <c r="Q60" i="71"/>
  <c r="P60" i="71"/>
  <c r="O60" i="71"/>
  <c r="N60" i="71"/>
  <c r="Q59" i="71"/>
  <c r="P59" i="71"/>
  <c r="O59" i="71"/>
  <c r="N59" i="71"/>
  <c r="Q58" i="71"/>
  <c r="P58" i="71"/>
  <c r="E59" i="71" s="1"/>
  <c r="E60" i="71" s="1"/>
  <c r="U60" i="71" s="1"/>
  <c r="O58" i="71"/>
  <c r="N58" i="71"/>
  <c r="Q57" i="71"/>
  <c r="F58" i="71"/>
  <c r="F59" i="71" s="1"/>
  <c r="F60" i="71" s="1"/>
  <c r="V60" i="71" s="1"/>
  <c r="P57" i="71"/>
  <c r="E58" i="71" s="1"/>
  <c r="O57" i="71"/>
  <c r="C58" i="71" s="1"/>
  <c r="C59" i="71" s="1"/>
  <c r="C60" i="71" s="1"/>
  <c r="D60" i="71" s="1"/>
  <c r="N57" i="71"/>
  <c r="B58" i="71" s="1"/>
  <c r="D57" i="71"/>
  <c r="Q56" i="71"/>
  <c r="P56" i="71"/>
  <c r="O56" i="71"/>
  <c r="N56" i="71"/>
  <c r="Q55" i="71"/>
  <c r="P55" i="71"/>
  <c r="O55" i="71"/>
  <c r="N55" i="71"/>
  <c r="Q54" i="71"/>
  <c r="P54" i="71"/>
  <c r="E55" i="71" s="1"/>
  <c r="E56" i="71" s="1"/>
  <c r="U56" i="71" s="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D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c r="S44" i="71" s="1"/>
  <c r="D41" i="71"/>
  <c r="Q40" i="71"/>
  <c r="P40" i="71"/>
  <c r="O40" i="71"/>
  <c r="N40" i="71"/>
  <c r="Q39" i="71"/>
  <c r="AB39" i="71" s="1"/>
  <c r="P39" i="71"/>
  <c r="AA39" i="71"/>
  <c r="O39" i="71"/>
  <c r="Y39" i="71"/>
  <c r="Z39" i="71" s="1"/>
  <c r="N39" i="71"/>
  <c r="X39" i="71" s="1"/>
  <c r="Q38" i="71"/>
  <c r="P38" i="71"/>
  <c r="O38" i="71"/>
  <c r="N38" i="71"/>
  <c r="Q37" i="71"/>
  <c r="F38" i="71" s="1"/>
  <c r="P37" i="71"/>
  <c r="O37" i="71"/>
  <c r="N37" i="71"/>
  <c r="D37" i="71"/>
  <c r="Q36" i="71"/>
  <c r="P36" i="71"/>
  <c r="O36" i="71"/>
  <c r="N36" i="71"/>
  <c r="Q35" i="71"/>
  <c r="AB35" i="71"/>
  <c r="P35" i="71"/>
  <c r="O35" i="71"/>
  <c r="Y35" i="71" s="1"/>
  <c r="Z35" i="71" s="1"/>
  <c r="N35" i="71"/>
  <c r="Q34" i="71"/>
  <c r="P34" i="71"/>
  <c r="O34" i="71"/>
  <c r="N34" i="71"/>
  <c r="Q33" i="71"/>
  <c r="F34" i="71" s="1"/>
  <c r="P33" i="71"/>
  <c r="AA33" i="71" s="1"/>
  <c r="O33" i="71"/>
  <c r="N33" i="71"/>
  <c r="D33" i="71"/>
  <c r="Q32" i="71"/>
  <c r="P32" i="71"/>
  <c r="O32" i="71"/>
  <c r="N32" i="71"/>
  <c r="Q31" i="71"/>
  <c r="AB31" i="71"/>
  <c r="P31" i="71"/>
  <c r="O31" i="71"/>
  <c r="Y31" i="71" s="1"/>
  <c r="Z31" i="71" s="1"/>
  <c r="N31" i="71"/>
  <c r="Q30" i="71"/>
  <c r="AB30" i="71" s="1"/>
  <c r="P30" i="71"/>
  <c r="O30" i="71"/>
  <c r="N30" i="71"/>
  <c r="Q29" i="71"/>
  <c r="F30" i="71" s="1"/>
  <c r="P29" i="71"/>
  <c r="E30" i="71" s="1"/>
  <c r="E31" i="71" s="1"/>
  <c r="E32" i="71" s="1"/>
  <c r="U32" i="71" s="1"/>
  <c r="O29" i="71"/>
  <c r="N29" i="71"/>
  <c r="D29" i="71"/>
  <c r="O28" i="71"/>
  <c r="N28" i="71"/>
  <c r="B30" i="71"/>
  <c r="B31" i="71" s="1"/>
  <c r="B32" i="71" s="1"/>
  <c r="S32" i="71" s="1"/>
  <c r="B34" i="71"/>
  <c r="B35" i="71" s="1"/>
  <c r="B36" i="71" s="1"/>
  <c r="S36" i="71" s="1"/>
  <c r="B38" i="71"/>
  <c r="B39" i="71" s="1"/>
  <c r="B40" i="71" s="1"/>
  <c r="S40" i="71" s="1"/>
  <c r="X37" i="71"/>
  <c r="AA37" i="71"/>
  <c r="E34" i="71"/>
  <c r="E35" i="71" s="1"/>
  <c r="E36" i="71" s="1"/>
  <c r="U36" i="71" s="1"/>
  <c r="C30" i="71"/>
  <c r="AB29" i="71"/>
  <c r="AA30" i="71"/>
  <c r="AA31" i="71"/>
  <c r="AA32" i="71"/>
  <c r="C34" i="71"/>
  <c r="X35" i="71"/>
  <c r="C38" i="71"/>
  <c r="X38" i="71"/>
  <c r="AA38" i="71"/>
  <c r="F51" i="71"/>
  <c r="F52" i="71" s="1"/>
  <c r="V52" i="71" s="1"/>
  <c r="Y27" i="71"/>
  <c r="Z27" i="71" s="1"/>
  <c r="B28" i="71"/>
  <c r="B27" i="71" s="1"/>
  <c r="B26" i="71" s="1"/>
  <c r="X26" i="71"/>
  <c r="D30" i="71"/>
  <c r="D34" i="71"/>
  <c r="C47" i="71"/>
  <c r="D47" i="71" s="1"/>
  <c r="P28" i="71"/>
  <c r="E63" i="71"/>
  <c r="E64" i="71" s="1"/>
  <c r="U64" i="71" s="1"/>
  <c r="Q65" i="71"/>
  <c r="U68" i="71"/>
  <c r="E67" i="71"/>
  <c r="Q28" i="71"/>
  <c r="D58" i="71"/>
  <c r="Q67" i="71"/>
  <c r="T68" i="71"/>
  <c r="O68" i="71"/>
  <c r="D68" i="71"/>
  <c r="C67" i="71"/>
  <c r="Q68" i="71"/>
  <c r="E71" i="71"/>
  <c r="E70" i="71" s="1"/>
  <c r="C75" i="71"/>
  <c r="D75" i="71" s="1"/>
  <c r="D76" i="71"/>
  <c r="E79" i="71"/>
  <c r="E78" i="71" s="1"/>
  <c r="C83" i="71"/>
  <c r="C82" i="71" s="1"/>
  <c r="D82" i="71" s="1"/>
  <c r="C87" i="71"/>
  <c r="S28" i="71"/>
  <c r="AA28" i="71"/>
  <c r="C66" i="71"/>
  <c r="O67" i="71"/>
  <c r="D67" i="71"/>
  <c r="D83" i="71"/>
  <c r="C74" i="71"/>
  <c r="D74" i="71" s="1"/>
  <c r="D87" i="71"/>
  <c r="C86" i="71"/>
  <c r="D86" i="71" s="1"/>
  <c r="D59" i="71"/>
  <c r="P67" i="71"/>
  <c r="E66" i="71"/>
  <c r="P65" i="71" s="1"/>
  <c r="P66" i="71"/>
  <c r="O66" i="71"/>
  <c r="D66" i="71"/>
  <c r="O65" i="71"/>
  <c r="T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C22" i="20"/>
  <c r="B57" i="43"/>
  <c r="S25" i="40"/>
  <c r="S21" i="34"/>
  <c r="H25" i="40"/>
  <c r="J25" i="40"/>
  <c r="AC25" i="40" s="1"/>
  <c r="H29" i="39"/>
  <c r="AB29" i="39" s="1"/>
  <c r="J29" i="39"/>
  <c r="AC29" i="39" s="1"/>
  <c r="J18" i="36"/>
  <c r="H18" i="35"/>
  <c r="AB18" i="35" s="1"/>
  <c r="S18" i="35"/>
  <c r="J18" i="35"/>
  <c r="H21" i="37"/>
  <c r="F21" i="37"/>
  <c r="AA21" i="37" s="1"/>
  <c r="H21" i="34"/>
  <c r="H21" i="33"/>
  <c r="F21" i="33"/>
  <c r="E83" i="21"/>
  <c r="H1" i="69"/>
  <c r="W25" i="40"/>
  <c r="AB25" i="40"/>
  <c r="U25" i="40"/>
  <c r="U29" i="39"/>
  <c r="W29" i="39"/>
  <c r="AC18" i="36"/>
  <c r="W18" i="36"/>
  <c r="AB21" i="37"/>
  <c r="U21" i="37"/>
  <c r="U21" i="33"/>
  <c r="AB21" i="33"/>
  <c r="AC18" i="35"/>
  <c r="W18" i="35"/>
  <c r="J21" i="37"/>
  <c r="W21" i="37" s="1"/>
  <c r="J21" i="34"/>
  <c r="W21" i="34" s="1"/>
  <c r="J21" i="33"/>
  <c r="W21" i="33" s="1"/>
  <c r="F83" i="21"/>
  <c r="H21" i="21"/>
  <c r="U21" i="21" s="1"/>
  <c r="F38" i="69"/>
  <c r="E37" i="69"/>
  <c r="F36" i="69"/>
  <c r="F35" i="69"/>
  <c r="F21" i="69"/>
  <c r="F40" i="69" s="1"/>
  <c r="F20" i="69"/>
  <c r="F39" i="69" s="1"/>
  <c r="E10" i="69"/>
  <c r="E9" i="69"/>
  <c r="AC21" i="34"/>
  <c r="AC21" i="33"/>
  <c r="G83" i="21"/>
  <c r="J21" i="21"/>
  <c r="W21" i="21" s="1"/>
  <c r="C40" i="69"/>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c r="H6" i="31" s="1"/>
  <c r="I6" i="31" s="1"/>
  <c r="J6" i="31" s="1"/>
  <c r="K6" i="31" s="1"/>
  <c r="L6" i="31" s="1"/>
  <c r="M6" i="31" s="1"/>
  <c r="N6" i="31" s="1"/>
  <c r="O6" i="31" s="1"/>
  <c r="P6" i="31" s="1"/>
  <c r="Q6" i="31" s="1"/>
  <c r="R6" i="31" s="1"/>
  <c r="S6" i="31" s="1"/>
  <c r="B2" i="1"/>
  <c r="J51" i="83" s="1"/>
  <c r="E15" i="4"/>
  <c r="F8" i="1" s="1"/>
  <c r="G8" i="1" s="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Z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K144"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K6" i="1" s="1"/>
  <c r="AP6" i="1" s="1"/>
  <c r="E20" i="6"/>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A542" i="3" s="1"/>
  <c r="BC542" i="3"/>
  <c r="BD542" i="3"/>
  <c r="BD5" i="3" s="1"/>
  <c r="BE542" i="3"/>
  <c r="BF542" i="3"/>
  <c r="BG542" i="3"/>
  <c r="BH542" i="3"/>
  <c r="BI542" i="3"/>
  <c r="BJ542" i="3"/>
  <c r="BK542" i="3"/>
  <c r="BM542" i="3"/>
  <c r="BL542" i="3" s="1"/>
  <c r="BN542" i="3"/>
  <c r="BO542" i="3"/>
  <c r="BP542" i="3"/>
  <c r="BQ542" i="3"/>
  <c r="BR542" i="3"/>
  <c r="BS542" i="3"/>
  <c r="BS5" i="3" s="1"/>
  <c r="F28" i="6" s="1"/>
  <c r="BT542" i="3"/>
  <c r="H543" i="3"/>
  <c r="AC543" i="3"/>
  <c r="BB543" i="3"/>
  <c r="BC543" i="3"/>
  <c r="BD543" i="3"/>
  <c r="BE543" i="3"/>
  <c r="BF543" i="3"/>
  <c r="BG543" i="3"/>
  <c r="BH543" i="3"/>
  <c r="BI543" i="3"/>
  <c r="BJ543" i="3"/>
  <c r="BK543" i="3"/>
  <c r="BM543" i="3"/>
  <c r="BN543" i="3"/>
  <c r="BO543" i="3"/>
  <c r="BP543" i="3"/>
  <c r="BR543" i="3"/>
  <c r="BR5" i="3" s="1"/>
  <c r="BS543" i="3"/>
  <c r="BT543" i="3"/>
  <c r="BT5" i="3" s="1"/>
  <c r="H544" i="3"/>
  <c r="AC544" i="3"/>
  <c r="G544" i="3" s="1"/>
  <c r="BB544" i="3"/>
  <c r="BC544" i="3"/>
  <c r="BD544" i="3"/>
  <c r="BE544" i="3"/>
  <c r="BF544" i="3"/>
  <c r="BG544" i="3"/>
  <c r="BH544" i="3"/>
  <c r="BI544" i="3"/>
  <c r="BI5" i="3" s="1"/>
  <c r="BJ544" i="3"/>
  <c r="BK544" i="3"/>
  <c r="BM544" i="3"/>
  <c r="BN544" i="3"/>
  <c r="BL544" i="3" s="1"/>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L567" i="3" s="1"/>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D87" i="35"/>
  <c r="E87" i="35" s="1"/>
  <c r="F87" i="35" s="1"/>
  <c r="G87" i="35" s="1"/>
  <c r="H87" i="35" s="1"/>
  <c r="I87" i="35" s="1"/>
  <c r="J87" i="35" s="1"/>
  <c r="K87" i="35" s="1"/>
  <c r="L87" i="35" s="1"/>
  <c r="M87" i="35" s="1"/>
  <c r="H34" i="37"/>
  <c r="D101" i="37"/>
  <c r="F34" i="37"/>
  <c r="AA34" i="37" s="1"/>
  <c r="D99" i="37"/>
  <c r="E99" i="37"/>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AA40" i="33" s="1"/>
  <c r="J41" i="33"/>
  <c r="W41" i="33" s="1"/>
  <c r="D113" i="33"/>
  <c r="E113" i="33" s="1"/>
  <c r="F113" i="33" s="1"/>
  <c r="G113" i="33" s="1"/>
  <c r="H113" i="33" s="1"/>
  <c r="F37" i="33"/>
  <c r="S37" i="33" s="1"/>
  <c r="D111" i="33"/>
  <c r="E111" i="33" s="1"/>
  <c r="F111" i="33" s="1"/>
  <c r="S515" i="31"/>
  <c r="S516" i="31"/>
  <c r="S517" i="31"/>
  <c r="S518" i="31"/>
  <c r="S519" i="31"/>
  <c r="S520" i="31"/>
  <c r="S521" i="31"/>
  <c r="S522" i="31"/>
  <c r="S523" i="31"/>
  <c r="S524" i="31"/>
  <c r="F41" i="21"/>
  <c r="AA41" i="21" s="1"/>
  <c r="J41" i="21"/>
  <c r="AC41" i="21" s="1"/>
  <c r="H41" i="21"/>
  <c r="D80" i="39"/>
  <c r="E80" i="39" s="1"/>
  <c r="F80" i="39" s="1"/>
  <c r="G80" i="39" s="1"/>
  <c r="H80" i="39" s="1"/>
  <c r="I80" i="39" s="1"/>
  <c r="J80" i="39" s="1"/>
  <c r="K80" i="39" s="1"/>
  <c r="L80" i="39" s="1"/>
  <c r="M80" i="39" s="1"/>
  <c r="D76" i="40"/>
  <c r="E76" i="40" s="1"/>
  <c r="F76" i="40" s="1"/>
  <c r="G76" i="40"/>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B103" i="40"/>
  <c r="B101" i="40"/>
  <c r="J31" i="40"/>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H12" i="40" s="1"/>
  <c r="AB12" i="40" s="1"/>
  <c r="M74" i="40"/>
  <c r="L74" i="40"/>
  <c r="K74" i="40"/>
  <c r="J74" i="40"/>
  <c r="I74" i="40"/>
  <c r="H74" i="40"/>
  <c r="G74" i="40"/>
  <c r="F74" i="40"/>
  <c r="E74" i="40"/>
  <c r="D74" i="40"/>
  <c r="C74" i="40"/>
  <c r="P43" i="40"/>
  <c r="P42" i="40"/>
  <c r="V41" i="40"/>
  <c r="T41" i="40"/>
  <c r="R41" i="40"/>
  <c r="P41" i="40"/>
  <c r="Q40" i="40"/>
  <c r="Z40" i="40" s="1"/>
  <c r="J40" i="40"/>
  <c r="W40" i="40" s="1"/>
  <c r="H40" i="40"/>
  <c r="F40" i="40"/>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H8" i="40"/>
  <c r="AB8" i="40" s="1"/>
  <c r="F8" i="40"/>
  <c r="AA8" i="40" s="1"/>
  <c r="J38" i="39"/>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s="1"/>
  <c r="G94" i="39" s="1"/>
  <c r="D92" i="39"/>
  <c r="E92" i="39" s="1"/>
  <c r="F92" i="39" s="1"/>
  <c r="G92" i="39" s="1"/>
  <c r="D90" i="39"/>
  <c r="E90" i="39" s="1"/>
  <c r="F90" i="39" s="1"/>
  <c r="G90" i="39" s="1"/>
  <c r="D88" i="39"/>
  <c r="E88" i="39" s="1"/>
  <c r="F88" i="39" s="1"/>
  <c r="G88" i="39" s="1"/>
  <c r="B85" i="39"/>
  <c r="B83" i="39"/>
  <c r="J13" i="39" s="1"/>
  <c r="W13" i="39" s="1"/>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D105" i="37"/>
  <c r="E105" i="37" s="1"/>
  <c r="F105" i="37" s="1"/>
  <c r="D103" i="37"/>
  <c r="E103" i="37" s="1"/>
  <c r="F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D75" i="37"/>
  <c r="E75" i="37" s="1"/>
  <c r="F75" i="37" s="1"/>
  <c r="D73" i="37"/>
  <c r="E73" i="37" s="1"/>
  <c r="F73" i="37" s="1"/>
  <c r="G73" i="37" s="1"/>
  <c r="D71" i="37"/>
  <c r="E71" i="37" s="1"/>
  <c r="F71" i="37" s="1"/>
  <c r="H15" i="37"/>
  <c r="AB15" i="37"/>
  <c r="B68" i="37"/>
  <c r="H14" i="37"/>
  <c r="B66" i="37"/>
  <c r="H13" i="37" s="1"/>
  <c r="AB13" i="37" s="1"/>
  <c r="B64" i="37"/>
  <c r="H12" i="37" s="1"/>
  <c r="AB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H29" i="36"/>
  <c r="D81" i="36"/>
  <c r="E81" i="36" s="1"/>
  <c r="F81" i="36" s="1"/>
  <c r="G81" i="36" s="1"/>
  <c r="H81" i="36" s="1"/>
  <c r="I81" i="36"/>
  <c r="J81" i="36" s="1"/>
  <c r="K81" i="36" s="1"/>
  <c r="L81" i="36" s="1"/>
  <c r="M81" i="36" s="1"/>
  <c r="F79" i="36"/>
  <c r="E79" i="36"/>
  <c r="D79" i="36"/>
  <c r="C79" i="36"/>
  <c r="B93" i="36"/>
  <c r="H33" i="36"/>
  <c r="AB33" i="36" s="1"/>
  <c r="B91" i="36"/>
  <c r="F32" i="36"/>
  <c r="AA32" i="36" s="1"/>
  <c r="B95" i="36"/>
  <c r="H34" i="36"/>
  <c r="AB34" i="36" s="1"/>
  <c r="D83" i="36"/>
  <c r="E83" i="36"/>
  <c r="F83" i="36" s="1"/>
  <c r="G83" i="36" s="1"/>
  <c r="H83" i="36" s="1"/>
  <c r="I83" i="36" s="1"/>
  <c r="J83" i="36" s="1"/>
  <c r="K83" i="36" s="1"/>
  <c r="L83" i="36" s="1"/>
  <c r="M83" i="36" s="1"/>
  <c r="D78" i="36"/>
  <c r="E78" i="36" s="1"/>
  <c r="F78" i="36" s="1"/>
  <c r="G78" i="36" s="1"/>
  <c r="H78" i="36" s="1"/>
  <c r="I78" i="36"/>
  <c r="J78" i="36" s="1"/>
  <c r="K78" i="36" s="1"/>
  <c r="L78" i="36" s="1"/>
  <c r="M78" i="36" s="1"/>
  <c r="B75" i="36"/>
  <c r="B73" i="36"/>
  <c r="B71" i="36"/>
  <c r="D70" i="36"/>
  <c r="H22" i="36"/>
  <c r="AB22" i="36"/>
  <c r="D68" i="36"/>
  <c r="E68" i="36"/>
  <c r="F68" i="36" s="1"/>
  <c r="G68" i="36" s="1"/>
  <c r="D64" i="36"/>
  <c r="E64" i="36" s="1"/>
  <c r="F64" i="36" s="1"/>
  <c r="G64" i="36" s="1"/>
  <c r="J16" i="36"/>
  <c r="W16" i="36" s="1"/>
  <c r="D62" i="36"/>
  <c r="E62" i="36" s="1"/>
  <c r="F62" i="36" s="1"/>
  <c r="G62" i="36"/>
  <c r="B59" i="36"/>
  <c r="B57" i="36"/>
  <c r="B55" i="36"/>
  <c r="H11" i="36" s="1"/>
  <c r="U11"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H34" i="35" s="1"/>
  <c r="B77" i="35"/>
  <c r="B75" i="35"/>
  <c r="J24" i="35" s="1"/>
  <c r="B73" i="35"/>
  <c r="B57" i="35"/>
  <c r="B61" i="35"/>
  <c r="B59" i="35"/>
  <c r="B131" i="34"/>
  <c r="B129" i="34"/>
  <c r="B127" i="34"/>
  <c r="B99" i="34"/>
  <c r="B97" i="34"/>
  <c r="B95" i="34"/>
  <c r="B93" i="34"/>
  <c r="B75" i="34"/>
  <c r="B73" i="34"/>
  <c r="B71" i="34"/>
  <c r="B130" i="33"/>
  <c r="B128" i="33"/>
  <c r="B126" i="33"/>
  <c r="H44" i="33" s="1"/>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C53" i="35"/>
  <c r="J9" i="35" s="1"/>
  <c r="P39" i="35"/>
  <c r="P38" i="35"/>
  <c r="V37" i="35"/>
  <c r="T37" i="35"/>
  <c r="R37" i="35"/>
  <c r="P37" i="35"/>
  <c r="Q36" i="35"/>
  <c r="Z36" i="35" s="1"/>
  <c r="J36" i="35"/>
  <c r="AC36" i="35" s="1"/>
  <c r="Q35" i="35"/>
  <c r="Z35" i="35" s="1"/>
  <c r="Q34" i="35"/>
  <c r="Z34" i="35" s="1"/>
  <c r="F34" i="35"/>
  <c r="Q33" i="35"/>
  <c r="Z33" i="35" s="1"/>
  <c r="Q32" i="35"/>
  <c r="Z32" i="35" s="1"/>
  <c r="H32" i="35"/>
  <c r="AB32" i="35" s="1"/>
  <c r="F32" i="35"/>
  <c r="Q31" i="35"/>
  <c r="Z31" i="35" s="1"/>
  <c r="AC31" i="35"/>
  <c r="AA31" i="35"/>
  <c r="Q30" i="35"/>
  <c r="Z30" i="35" s="1"/>
  <c r="Q29" i="35"/>
  <c r="Z29" i="35" s="1"/>
  <c r="Q28" i="35"/>
  <c r="Z28" i="35" s="1"/>
  <c r="J28" i="35"/>
  <c r="AC28" i="35" s="1"/>
  <c r="H28" i="35"/>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H12" i="35"/>
  <c r="F12" i="35"/>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H12" i="34"/>
  <c r="F12" i="34"/>
  <c r="S12" i="34" s="1"/>
  <c r="Q11" i="34"/>
  <c r="Z11" i="34" s="1"/>
  <c r="Q10" i="34"/>
  <c r="Z10" i="34" s="1"/>
  <c r="F10" i="34"/>
  <c r="AA10" i="34" s="1"/>
  <c r="Q9" i="34"/>
  <c r="Z9" i="34" s="1"/>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F26" i="33" s="1"/>
  <c r="C23" i="33"/>
  <c r="C19" i="33"/>
  <c r="C17" i="33"/>
  <c r="C15" i="33"/>
  <c r="C15" i="21"/>
  <c r="D125" i="33"/>
  <c r="E125" i="33" s="1"/>
  <c r="F125" i="33" s="1"/>
  <c r="G125" i="33" s="1"/>
  <c r="D123" i="33"/>
  <c r="D117" i="33"/>
  <c r="E117" i="33" s="1"/>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H40" i="33"/>
  <c r="AB40" i="33" s="1"/>
  <c r="Q39" i="33"/>
  <c r="Z39" i="33" s="1"/>
  <c r="J39" i="33"/>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s="1"/>
  <c r="D117" i="21"/>
  <c r="E117" i="21" s="1"/>
  <c r="F117" i="21" s="1"/>
  <c r="G117" i="21" s="1"/>
  <c r="D115" i="21"/>
  <c r="E115" i="21" s="1"/>
  <c r="F115" i="21" s="1"/>
  <c r="G115" i="21" s="1"/>
  <c r="H115" i="2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D85" i="21"/>
  <c r="F23" i="21" s="1"/>
  <c r="F19" i="21"/>
  <c r="AA19" i="21" s="1"/>
  <c r="E81" i="21"/>
  <c r="F81" i="21" s="1"/>
  <c r="G81" i="21" s="1"/>
  <c r="D77" i="21"/>
  <c r="E77" i="21"/>
  <c r="F77" i="21" s="1"/>
  <c r="G77" i="21" s="1"/>
  <c r="B130" i="21"/>
  <c r="B128" i="21"/>
  <c r="B126" i="21"/>
  <c r="B98" i="21"/>
  <c r="B96" i="21"/>
  <c r="B94" i="21"/>
  <c r="J29" i="21" s="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H38" i="21"/>
  <c r="U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s="1"/>
  <c r="J26" i="21"/>
  <c r="W26" i="21" s="1"/>
  <c r="S41" i="21"/>
  <c r="F45" i="39"/>
  <c r="S45" i="39" s="1"/>
  <c r="J45" i="39"/>
  <c r="W45" i="39" s="1"/>
  <c r="J35" i="39"/>
  <c r="F35" i="39"/>
  <c r="AA35" i="39" s="1"/>
  <c r="U9" i="39"/>
  <c r="U30" i="37"/>
  <c r="G103" i="37"/>
  <c r="H103" i="37" s="1"/>
  <c r="I103" i="37" s="1"/>
  <c r="J103" i="37" s="1"/>
  <c r="K103" i="37" s="1"/>
  <c r="L103" i="37" s="1"/>
  <c r="M103" i="37" s="1"/>
  <c r="F39" i="37"/>
  <c r="S39" i="37" s="1"/>
  <c r="F29" i="36"/>
  <c r="AA29" i="36" s="1"/>
  <c r="F16" i="36"/>
  <c r="AA16" i="36"/>
  <c r="W28" i="36"/>
  <c r="J33" i="36"/>
  <c r="AC33" i="36" s="1"/>
  <c r="H22" i="35"/>
  <c r="AB22" i="35"/>
  <c r="AC27" i="35"/>
  <c r="W28" i="35"/>
  <c r="W36" i="35"/>
  <c r="W22" i="35"/>
  <c r="S31" i="35"/>
  <c r="F36" i="34"/>
  <c r="J35" i="34"/>
  <c r="U34" i="34"/>
  <c r="H39" i="33"/>
  <c r="AB39" i="33" s="1"/>
  <c r="U33" i="33"/>
  <c r="S40" i="33"/>
  <c r="H39" i="37"/>
  <c r="AB39" i="37" s="1"/>
  <c r="S27" i="35"/>
  <c r="F11" i="40"/>
  <c r="AA11" i="40" s="1"/>
  <c r="H11" i="40"/>
  <c r="AB11" i="40" s="1"/>
  <c r="AC40" i="40"/>
  <c r="AC9" i="40"/>
  <c r="S34" i="40"/>
  <c r="F42" i="39"/>
  <c r="AA42" i="39" s="1"/>
  <c r="F41" i="39"/>
  <c r="S41" i="39" s="1"/>
  <c r="H40" i="39"/>
  <c r="H39" i="39"/>
  <c r="U39" i="39" s="1"/>
  <c r="S38" i="39"/>
  <c r="S34" i="39"/>
  <c r="H34" i="39"/>
  <c r="U34" i="39" s="1"/>
  <c r="E100" i="39"/>
  <c r="F100" i="39" s="1"/>
  <c r="H19" i="39"/>
  <c r="AB19" i="39" s="1"/>
  <c r="F19" i="39"/>
  <c r="H17" i="39"/>
  <c r="AB17" i="39" s="1"/>
  <c r="F17" i="39"/>
  <c r="J23" i="40"/>
  <c r="AC23" i="40" s="1"/>
  <c r="F21" i="40"/>
  <c r="J21" i="40"/>
  <c r="W21" i="40" s="1"/>
  <c r="H42" i="39"/>
  <c r="AB42" i="39" s="1"/>
  <c r="J34" i="39"/>
  <c r="AC34" i="39" s="1"/>
  <c r="F108" i="39"/>
  <c r="G108" i="39" s="1"/>
  <c r="H108" i="39" s="1"/>
  <c r="I108" i="39" s="1"/>
  <c r="J108" i="39" s="1"/>
  <c r="K108" i="39" s="1"/>
  <c r="L108" i="39" s="1"/>
  <c r="M108" i="39" s="1"/>
  <c r="H27" i="39"/>
  <c r="U27" i="39" s="1"/>
  <c r="J19" i="39"/>
  <c r="AC19" i="39" s="1"/>
  <c r="J17" i="39"/>
  <c r="W17" i="39" s="1"/>
  <c r="J27" i="39"/>
  <c r="AC27" i="39" s="1"/>
  <c r="F27" i="39"/>
  <c r="AA27" i="39" s="1"/>
  <c r="F11" i="21"/>
  <c r="S11" i="21" s="1"/>
  <c r="C25" i="39"/>
  <c r="C27" i="39"/>
  <c r="C21" i="39"/>
  <c r="H11" i="39"/>
  <c r="C15" i="39"/>
  <c r="H32" i="33"/>
  <c r="H11" i="21"/>
  <c r="U11" i="21" s="1"/>
  <c r="J11" i="21"/>
  <c r="W11" i="21" s="1"/>
  <c r="H37" i="40"/>
  <c r="U37" i="40" s="1"/>
  <c r="H36" i="40"/>
  <c r="F35" i="40"/>
  <c r="H23" i="40"/>
  <c r="H17" i="40"/>
  <c r="U17" i="40" s="1"/>
  <c r="J15" i="40"/>
  <c r="J11" i="40"/>
  <c r="W11" i="40" s="1"/>
  <c r="AA12" i="34"/>
  <c r="F37" i="39"/>
  <c r="AA37" i="39"/>
  <c r="J34" i="36"/>
  <c r="W34" i="36" s="1"/>
  <c r="U30" i="36"/>
  <c r="J30" i="35"/>
  <c r="W30" i="35" s="1"/>
  <c r="H30" i="35"/>
  <c r="AB30" i="35" s="1"/>
  <c r="F22" i="35"/>
  <c r="AA22" i="35"/>
  <c r="H10" i="35"/>
  <c r="U10" i="35" s="1"/>
  <c r="F33" i="36"/>
  <c r="AA33" i="36"/>
  <c r="W30" i="36"/>
  <c r="H16" i="36"/>
  <c r="G85" i="36"/>
  <c r="H85" i="36" s="1"/>
  <c r="I85" i="36" s="1"/>
  <c r="J85" i="36" s="1"/>
  <c r="K85" i="36" s="1"/>
  <c r="L85" i="36" s="1"/>
  <c r="M85" i="36" s="1"/>
  <c r="J29" i="36"/>
  <c r="AC29" i="36" s="1"/>
  <c r="F34" i="36"/>
  <c r="F14" i="35"/>
  <c r="AA14" i="35" s="1"/>
  <c r="J32" i="35"/>
  <c r="AC32" i="35" s="1"/>
  <c r="J16" i="35"/>
  <c r="AC16" i="35" s="1"/>
  <c r="H16" i="35"/>
  <c r="U16" i="35" s="1"/>
  <c r="F16" i="35"/>
  <c r="S16" i="35" s="1"/>
  <c r="H14" i="35"/>
  <c r="J29" i="35"/>
  <c r="H33" i="35"/>
  <c r="J20" i="35"/>
  <c r="F35" i="37"/>
  <c r="S35" i="37" s="1"/>
  <c r="E101" i="37"/>
  <c r="F101" i="37" s="1"/>
  <c r="G101" i="37" s="1"/>
  <c r="H101" i="37"/>
  <c r="I101" i="37" s="1"/>
  <c r="J101" i="37" s="1"/>
  <c r="K101" i="37" s="1"/>
  <c r="L101" i="37" s="1"/>
  <c r="M101" i="37" s="1"/>
  <c r="J34" i="37"/>
  <c r="W34" i="37" s="1"/>
  <c r="AA39" i="37"/>
  <c r="J33" i="37"/>
  <c r="AC33" i="37" s="1"/>
  <c r="U42" i="34"/>
  <c r="H40" i="34"/>
  <c r="U40" i="34" s="1"/>
  <c r="E114" i="34"/>
  <c r="F114" i="34" s="1"/>
  <c r="G114" i="34" s="1"/>
  <c r="H114" i="34" s="1"/>
  <c r="H36" i="34"/>
  <c r="U36" i="34"/>
  <c r="F37" i="34"/>
  <c r="AA37" i="34" s="1"/>
  <c r="S35" i="34"/>
  <c r="F28" i="34"/>
  <c r="AA28" i="34"/>
  <c r="F25" i="34"/>
  <c r="S25" i="34"/>
  <c r="H23" i="34"/>
  <c r="U23" i="34"/>
  <c r="J23" i="34"/>
  <c r="F19" i="34"/>
  <c r="AA19" i="34" s="1"/>
  <c r="H17" i="34"/>
  <c r="U17" i="34"/>
  <c r="F15" i="34"/>
  <c r="J15" i="34"/>
  <c r="AC15" i="34" s="1"/>
  <c r="H15" i="34"/>
  <c r="AB15" i="34"/>
  <c r="W8" i="34"/>
  <c r="J28" i="34"/>
  <c r="W28" i="34" s="1"/>
  <c r="F41" i="33"/>
  <c r="AA41" i="33" s="1"/>
  <c r="F32" i="33"/>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F29" i="35"/>
  <c r="S29" i="35" s="1"/>
  <c r="H29" i="35"/>
  <c r="AB29" i="35" s="1"/>
  <c r="H33" i="37"/>
  <c r="F33" i="37"/>
  <c r="AA33" i="37" s="1"/>
  <c r="S34" i="37"/>
  <c r="J43" i="34"/>
  <c r="AB42" i="34"/>
  <c r="J40" i="34"/>
  <c r="I114" i="34"/>
  <c r="J114" i="34" s="1"/>
  <c r="K114" i="34" s="1"/>
  <c r="L114" i="34" s="1"/>
  <c r="M114" i="34" s="1"/>
  <c r="H38" i="34"/>
  <c r="AB38" i="34" s="1"/>
  <c r="J36" i="34"/>
  <c r="H37" i="34"/>
  <c r="U37" i="34" s="1"/>
  <c r="H25" i="34"/>
  <c r="AB25" i="34" s="1"/>
  <c r="J25" i="34"/>
  <c r="AB23" i="34"/>
  <c r="F23" i="34"/>
  <c r="J19" i="34"/>
  <c r="AC19" i="34" s="1"/>
  <c r="F17" i="34"/>
  <c r="J17" i="34"/>
  <c r="W17" i="34" s="1"/>
  <c r="AB17" i="34"/>
  <c r="AA15" i="34"/>
  <c r="S15" i="34"/>
  <c r="S41" i="33"/>
  <c r="I113" i="33"/>
  <c r="J113" i="33" s="1"/>
  <c r="K113" i="33" s="1"/>
  <c r="L113" i="33" s="1"/>
  <c r="M113" i="33" s="1"/>
  <c r="H37" i="33"/>
  <c r="AB37" i="33" s="1"/>
  <c r="H15" i="33"/>
  <c r="AB15" i="33" s="1"/>
  <c r="H11" i="33"/>
  <c r="F28" i="40"/>
  <c r="AA28" i="40" s="1"/>
  <c r="AA29" i="35"/>
  <c r="S42" i="34"/>
  <c r="AC38" i="34"/>
  <c r="AA38" i="34"/>
  <c r="J37" i="34"/>
  <c r="AC37" i="34" s="1"/>
  <c r="J11" i="33"/>
  <c r="W11" i="33" s="1"/>
  <c r="S28" i="34"/>
  <c r="J44" i="34"/>
  <c r="AC44" i="34" s="1"/>
  <c r="F44" i="34"/>
  <c r="AA44" i="34"/>
  <c r="J10" i="35"/>
  <c r="AC10" i="35" s="1"/>
  <c r="J44" i="21"/>
  <c r="AC44" i="21" s="1"/>
  <c r="H44" i="21"/>
  <c r="U44" i="21" s="1"/>
  <c r="F44" i="21"/>
  <c r="AA44" i="21" s="1"/>
  <c r="H46" i="21"/>
  <c r="U46" i="21" s="1"/>
  <c r="J46" i="21"/>
  <c r="F46" i="21"/>
  <c r="AA46"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F28" i="36"/>
  <c r="AA28" i="36" s="1"/>
  <c r="H27" i="21"/>
  <c r="AB27" i="21" s="1"/>
  <c r="J13" i="33"/>
  <c r="H13" i="33"/>
  <c r="U13" i="33" s="1"/>
  <c r="F13" i="33"/>
  <c r="S13" i="33"/>
  <c r="J29" i="33"/>
  <c r="AC29" i="33"/>
  <c r="H29" i="33"/>
  <c r="U29" i="33"/>
  <c r="F29" i="33"/>
  <c r="S29" i="33"/>
  <c r="J31" i="33"/>
  <c r="W31" i="33"/>
  <c r="H31" i="33"/>
  <c r="F31" i="33"/>
  <c r="S31" i="33" s="1"/>
  <c r="H45" i="33"/>
  <c r="U45" i="33"/>
  <c r="J45" i="33"/>
  <c r="W45" i="33"/>
  <c r="F45" i="33"/>
  <c r="AA45" i="33"/>
  <c r="J14" i="34"/>
  <c r="W14" i="34"/>
  <c r="F14" i="34"/>
  <c r="S14" i="34"/>
  <c r="H14" i="34"/>
  <c r="H30" i="34"/>
  <c r="U30" i="34" s="1"/>
  <c r="F30" i="34"/>
  <c r="S30" i="34"/>
  <c r="J30" i="34"/>
  <c r="W30" i="34"/>
  <c r="H32" i="34"/>
  <c r="F32" i="34"/>
  <c r="S32" i="34" s="1"/>
  <c r="J32" i="34"/>
  <c r="W32" i="34"/>
  <c r="H46" i="34"/>
  <c r="U46" i="34"/>
  <c r="F46" i="34"/>
  <c r="J46" i="34"/>
  <c r="W46" i="34" s="1"/>
  <c r="H11" i="35"/>
  <c r="AB11" i="35" s="1"/>
  <c r="J11" i="35"/>
  <c r="F11" i="35"/>
  <c r="S11" i="35" s="1"/>
  <c r="J26" i="36"/>
  <c r="W26" i="36" s="1"/>
  <c r="H28" i="36"/>
  <c r="U28" i="36" s="1"/>
  <c r="H32" i="36"/>
  <c r="AB32" i="36" s="1"/>
  <c r="J32" i="36"/>
  <c r="W32" i="36" s="1"/>
  <c r="J11" i="36"/>
  <c r="AC11" i="36" s="1"/>
  <c r="F11" i="36"/>
  <c r="H13" i="36"/>
  <c r="AB13" i="36"/>
  <c r="J13" i="36"/>
  <c r="F13" i="36"/>
  <c r="S13" i="36" s="1"/>
  <c r="E89" i="37"/>
  <c r="F89" i="37" s="1"/>
  <c r="G89" i="37"/>
  <c r="H89" i="37" s="1"/>
  <c r="I89" i="37" s="1"/>
  <c r="J89" i="37" s="1"/>
  <c r="K89" i="37" s="1"/>
  <c r="L89" i="37" s="1"/>
  <c r="M89" i="37" s="1"/>
  <c r="J29" i="37"/>
  <c r="W29" i="37" s="1"/>
  <c r="F29" i="37"/>
  <c r="S29" i="37" s="1"/>
  <c r="H36" i="37"/>
  <c r="AB36" i="37" s="1"/>
  <c r="J37" i="37"/>
  <c r="AC37" i="37"/>
  <c r="H37" i="37"/>
  <c r="U37" i="37"/>
  <c r="H40" i="37"/>
  <c r="U40" i="37"/>
  <c r="J40" i="37"/>
  <c r="AC40" i="37"/>
  <c r="F40" i="37"/>
  <c r="AA40" i="37"/>
  <c r="F30" i="33"/>
  <c r="J29" i="34"/>
  <c r="AC29" i="34" s="1"/>
  <c r="J25" i="36"/>
  <c r="W25" i="36"/>
  <c r="F25" i="36"/>
  <c r="S25" i="36"/>
  <c r="H25" i="36"/>
  <c r="AB25" i="36"/>
  <c r="F13" i="37"/>
  <c r="S13" i="37" s="1"/>
  <c r="J13" i="37"/>
  <c r="W13" i="37" s="1"/>
  <c r="F43" i="39"/>
  <c r="AA43" i="39"/>
  <c r="H43" i="39"/>
  <c r="H14" i="39"/>
  <c r="H30" i="40"/>
  <c r="AB30" i="40" s="1"/>
  <c r="H33" i="40"/>
  <c r="J35" i="40"/>
  <c r="AC35" i="40" s="1"/>
  <c r="J37" i="40"/>
  <c r="AC37" i="40" s="1"/>
  <c r="H13" i="40"/>
  <c r="U13" i="40" s="1"/>
  <c r="J13" i="40"/>
  <c r="W13" i="40" s="1"/>
  <c r="F13" i="40"/>
  <c r="AA13" i="40" s="1"/>
  <c r="F14" i="37"/>
  <c r="S14" i="37" s="1"/>
  <c r="F27" i="37"/>
  <c r="AA27" i="37" s="1"/>
  <c r="F13" i="39"/>
  <c r="AA13" i="39" s="1"/>
  <c r="J14" i="37"/>
  <c r="AC14" i="37"/>
  <c r="J27" i="37"/>
  <c r="AC27" i="37"/>
  <c r="J36" i="37"/>
  <c r="AC36" i="37" s="1"/>
  <c r="G105" i="37"/>
  <c r="J10" i="36"/>
  <c r="AC10" i="36" s="1"/>
  <c r="AC13" i="36"/>
  <c r="W13" i="36"/>
  <c r="AB46" i="34"/>
  <c r="AC30" i="34"/>
  <c r="AA14" i="34"/>
  <c r="S45" i="33"/>
  <c r="AB45" i="33"/>
  <c r="AB31" i="33"/>
  <c r="U31" i="33"/>
  <c r="W29" i="33"/>
  <c r="S44" i="34"/>
  <c r="F15" i="21"/>
  <c r="S15" i="21" s="1"/>
  <c r="J41" i="39"/>
  <c r="W41" i="39" s="1"/>
  <c r="AC45" i="39"/>
  <c r="S35" i="39"/>
  <c r="G536" i="3"/>
  <c r="G528" i="3"/>
  <c r="G500" i="3"/>
  <c r="BL572" i="3"/>
  <c r="BL526" i="3"/>
  <c r="BL582" i="3"/>
  <c r="BL566" i="3"/>
  <c r="BL532" i="3"/>
  <c r="BL524" i="3"/>
  <c r="BA584" i="3"/>
  <c r="BA556" i="3"/>
  <c r="BA548" i="3"/>
  <c r="BA538" i="3"/>
  <c r="BA534" i="3"/>
  <c r="BA530" i="3"/>
  <c r="BA510" i="3"/>
  <c r="BA498" i="3"/>
  <c r="BA577" i="3"/>
  <c r="BA565" i="3"/>
  <c r="BA555" i="3"/>
  <c r="BA545" i="3"/>
  <c r="BA541" i="3"/>
  <c r="BA537" i="3"/>
  <c r="BA533" i="3"/>
  <c r="BA529" i="3"/>
  <c r="BA523" i="3"/>
  <c r="BA513" i="3"/>
  <c r="BA503" i="3"/>
  <c r="BA495" i="3"/>
  <c r="G577" i="3"/>
  <c r="G573" i="3"/>
  <c r="G561" i="3"/>
  <c r="BA557" i="3"/>
  <c r="AC557" i="3"/>
  <c r="G557" i="3" s="1"/>
  <c r="BQ557" i="3"/>
  <c r="BL557" i="3" s="1"/>
  <c r="BQ583" i="3"/>
  <c r="BQ581" i="3"/>
  <c r="BQ579" i="3"/>
  <c r="BQ577" i="3"/>
  <c r="BL577" i="3" s="1"/>
  <c r="BQ575" i="3"/>
  <c r="BQ573" i="3"/>
  <c r="BQ571" i="3"/>
  <c r="BQ569" i="3"/>
  <c r="BQ567" i="3"/>
  <c r="BQ565" i="3"/>
  <c r="BQ563" i="3"/>
  <c r="BQ561" i="3"/>
  <c r="BQ559" i="3"/>
  <c r="G555" i="3"/>
  <c r="G543" i="3"/>
  <c r="G539" i="3"/>
  <c r="BQ555" i="3"/>
  <c r="BQ553" i="3"/>
  <c r="BQ551" i="3"/>
  <c r="BL551" i="3"/>
  <c r="BQ549" i="3"/>
  <c r="BQ547" i="3"/>
  <c r="BQ545" i="3"/>
  <c r="BQ543" i="3"/>
  <c r="BQ541" i="3"/>
  <c r="BQ539" i="3"/>
  <c r="BL539" i="3" s="1"/>
  <c r="BQ537" i="3"/>
  <c r="BQ535" i="3"/>
  <c r="BL535" i="3" s="1"/>
  <c r="BQ533" i="3"/>
  <c r="BQ531" i="3"/>
  <c r="BL531" i="3" s="1"/>
  <c r="BQ529" i="3"/>
  <c r="BQ527" i="3"/>
  <c r="BL527" i="3" s="1"/>
  <c r="BQ525" i="3"/>
  <c r="BQ523" i="3"/>
  <c r="AC521" i="3"/>
  <c r="G521" i="3"/>
  <c r="BQ521" i="3"/>
  <c r="BL521" i="3"/>
  <c r="G513" i="3"/>
  <c r="BQ519" i="3"/>
  <c r="BQ517" i="3"/>
  <c r="BQ515" i="3"/>
  <c r="BQ513" i="3"/>
  <c r="BL513" i="3"/>
  <c r="BQ511" i="3"/>
  <c r="AC509" i="3"/>
  <c r="BQ509" i="3"/>
  <c r="BL509" i="3"/>
  <c r="G501" i="3"/>
  <c r="BQ507" i="3"/>
  <c r="BQ505" i="3"/>
  <c r="BL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H43" i="33"/>
  <c r="H17" i="37"/>
  <c r="U17" i="37" s="1"/>
  <c r="F39" i="33"/>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F10" i="35"/>
  <c r="S10" i="35" s="1"/>
  <c r="H24" i="35"/>
  <c r="AB24" i="35" s="1"/>
  <c r="H23" i="37"/>
  <c r="AB23" i="37" s="1"/>
  <c r="J32" i="37"/>
  <c r="AC32" i="37" s="1"/>
  <c r="F36" i="37"/>
  <c r="F37" i="37"/>
  <c r="AA37" i="37" s="1"/>
  <c r="F31" i="40"/>
  <c r="AA31" i="40" s="1"/>
  <c r="H31" i="40"/>
  <c r="U31" i="40" s="1"/>
  <c r="J36" i="40"/>
  <c r="H19" i="37"/>
  <c r="AB19" i="37" s="1"/>
  <c r="H42" i="33"/>
  <c r="AB42" i="33" s="1"/>
  <c r="J43" i="33"/>
  <c r="AC43" i="33" s="1"/>
  <c r="S28" i="31"/>
  <c r="S27" i="31"/>
  <c r="S26" i="31"/>
  <c r="W14" i="37"/>
  <c r="AA13" i="33"/>
  <c r="AC31" i="33"/>
  <c r="AC45" i="33"/>
  <c r="U19" i="21"/>
  <c r="F43" i="33"/>
  <c r="W16" i="35"/>
  <c r="W40" i="37"/>
  <c r="H107" i="37"/>
  <c r="I107" i="37" s="1"/>
  <c r="J107" i="37" s="1"/>
  <c r="K107" i="37" s="1"/>
  <c r="L107" i="37" s="1"/>
  <c r="M107" i="37" s="1"/>
  <c r="H37" i="21"/>
  <c r="U37" i="21" s="1"/>
  <c r="H19" i="34"/>
  <c r="AB19" i="34" s="1"/>
  <c r="F36" i="35"/>
  <c r="S36" i="35" s="1"/>
  <c r="J9" i="37"/>
  <c r="W9" i="37" s="1"/>
  <c r="H9" i="37"/>
  <c r="U9" i="37" s="1"/>
  <c r="F9" i="37"/>
  <c r="S9" i="37" s="1"/>
  <c r="J12" i="37"/>
  <c r="F12" i="37"/>
  <c r="S12" i="37" s="1"/>
  <c r="F15" i="37"/>
  <c r="AA15" i="37" s="1"/>
  <c r="E94" i="37"/>
  <c r="F94" i="37" s="1"/>
  <c r="G94" i="37" s="1"/>
  <c r="H94" i="37" s="1"/>
  <c r="I94" i="37" s="1"/>
  <c r="J94" i="37" s="1"/>
  <c r="K94" i="37" s="1"/>
  <c r="L94" i="37" s="1"/>
  <c r="M94" i="37" s="1"/>
  <c r="F31" i="37"/>
  <c r="S31" i="37" s="1"/>
  <c r="F12" i="39"/>
  <c r="J42" i="39"/>
  <c r="AC42" i="39" s="1"/>
  <c r="H21" i="40"/>
  <c r="H31" i="37"/>
  <c r="G71" i="37"/>
  <c r="J15" i="37"/>
  <c r="W15" i="37"/>
  <c r="AT6" i="3"/>
  <c r="H19" i="40"/>
  <c r="U19" i="40" s="1"/>
  <c r="F88" i="40"/>
  <c r="G88" i="40" s="1"/>
  <c r="F19" i="40"/>
  <c r="S19" i="40" s="1"/>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AA41" i="39"/>
  <c r="J19" i="40"/>
  <c r="AC19" i="40" s="1"/>
  <c r="J50" i="40"/>
  <c r="H103" i="9"/>
  <c r="D8" i="53" s="1"/>
  <c r="B16" i="53"/>
  <c r="B33" i="72" s="1"/>
  <c r="C7" i="37"/>
  <c r="C52" i="37" s="1"/>
  <c r="D52" i="37" s="1"/>
  <c r="C7" i="34"/>
  <c r="C7" i="36"/>
  <c r="C46" i="36" s="1"/>
  <c r="D46" i="36" s="1"/>
  <c r="E46" i="36" s="1"/>
  <c r="F46" i="36" s="1"/>
  <c r="G46" i="36" s="1"/>
  <c r="H46" i="36" s="1"/>
  <c r="I46" i="36" s="1"/>
  <c r="W35" i="40"/>
  <c r="A4" i="52"/>
  <c r="B41" i="72" s="1"/>
  <c r="J11" i="39"/>
  <c r="W11" i="39"/>
  <c r="F11" i="39"/>
  <c r="AA11" i="39"/>
  <c r="S11" i="39"/>
  <c r="G4" i="4"/>
  <c r="I4" i="4"/>
  <c r="A2" i="9"/>
  <c r="F61" i="43"/>
  <c r="H64" i="43" s="1"/>
  <c r="AZ20" i="3"/>
  <c r="AZ32" i="3"/>
  <c r="G303" i="3"/>
  <c r="BL304" i="3"/>
  <c r="G305" i="3"/>
  <c r="BL306" i="3"/>
  <c r="BA308" i="3"/>
  <c r="BA309" i="3"/>
  <c r="AZ309" i="3" s="1"/>
  <c r="BL309" i="3"/>
  <c r="G310" i="3"/>
  <c r="BA311" i="3"/>
  <c r="G319" i="3"/>
  <c r="BL320" i="3"/>
  <c r="G321" i="3"/>
  <c r="BL322" i="3"/>
  <c r="BA324" i="3"/>
  <c r="AZ324" i="3" s="1"/>
  <c r="BA325" i="3"/>
  <c r="BL325" i="3"/>
  <c r="AZ325" i="3" s="1"/>
  <c r="G326" i="3"/>
  <c r="BA327" i="3"/>
  <c r="G335" i="3"/>
  <c r="BL336" i="3"/>
  <c r="G337" i="3"/>
  <c r="BL338" i="3"/>
  <c r="BA340" i="3"/>
  <c r="BA341" i="3"/>
  <c r="AZ341" i="3" s="1"/>
  <c r="BL341" i="3"/>
  <c r="BA343" i="3"/>
  <c r="BA345" i="3"/>
  <c r="BL355" i="3"/>
  <c r="G356" i="3"/>
  <c r="BL357" i="3"/>
  <c r="BA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AZ116" i="3" s="1"/>
  <c r="G117" i="3"/>
  <c r="BA119" i="3"/>
  <c r="AZ119" i="3" s="1"/>
  <c r="BL120" i="3"/>
  <c r="AZ120" i="3" s="1"/>
  <c r="G121" i="3"/>
  <c r="BA123" i="3"/>
  <c r="AZ123" i="3" s="1"/>
  <c r="BL124" i="3"/>
  <c r="AZ124" i="3" s="1"/>
  <c r="G125" i="3"/>
  <c r="BA127" i="3"/>
  <c r="AZ127" i="3"/>
  <c r="BL128" i="3"/>
  <c r="G129" i="3"/>
  <c r="BA131" i="3"/>
  <c r="AZ131" i="3"/>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AZ152" i="3" s="1"/>
  <c r="G153" i="3"/>
  <c r="BA155" i="3"/>
  <c r="BL156" i="3"/>
  <c r="AZ156" i="3" s="1"/>
  <c r="G157" i="3"/>
  <c r="BA159" i="3"/>
  <c r="AZ159" i="3"/>
  <c r="BL160" i="3"/>
  <c r="G161" i="3"/>
  <c r="BA163" i="3"/>
  <c r="AZ163" i="3"/>
  <c r="BL164" i="3"/>
  <c r="AZ164" i="3"/>
  <c r="G165" i="3"/>
  <c r="BA167" i="3"/>
  <c r="BL168" i="3"/>
  <c r="G169" i="3"/>
  <c r="BA171" i="3"/>
  <c r="BL172" i="3"/>
  <c r="AZ172" i="3" s="1"/>
  <c r="G173" i="3"/>
  <c r="BA175" i="3"/>
  <c r="AZ175" i="3" s="1"/>
  <c r="BL176" i="3"/>
  <c r="G177" i="3"/>
  <c r="BA179" i="3"/>
  <c r="AZ179" i="3" s="1"/>
  <c r="BL180" i="3"/>
  <c r="AZ180" i="3" s="1"/>
  <c r="G181" i="3"/>
  <c r="BA183" i="3"/>
  <c r="BL184" i="3"/>
  <c r="AZ184" i="3" s="1"/>
  <c r="G185" i="3"/>
  <c r="BA187" i="3"/>
  <c r="BL188" i="3"/>
  <c r="AZ188" i="3" s="1"/>
  <c r="G189" i="3"/>
  <c r="BA191" i="3"/>
  <c r="AZ191" i="3"/>
  <c r="BL192" i="3"/>
  <c r="G193" i="3"/>
  <c r="BA195" i="3"/>
  <c r="AZ195" i="3"/>
  <c r="BL196" i="3"/>
  <c r="AZ196" i="3"/>
  <c r="G197" i="3"/>
  <c r="BA199" i="3"/>
  <c r="BL200" i="3"/>
  <c r="G201" i="3"/>
  <c r="BA203" i="3"/>
  <c r="BL204" i="3"/>
  <c r="AZ204" i="3" s="1"/>
  <c r="AZ39" i="3"/>
  <c r="AZ47" i="3"/>
  <c r="AZ55" i="3"/>
  <c r="AZ59" i="3"/>
  <c r="AZ63" i="3"/>
  <c r="AZ71" i="3"/>
  <c r="AZ79" i="3"/>
  <c r="AZ83" i="3"/>
  <c r="AZ168" i="3"/>
  <c r="AZ200" i="3"/>
  <c r="AZ85" i="3"/>
  <c r="AZ93" i="3"/>
  <c r="AZ97" i="3"/>
  <c r="AZ101" i="3"/>
  <c r="AZ105" i="3"/>
  <c r="AZ109" i="3"/>
  <c r="AZ128" i="3"/>
  <c r="G530" i="3"/>
  <c r="G516" i="3"/>
  <c r="G506"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BA329" i="3"/>
  <c r="BL329" i="3"/>
  <c r="AZ329" i="3" s="1"/>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AZ363" i="3" s="1"/>
  <c r="BA364" i="3"/>
  <c r="AZ364" i="3" s="1"/>
  <c r="BL364" i="3"/>
  <c r="G365" i="3"/>
  <c r="G368" i="3"/>
  <c r="BL369" i="3"/>
  <c r="BA371" i="3"/>
  <c r="BA372" i="3"/>
  <c r="AZ372" i="3" s="1"/>
  <c r="BL372" i="3"/>
  <c r="G373" i="3"/>
  <c r="G376" i="3"/>
  <c r="BL377" i="3"/>
  <c r="AZ377" i="3" s="1"/>
  <c r="BL379" i="3"/>
  <c r="BA381" i="3"/>
  <c r="BA382" i="3"/>
  <c r="BL382" i="3"/>
  <c r="G383" i="3"/>
  <c r="G386" i="3"/>
  <c r="BL387" i="3"/>
  <c r="BA389" i="3"/>
  <c r="AZ389" i="3" s="1"/>
  <c r="BA390" i="3"/>
  <c r="BL390" i="3"/>
  <c r="G391" i="3"/>
  <c r="G394" i="3"/>
  <c r="AZ138" i="3"/>
  <c r="AZ146" i="3"/>
  <c r="AZ162" i="3"/>
  <c r="AZ178" i="3"/>
  <c r="AZ194" i="3"/>
  <c r="BA16" i="3"/>
  <c r="AZ16" i="3" s="1"/>
  <c r="BL303" i="3"/>
  <c r="G304" i="3"/>
  <c r="BA306" i="3"/>
  <c r="AZ306" i="3" s="1"/>
  <c r="BL307" i="3"/>
  <c r="AZ307" i="3" s="1"/>
  <c r="G308" i="3"/>
  <c r="BA310" i="3"/>
  <c r="BL311" i="3"/>
  <c r="AZ311" i="3" s="1"/>
  <c r="G312" i="3"/>
  <c r="BA314" i="3"/>
  <c r="BL315" i="3"/>
  <c r="G316" i="3"/>
  <c r="BA318" i="3"/>
  <c r="AZ318" i="3" s="1"/>
  <c r="BL319" i="3"/>
  <c r="G320" i="3"/>
  <c r="BA322" i="3"/>
  <c r="AZ322" i="3" s="1"/>
  <c r="BL323" i="3"/>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14" i="3"/>
  <c r="AZ222" i="3"/>
  <c r="AZ303" i="3"/>
  <c r="AZ335" i="3"/>
  <c r="G342" i="3"/>
  <c r="BL345" i="3"/>
  <c r="AZ345" i="3" s="1"/>
  <c r="G346" i="3"/>
  <c r="BL349" i="3"/>
  <c r="AZ349" i="3" s="1"/>
  <c r="BL352" i="3"/>
  <c r="AZ352" i="3" s="1"/>
  <c r="G353" i="3"/>
  <c r="BA357" i="3"/>
  <c r="BL358" i="3"/>
  <c r="AZ358" i="3" s="1"/>
  <c r="G359" i="3"/>
  <c r="BA361" i="3"/>
  <c r="AZ361" i="3" s="1"/>
  <c r="BL362" i="3"/>
  <c r="G363" i="3"/>
  <c r="BA365" i="3"/>
  <c r="BL366" i="3"/>
  <c r="G367" i="3"/>
  <c r="BA369" i="3"/>
  <c r="BL370" i="3"/>
  <c r="AZ370" i="3" s="1"/>
  <c r="G371" i="3"/>
  <c r="BA373" i="3"/>
  <c r="AZ373" i="3" s="1"/>
  <c r="BL374" i="3"/>
  <c r="AZ374" i="3" s="1"/>
  <c r="G375" i="3"/>
  <c r="BA377" i="3"/>
  <c r="AZ233" i="3"/>
  <c r="AZ237" i="3"/>
  <c r="AZ245" i="3"/>
  <c r="AZ249" i="3"/>
  <c r="AZ253" i="3"/>
  <c r="AZ257" i="3"/>
  <c r="AZ261" i="3"/>
  <c r="AZ269" i="3"/>
  <c r="BA379" i="3"/>
  <c r="AZ379" i="3" s="1"/>
  <c r="BL380" i="3"/>
  <c r="AZ380" i="3" s="1"/>
  <c r="G381" i="3"/>
  <c r="BA383" i="3"/>
  <c r="AZ383" i="3" s="1"/>
  <c r="BL384" i="3"/>
  <c r="AZ384" i="3" s="1"/>
  <c r="G385" i="3"/>
  <c r="BA387" i="3"/>
  <c r="BL388" i="3"/>
  <c r="G389" i="3"/>
  <c r="BA391" i="3"/>
  <c r="AZ391" i="3" s="1"/>
  <c r="BL392" i="3"/>
  <c r="AZ392" i="3" s="1"/>
  <c r="G393" i="3"/>
  <c r="AZ263" i="3"/>
  <c r="AZ279" i="3"/>
  <c r="AZ291" i="3"/>
  <c r="AZ299" i="3"/>
  <c r="BH5" i="3"/>
  <c r="AZ317" i="3"/>
  <c r="BQ5" i="3"/>
  <c r="G520" i="3"/>
  <c r="BN5" i="3"/>
  <c r="BE5" i="3"/>
  <c r="G17" i="3"/>
  <c r="BA17" i="3"/>
  <c r="AZ356" i="3"/>
  <c r="BA15" i="3"/>
  <c r="AZ388" i="3"/>
  <c r="AZ394" i="3"/>
  <c r="G509" i="3"/>
  <c r="AZ491" i="3"/>
  <c r="AZ390" i="3"/>
  <c r="F83" i="43"/>
  <c r="H85" i="43" s="1"/>
  <c r="F50" i="43"/>
  <c r="H54" i="43" s="1"/>
  <c r="F72" i="43"/>
  <c r="H75" i="43" s="1"/>
  <c r="U17" i="39"/>
  <c r="S14" i="35"/>
  <c r="G10" i="1"/>
  <c r="AC11" i="39"/>
  <c r="W37" i="37"/>
  <c r="W44" i="34"/>
  <c r="S15" i="37"/>
  <c r="U13" i="37"/>
  <c r="U12" i="40"/>
  <c r="J37" i="33"/>
  <c r="W37" i="33" s="1"/>
  <c r="F106" i="33"/>
  <c r="G106" i="33"/>
  <c r="H106" i="33" s="1"/>
  <c r="I106" i="33" s="1"/>
  <c r="J106" i="33" s="1"/>
  <c r="K106" i="33" s="1"/>
  <c r="L106" i="33" s="1"/>
  <c r="M106" i="33" s="1"/>
  <c r="J34" i="33"/>
  <c r="W34" i="33"/>
  <c r="F33" i="34"/>
  <c r="S33" i="34"/>
  <c r="H20" i="36"/>
  <c r="U20" i="36"/>
  <c r="J20" i="36"/>
  <c r="W20" i="36"/>
  <c r="J27" i="36"/>
  <c r="W27" i="36" s="1"/>
  <c r="G111" i="40"/>
  <c r="H111" i="40" s="1"/>
  <c r="I111" i="40" s="1"/>
  <c r="J111" i="40" s="1"/>
  <c r="K111" i="40" s="1"/>
  <c r="L111" i="40" s="1"/>
  <c r="M111" i="40" s="1"/>
  <c r="H35" i="40"/>
  <c r="AB35" i="40"/>
  <c r="AC29" i="35"/>
  <c r="W29" i="35"/>
  <c r="H35" i="37"/>
  <c r="U35" i="37"/>
  <c r="H20" i="35"/>
  <c r="U20" i="35" s="1"/>
  <c r="F20" i="35"/>
  <c r="AA20" i="35" s="1"/>
  <c r="AB29" i="36"/>
  <c r="U29" i="36"/>
  <c r="H32" i="37"/>
  <c r="AB32" i="37" s="1"/>
  <c r="F96" i="37"/>
  <c r="G96" i="37" s="1"/>
  <c r="H96" i="37" s="1"/>
  <c r="I96" i="37" s="1"/>
  <c r="J96" i="37" s="1"/>
  <c r="K96" i="37" s="1"/>
  <c r="L96" i="37" s="1"/>
  <c r="M96" i="37" s="1"/>
  <c r="J27" i="40"/>
  <c r="AC27" i="40" s="1"/>
  <c r="J30" i="40"/>
  <c r="AC30" i="40" s="1"/>
  <c r="F30" i="40"/>
  <c r="AA30" i="40" s="1"/>
  <c r="AC21" i="40"/>
  <c r="S11" i="40"/>
  <c r="E98" i="40"/>
  <c r="F98" i="40" s="1"/>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F39" i="39"/>
  <c r="S39" i="39" s="1"/>
  <c r="J39" i="39"/>
  <c r="AC39" i="39" s="1"/>
  <c r="E96" i="39"/>
  <c r="F96" i="39" s="1"/>
  <c r="G96" i="39" s="1"/>
  <c r="AZ354" i="3"/>
  <c r="C40" i="11"/>
  <c r="AZ215" i="3"/>
  <c r="AZ232" i="3"/>
  <c r="AZ235" i="3"/>
  <c r="AZ248" i="3"/>
  <c r="AZ251" i="3"/>
  <c r="AZ256" i="3"/>
  <c r="AZ259" i="3"/>
  <c r="AZ296" i="3"/>
  <c r="AZ114" i="3"/>
  <c r="AZ133" i="3"/>
  <c r="AZ29" i="3"/>
  <c r="AZ31" i="3"/>
  <c r="AZ33" i="3"/>
  <c r="AZ37" i="3"/>
  <c r="AZ45" i="3"/>
  <c r="AZ58" i="3"/>
  <c r="AZ61" i="3"/>
  <c r="AZ72" i="3"/>
  <c r="AZ74" i="3"/>
  <c r="AZ77" i="3"/>
  <c r="AZ82" i="3"/>
  <c r="AZ86" i="3"/>
  <c r="AZ94" i="3"/>
  <c r="F23" i="39"/>
  <c r="AA23" i="39" s="1"/>
  <c r="H27" i="36"/>
  <c r="U27" i="36" s="1"/>
  <c r="F27" i="36"/>
  <c r="AA27" i="36" s="1"/>
  <c r="H33" i="34"/>
  <c r="U33" i="34" s="1"/>
  <c r="F32" i="37"/>
  <c r="AA32" i="37" s="1"/>
  <c r="F20" i="36"/>
  <c r="AA20" i="36" s="1"/>
  <c r="J33" i="34"/>
  <c r="AC33" i="34" s="1"/>
  <c r="H23" i="39"/>
  <c r="U23" i="39" s="1"/>
  <c r="D48" i="9"/>
  <c r="M52" i="9" s="1"/>
  <c r="K9" i="1"/>
  <c r="M9" i="1" s="1"/>
  <c r="D93" i="9"/>
  <c r="U33" i="36"/>
  <c r="AC12" i="39"/>
  <c r="W12" i="39"/>
  <c r="AZ401" i="3"/>
  <c r="AZ408" i="3"/>
  <c r="AZ441" i="3"/>
  <c r="AA39" i="34"/>
  <c r="BL14" i="3"/>
  <c r="F12" i="33"/>
  <c r="AA12" i="33" s="1"/>
  <c r="H12" i="39"/>
  <c r="AB12" i="39" s="1"/>
  <c r="F39" i="40"/>
  <c r="S39" i="40" s="1"/>
  <c r="BA14" i="3"/>
  <c r="AZ14" i="3"/>
  <c r="AZ213" i="3"/>
  <c r="AZ224" i="3"/>
  <c r="AZ234" i="3"/>
  <c r="AZ250" i="3"/>
  <c r="AZ281" i="3"/>
  <c r="AZ157" i="3"/>
  <c r="AZ173" i="3"/>
  <c r="AZ189" i="3"/>
  <c r="AZ35" i="3"/>
  <c r="B12" i="1"/>
  <c r="E12" i="1" s="1"/>
  <c r="B10" i="1"/>
  <c r="AZ84" i="3"/>
  <c r="AZ88" i="3"/>
  <c r="AZ107" i="3"/>
  <c r="AZ111" i="3"/>
  <c r="K12" i="1"/>
  <c r="M12" i="1" s="1"/>
  <c r="S13" i="1"/>
  <c r="AR13" i="1" s="1"/>
  <c r="R13" i="1"/>
  <c r="J51" i="67"/>
  <c r="C42" i="1"/>
  <c r="AC34" i="33"/>
  <c r="AA34" i="33"/>
  <c r="AB37" i="40"/>
  <c r="U35" i="40"/>
  <c r="S17" i="40"/>
  <c r="S23" i="40"/>
  <c r="AC17" i="40"/>
  <c r="S30" i="40"/>
  <c r="AA19" i="40"/>
  <c r="S28" i="40"/>
  <c r="AB19" i="40"/>
  <c r="U37" i="39"/>
  <c r="S43" i="39"/>
  <c r="S37" i="39"/>
  <c r="U35" i="39"/>
  <c r="F32" i="39"/>
  <c r="F106" i="39"/>
  <c r="G106" i="39" s="1"/>
  <c r="H106" i="39" s="1"/>
  <c r="I106" i="39" s="1"/>
  <c r="J106" i="39" s="1"/>
  <c r="K106" i="39" s="1"/>
  <c r="L106" i="39" s="1"/>
  <c r="M106" i="39" s="1"/>
  <c r="U25" i="39"/>
  <c r="AB27" i="39"/>
  <c r="J21" i="39"/>
  <c r="W21" i="39" s="1"/>
  <c r="F21" i="39"/>
  <c r="S21" i="39" s="1"/>
  <c r="H21" i="39"/>
  <c r="W19" i="39"/>
  <c r="U19" i="39"/>
  <c r="S15" i="39"/>
  <c r="S9" i="39"/>
  <c r="AC13" i="39"/>
  <c r="U12" i="39"/>
  <c r="S23" i="36"/>
  <c r="U13" i="36"/>
  <c r="U26" i="36"/>
  <c r="S33" i="36"/>
  <c r="AA26" i="36"/>
  <c r="W14" i="36"/>
  <c r="U22" i="36"/>
  <c r="S16" i="36"/>
  <c r="AA25" i="36"/>
  <c r="U23" i="36"/>
  <c r="AB20" i="36"/>
  <c r="S14" i="36"/>
  <c r="U29" i="35"/>
  <c r="AB27" i="35"/>
  <c r="U32" i="35"/>
  <c r="AA33" i="35"/>
  <c r="AC30" i="35"/>
  <c r="AA36" i="35"/>
  <c r="U22" i="35"/>
  <c r="S20" i="35"/>
  <c r="S22" i="35"/>
  <c r="AA11" i="35"/>
  <c r="AC9" i="35"/>
  <c r="W9" i="35"/>
  <c r="F9" i="35"/>
  <c r="S9" i="35" s="1"/>
  <c r="H9" i="35"/>
  <c r="U9" i="35" s="1"/>
  <c r="AB40" i="37"/>
  <c r="W27" i="37"/>
  <c r="AC29" i="37"/>
  <c r="U29" i="37"/>
  <c r="S32" i="37"/>
  <c r="W30" i="37"/>
  <c r="U32" i="37"/>
  <c r="AC35" i="37"/>
  <c r="W39" i="37"/>
  <c r="AC15" i="37"/>
  <c r="J17" i="37"/>
  <c r="W17" i="37" s="1"/>
  <c r="F17" i="37"/>
  <c r="AA17" i="37" s="1"/>
  <c r="AB17" i="37"/>
  <c r="F19" i="37"/>
  <c r="AA19" i="37" s="1"/>
  <c r="F23" i="37"/>
  <c r="S23" i="37" s="1"/>
  <c r="U23" i="37"/>
  <c r="U15" i="37"/>
  <c r="AC13" i="37"/>
  <c r="AA13" i="37"/>
  <c r="H10" i="37"/>
  <c r="AB10" i="37" s="1"/>
  <c r="F63" i="37"/>
  <c r="F11" i="37"/>
  <c r="S11" i="37" s="1"/>
  <c r="AA33" i="34"/>
  <c r="U44" i="34"/>
  <c r="AC39" i="34"/>
  <c r="AC42" i="34"/>
  <c r="AB35" i="34"/>
  <c r="S43" i="34"/>
  <c r="AB41" i="34"/>
  <c r="AA25" i="34"/>
  <c r="U28" i="34"/>
  <c r="U27" i="34"/>
  <c r="U15" i="34"/>
  <c r="H10" i="34"/>
  <c r="AB10" i="34" s="1"/>
  <c r="F11" i="34"/>
  <c r="S11" i="34" s="1"/>
  <c r="W42" i="33"/>
  <c r="AA35" i="33"/>
  <c r="AA29" i="33"/>
  <c r="AB29" i="33"/>
  <c r="W38" i="33"/>
  <c r="H41" i="33"/>
  <c r="U42" i="33"/>
  <c r="S42" i="33"/>
  <c r="F36" i="33"/>
  <c r="AA36" i="33" s="1"/>
  <c r="G111" i="33"/>
  <c r="G108" i="33"/>
  <c r="H108" i="33" s="1"/>
  <c r="I108" i="33" s="1"/>
  <c r="J108" i="33" s="1"/>
  <c r="K108" i="33" s="1"/>
  <c r="L108" i="33" s="1"/>
  <c r="M108" i="33" s="1"/>
  <c r="J35" i="33"/>
  <c r="AA37" i="33"/>
  <c r="F101" i="33"/>
  <c r="G101" i="33" s="1"/>
  <c r="H101" i="33" s="1"/>
  <c r="I101" i="33" s="1"/>
  <c r="J101" i="33" s="1"/>
  <c r="K101" i="33" s="1"/>
  <c r="L101" i="33" s="1"/>
  <c r="M101" i="33" s="1"/>
  <c r="J32" i="33"/>
  <c r="F91" i="33"/>
  <c r="G91" i="33" s="1"/>
  <c r="H91" i="33" s="1"/>
  <c r="I91" i="33" s="1"/>
  <c r="J91" i="33" s="1"/>
  <c r="K91" i="33" s="1"/>
  <c r="L91" i="33" s="1"/>
  <c r="M91" i="33" s="1"/>
  <c r="F87" i="33"/>
  <c r="H25" i="33"/>
  <c r="F25" i="33"/>
  <c r="J23" i="33"/>
  <c r="F85" i="33"/>
  <c r="H23" i="33"/>
  <c r="F81" i="33"/>
  <c r="F19" i="33"/>
  <c r="S19" i="33" s="1"/>
  <c r="W19" i="33"/>
  <c r="J17" i="33"/>
  <c r="F79" i="33"/>
  <c r="S15" i="33"/>
  <c r="J10" i="33"/>
  <c r="W10" i="33" s="1"/>
  <c r="H10" i="33"/>
  <c r="U10" i="33" s="1"/>
  <c r="AC11" i="33"/>
  <c r="W36" i="21"/>
  <c r="W41" i="21"/>
  <c r="AA36" i="21"/>
  <c r="J15" i="21"/>
  <c r="W15" i="21" s="1"/>
  <c r="E85" i="21"/>
  <c r="F85" i="21" s="1"/>
  <c r="G85" i="21" s="1"/>
  <c r="G13" i="3"/>
  <c r="BA13" i="3"/>
  <c r="BL17" i="3"/>
  <c r="AZ17" i="3" s="1"/>
  <c r="BL13" i="3"/>
  <c r="J56" i="9"/>
  <c r="J57" i="9" s="1"/>
  <c r="J59" i="9" s="1"/>
  <c r="J61" i="9" s="1"/>
  <c r="A24" i="51"/>
  <c r="B18" i="72" s="1"/>
  <c r="E32" i="6"/>
  <c r="G1" i="68"/>
  <c r="K1" i="12"/>
  <c r="E19" i="69"/>
  <c r="E19" i="68"/>
  <c r="E19" i="11"/>
  <c r="E1" i="73"/>
  <c r="G22" i="68"/>
  <c r="G22" i="11"/>
  <c r="C6" i="43"/>
  <c r="B19" i="53"/>
  <c r="B37" i="72" s="1"/>
  <c r="C7" i="39"/>
  <c r="C67" i="39" s="1"/>
  <c r="C7" i="35"/>
  <c r="C48" i="35" s="1"/>
  <c r="D48" i="35" s="1"/>
  <c r="C7" i="33"/>
  <c r="C7" i="21"/>
  <c r="C7" i="40"/>
  <c r="C63" i="40" s="1"/>
  <c r="M47" i="9"/>
  <c r="G23" i="43"/>
  <c r="A4" i="51"/>
  <c r="B6" i="72" s="1"/>
  <c r="H67" i="43"/>
  <c r="L20" i="6"/>
  <c r="B6" i="1"/>
  <c r="E6" i="1" s="1"/>
  <c r="K11" i="1"/>
  <c r="M11" i="1" s="1"/>
  <c r="O11" i="1" s="1"/>
  <c r="B9" i="1"/>
  <c r="E9" i="1" s="1"/>
  <c r="K7" i="1"/>
  <c r="M7" i="1" s="1"/>
  <c r="O7" i="1" s="1"/>
  <c r="P7" i="1" s="1"/>
  <c r="G1" i="15"/>
  <c r="G1" i="69"/>
  <c r="G1" i="67"/>
  <c r="W23" i="40"/>
  <c r="AB31" i="40"/>
  <c r="S37" i="40"/>
  <c r="AB28" i="40"/>
  <c r="W28" i="40"/>
  <c r="W34" i="40"/>
  <c r="W27" i="40"/>
  <c r="S36" i="40"/>
  <c r="W37" i="40"/>
  <c r="S13" i="40"/>
  <c r="AA15" i="40"/>
  <c r="U11" i="40"/>
  <c r="S31" i="40"/>
  <c r="AB13" i="40"/>
  <c r="U15" i="40"/>
  <c r="AB17" i="40"/>
  <c r="U8" i="40"/>
  <c r="S8" i="40"/>
  <c r="AC41" i="39"/>
  <c r="U42" i="39"/>
  <c r="U41" i="39"/>
  <c r="W25" i="39"/>
  <c r="AC25" i="39"/>
  <c r="S13" i="39"/>
  <c r="U43" i="39"/>
  <c r="AB43" i="39"/>
  <c r="AB11" i="39"/>
  <c r="U11" i="39"/>
  <c r="S27" i="39"/>
  <c r="AC17" i="39"/>
  <c r="S23" i="39"/>
  <c r="AA45" i="39"/>
  <c r="AB39" i="39"/>
  <c r="W34" i="39"/>
  <c r="U38" i="39"/>
  <c r="S8" i="39"/>
  <c r="AC25" i="36"/>
  <c r="U32" i="36"/>
  <c r="W29" i="36"/>
  <c r="AC20" i="36"/>
  <c r="U25" i="36"/>
  <c r="AB28" i="36"/>
  <c r="AA13" i="36"/>
  <c r="W22" i="36"/>
  <c r="AB20" i="35"/>
  <c r="AA16" i="35"/>
  <c r="W36" i="37"/>
  <c r="S27" i="37"/>
  <c r="W32" i="37"/>
  <c r="S40" i="37"/>
  <c r="AB37" i="37"/>
  <c r="AC34" i="37"/>
  <c r="AB35" i="37"/>
  <c r="AA31" i="37"/>
  <c r="AA29" i="37"/>
  <c r="U8" i="37"/>
  <c r="AA40" i="34"/>
  <c r="AB40" i="34"/>
  <c r="U19" i="34"/>
  <c r="AB33" i="34"/>
  <c r="AA30" i="34"/>
  <c r="U25" i="34"/>
  <c r="AB36" i="34"/>
  <c r="W33" i="34"/>
  <c r="AC14" i="34"/>
  <c r="AC32" i="34"/>
  <c r="W29" i="34"/>
  <c r="AC46" i="34"/>
  <c r="AA32" i="34"/>
  <c r="AB30" i="34"/>
  <c r="S37" i="34"/>
  <c r="U38" i="34"/>
  <c r="AC40" i="34"/>
  <c r="W40" i="34"/>
  <c r="S19" i="34"/>
  <c r="AA36" i="34"/>
  <c r="S36" i="34"/>
  <c r="AA8" i="34"/>
  <c r="S8" i="34"/>
  <c r="U9" i="34"/>
  <c r="S46" i="34"/>
  <c r="AA46" i="34"/>
  <c r="U32" i="34"/>
  <c r="AB32" i="34"/>
  <c r="U14" i="34"/>
  <c r="AB14" i="34"/>
  <c r="AC43" i="34"/>
  <c r="W43" i="34"/>
  <c r="W23" i="34"/>
  <c r="AC23" i="34"/>
  <c r="AC35" i="34"/>
  <c r="W35" i="34"/>
  <c r="U12" i="34"/>
  <c r="AB12" i="34"/>
  <c r="AC37" i="33"/>
  <c r="U39" i="33"/>
  <c r="U38" i="33"/>
  <c r="S33" i="33"/>
  <c r="AB34" i="33"/>
  <c r="U44" i="33"/>
  <c r="AB44" i="33"/>
  <c r="S30" i="33"/>
  <c r="AA30" i="33"/>
  <c r="AA31" i="33"/>
  <c r="W13" i="33"/>
  <c r="AC13" i="33"/>
  <c r="U15" i="33"/>
  <c r="S11" i="33"/>
  <c r="AC28" i="33"/>
  <c r="S28" i="33"/>
  <c r="F33" i="21"/>
  <c r="AA33" i="21" s="1"/>
  <c r="J33" i="21"/>
  <c r="AC33" i="21" s="1"/>
  <c r="H33" i="21"/>
  <c r="AB33" i="21" s="1"/>
  <c r="F37" i="21"/>
  <c r="AA37" i="21" s="1"/>
  <c r="AB46" i="21"/>
  <c r="S35" i="21"/>
  <c r="J37" i="21"/>
  <c r="W37" i="21" s="1"/>
  <c r="H15" i="21"/>
  <c r="U15" i="21" s="1"/>
  <c r="W39" i="21"/>
  <c r="S46" i="21"/>
  <c r="H45" i="21"/>
  <c r="U45" i="21" s="1"/>
  <c r="F29" i="21"/>
  <c r="S29" i="21" s="1"/>
  <c r="H32" i="21"/>
  <c r="U32" i="21" s="1"/>
  <c r="K141" i="21"/>
  <c r="K143" i="21"/>
  <c r="F10" i="21"/>
  <c r="AA10" i="21" s="1"/>
  <c r="W25" i="21"/>
  <c r="AB36" i="21"/>
  <c r="C19" i="39"/>
  <c r="C15" i="40"/>
  <c r="C17" i="40"/>
  <c r="C23" i="40"/>
  <c r="C21" i="40"/>
  <c r="U30" i="40"/>
  <c r="B56" i="43"/>
  <c r="B67" i="43"/>
  <c r="B51" i="43"/>
  <c r="B54" i="43"/>
  <c r="B58" i="43"/>
  <c r="B62" i="43"/>
  <c r="B65" i="43"/>
  <c r="B69" i="43"/>
  <c r="D23" i="15"/>
  <c r="D22" i="15"/>
  <c r="E4" i="4"/>
  <c r="B5" i="62" s="1"/>
  <c r="B73" i="72" s="1"/>
  <c r="C4" i="4"/>
  <c r="AA39" i="40"/>
  <c r="S12" i="33"/>
  <c r="J32" i="39"/>
  <c r="W32" i="39" s="1"/>
  <c r="H32" i="39"/>
  <c r="AB32" i="39" s="1"/>
  <c r="AA32" i="39"/>
  <c r="S32" i="39"/>
  <c r="AB21" i="39"/>
  <c r="U21" i="39"/>
  <c r="AA21" i="39"/>
  <c r="AC17" i="37"/>
  <c r="J19" i="37"/>
  <c r="AC19" i="37" s="1"/>
  <c r="G75" i="37"/>
  <c r="S19" i="37"/>
  <c r="AA23" i="37"/>
  <c r="J23" i="37"/>
  <c r="W23" i="37" s="1"/>
  <c r="G79" i="37"/>
  <c r="J10" i="37"/>
  <c r="W10" i="37" s="1"/>
  <c r="G63" i="37"/>
  <c r="H63" i="37" s="1"/>
  <c r="I63" i="37" s="1"/>
  <c r="J63" i="37" s="1"/>
  <c r="K63" i="37" s="1"/>
  <c r="L63" i="37" s="1"/>
  <c r="M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J27" i="33"/>
  <c r="AC27" i="33" s="1"/>
  <c r="U25" i="33"/>
  <c r="AB25" i="33"/>
  <c r="S25" i="33"/>
  <c r="AA25" i="33"/>
  <c r="G87" i="33"/>
  <c r="H87" i="33" s="1"/>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S37" i="21"/>
  <c r="J23" i="21"/>
  <c r="W23" i="21" s="1"/>
  <c r="AP7" i="1"/>
  <c r="AB45" i="21"/>
  <c r="A18" i="62"/>
  <c r="B64" i="72" s="1"/>
  <c r="U32" i="39"/>
  <c r="AC32" i="39"/>
  <c r="W19" i="37"/>
  <c r="AC23" i="37"/>
  <c r="J11" i="37"/>
  <c r="AC11" i="37" s="1"/>
  <c r="H70" i="34"/>
  <c r="I70" i="34" s="1"/>
  <c r="J70" i="34" s="1"/>
  <c r="K70" i="34" s="1"/>
  <c r="L70" i="34" s="1"/>
  <c r="M70" i="34" s="1"/>
  <c r="J11" i="34"/>
  <c r="W11" i="34" s="1"/>
  <c r="AB36" i="33"/>
  <c r="W27" i="33"/>
  <c r="W25" i="33"/>
  <c r="AA23" i="33"/>
  <c r="S23" i="33"/>
  <c r="AA17" i="33"/>
  <c r="U17" i="33"/>
  <c r="AB17" i="33"/>
  <c r="H109" i="9"/>
  <c r="M49" i="9" s="1"/>
  <c r="H112" i="9"/>
  <c r="D21" i="53" s="1"/>
  <c r="B39" i="72" s="1"/>
  <c r="H111" i="9"/>
  <c r="D126" i="9" s="1"/>
  <c r="AD3" i="71"/>
  <c r="J1" i="73"/>
  <c r="H69" i="43"/>
  <c r="H50" i="43"/>
  <c r="C24" i="12"/>
  <c r="S24" i="71"/>
  <c r="AB22" i="71"/>
  <c r="X20" i="71"/>
  <c r="X19" i="71"/>
  <c r="AA20" i="71"/>
  <c r="AA19" i="71"/>
  <c r="X23" i="71"/>
  <c r="Y19" i="71"/>
  <c r="Z19" i="71" s="1"/>
  <c r="AB20" i="71"/>
  <c r="AB19" i="71"/>
  <c r="Y20" i="71"/>
  <c r="Z20" i="71" s="1"/>
  <c r="X3" i="71"/>
  <c r="M26" i="67"/>
  <c r="B8" i="76"/>
  <c r="E2" i="68"/>
  <c r="D3" i="73"/>
  <c r="D35" i="9"/>
  <c r="F7" i="15"/>
  <c r="F37" i="15"/>
  <c r="F8" i="15"/>
  <c r="L48" i="15"/>
  <c r="D5" i="73"/>
  <c r="AO13" i="1"/>
  <c r="F37" i="67"/>
  <c r="M22" i="67"/>
  <c r="F36" i="67"/>
  <c r="M28" i="15"/>
  <c r="B12" i="76"/>
  <c r="M9" i="15"/>
  <c r="F3" i="73"/>
  <c r="E10" i="76"/>
  <c r="B11" i="76"/>
  <c r="F9" i="15"/>
  <c r="F13" i="15"/>
  <c r="E13" i="76"/>
  <c r="M8" i="67"/>
  <c r="E9" i="76"/>
  <c r="M6" i="15"/>
  <c r="D6" i="73"/>
  <c r="B9" i="76"/>
  <c r="F7" i="67"/>
  <c r="E7" i="76"/>
  <c r="F42" i="15"/>
  <c r="D7" i="73"/>
  <c r="M6" i="67"/>
  <c r="F38" i="67"/>
  <c r="F7" i="73"/>
  <c r="E2" i="69"/>
  <c r="B13" i="76"/>
  <c r="E11" i="76"/>
  <c r="F38" i="15"/>
  <c r="F26" i="15"/>
  <c r="E8" i="76"/>
  <c r="C76" i="15"/>
  <c r="M24" i="67"/>
  <c r="M29" i="67"/>
  <c r="F43" i="15"/>
  <c r="M23" i="15"/>
  <c r="F16" i="67"/>
  <c r="M28" i="67"/>
  <c r="M22" i="15"/>
  <c r="F16" i="15"/>
  <c r="D34" i="9"/>
  <c r="L48" i="67"/>
  <c r="F36" i="15"/>
  <c r="L47" i="15"/>
  <c r="F40" i="67"/>
  <c r="F8" i="67"/>
  <c r="D4" i="73"/>
  <c r="L47" i="67"/>
  <c r="F13" i="67"/>
  <c r="M23" i="67"/>
  <c r="M8" i="15"/>
  <c r="F6" i="73"/>
  <c r="B7" i="76"/>
  <c r="M24" i="15"/>
  <c r="C76" i="67"/>
  <c r="M9" i="67"/>
  <c r="M26" i="15"/>
  <c r="E12" i="76"/>
  <c r="F6" i="15"/>
  <c r="B10" i="76"/>
  <c r="F4" i="73"/>
  <c r="F40" i="15"/>
  <c r="M29" i="15"/>
  <c r="F5" i="73"/>
  <c r="J15" i="15"/>
  <c r="J15" i="67"/>
  <c r="F20" i="31"/>
  <c r="F32" i="21" l="1"/>
  <c r="S32" i="21" s="1"/>
  <c r="AB44" i="21"/>
  <c r="AA40" i="21"/>
  <c r="S40" i="21"/>
  <c r="E119" i="21"/>
  <c r="F119" i="21" s="1"/>
  <c r="G119" i="21" s="1"/>
  <c r="H119" i="21" s="1"/>
  <c r="I119" i="21" s="1"/>
  <c r="J119" i="21" s="1"/>
  <c r="K119" i="21" s="1"/>
  <c r="L119" i="21" s="1"/>
  <c r="M119" i="21" s="1"/>
  <c r="H40" i="21"/>
  <c r="AB40" i="21" s="1"/>
  <c r="C18" i="9"/>
  <c r="D18" i="9" s="1"/>
  <c r="H5" i="3"/>
  <c r="J51" i="15"/>
  <c r="J57" i="15" s="1"/>
  <c r="J55" i="15" s="1"/>
  <c r="J58" i="15" s="1"/>
  <c r="Q50" i="15" s="1"/>
  <c r="J32" i="21"/>
  <c r="W32" i="21" s="1"/>
  <c r="AA32" i="21"/>
  <c r="AC34" i="21"/>
  <c r="AZ542" i="3"/>
  <c r="AZ381" i="3"/>
  <c r="U31" i="37"/>
  <c r="AB31" i="37"/>
  <c r="AB21" i="40"/>
  <c r="U21" i="40"/>
  <c r="S12" i="39"/>
  <c r="AA12" i="39"/>
  <c r="AA43" i="33"/>
  <c r="S43" i="33"/>
  <c r="AA39" i="33"/>
  <c r="S39" i="33"/>
  <c r="U33" i="40"/>
  <c r="AB33" i="40"/>
  <c r="AB14" i="39"/>
  <c r="U14" i="39"/>
  <c r="W46" i="21"/>
  <c r="AC46" i="21"/>
  <c r="AB11" i="33"/>
  <c r="U11" i="33"/>
  <c r="W36" i="34"/>
  <c r="AC36" i="34"/>
  <c r="AB33" i="37"/>
  <c r="U33" i="37"/>
  <c r="AA32" i="33"/>
  <c r="S32" i="33"/>
  <c r="AB33" i="35"/>
  <c r="U33" i="35"/>
  <c r="AB14" i="35"/>
  <c r="U14" i="35"/>
  <c r="S34" i="36"/>
  <c r="AA34" i="36"/>
  <c r="AA35" i="40"/>
  <c r="S35" i="40"/>
  <c r="AB40" i="39"/>
  <c r="U40" i="39"/>
  <c r="AC35" i="39"/>
  <c r="W35" i="39"/>
  <c r="AB34" i="21"/>
  <c r="U34" i="21"/>
  <c r="BA587" i="3"/>
  <c r="AZ587" i="3" s="1"/>
  <c r="BA585" i="3"/>
  <c r="W35" i="21"/>
  <c r="AC35" i="21"/>
  <c r="E79" i="21"/>
  <c r="F79" i="21" s="1"/>
  <c r="G79" i="21" s="1"/>
  <c r="H17" i="21"/>
  <c r="AB17" i="21" s="1"/>
  <c r="H9" i="33"/>
  <c r="F9" i="33"/>
  <c r="AA9" i="33" s="1"/>
  <c r="AB28" i="35"/>
  <c r="U28" i="35"/>
  <c r="AA32" i="35"/>
  <c r="S32" i="35"/>
  <c r="AA34" i="35"/>
  <c r="S34" i="35"/>
  <c r="AC24" i="35"/>
  <c r="W24" i="35"/>
  <c r="AB36" i="35"/>
  <c r="U36" i="35"/>
  <c r="J9" i="36"/>
  <c r="F9" i="36"/>
  <c r="AC8" i="40"/>
  <c r="W8" i="40"/>
  <c r="AB9" i="40"/>
  <c r="U9" i="40"/>
  <c r="AA40" i="40"/>
  <c r="S40" i="40"/>
  <c r="BA573" i="3"/>
  <c r="BL571" i="3"/>
  <c r="BL564" i="3"/>
  <c r="BL563" i="3"/>
  <c r="BL561" i="3"/>
  <c r="AZ561" i="3" s="1"/>
  <c r="BA561" i="3"/>
  <c r="BL558" i="3"/>
  <c r="BA558" i="3"/>
  <c r="BA550" i="3"/>
  <c r="BA547" i="3"/>
  <c r="BL545" i="3"/>
  <c r="AZ545" i="3" s="1"/>
  <c r="BA544" i="3"/>
  <c r="BA543" i="3"/>
  <c r="AZ543" i="3" s="1"/>
  <c r="AZ315" i="3"/>
  <c r="AZ366" i="3"/>
  <c r="AB19" i="33"/>
  <c r="AB32" i="21"/>
  <c r="S17" i="37"/>
  <c r="W30" i="40"/>
  <c r="K145" i="21"/>
  <c r="H9" i="21"/>
  <c r="AC38" i="21"/>
  <c r="J17" i="21"/>
  <c r="AC17" i="21" s="1"/>
  <c r="U40" i="21"/>
  <c r="W8" i="33"/>
  <c r="U37" i="33"/>
  <c r="AB28" i="33"/>
  <c r="W19" i="34"/>
  <c r="U19" i="37"/>
  <c r="U36" i="37"/>
  <c r="AA35" i="37"/>
  <c r="U24" i="35"/>
  <c r="W23" i="36"/>
  <c r="S20" i="36"/>
  <c r="AA39" i="39"/>
  <c r="W19" i="40"/>
  <c r="D120" i="9"/>
  <c r="S39" i="21"/>
  <c r="W15" i="33"/>
  <c r="W43" i="33"/>
  <c r="U39" i="34"/>
  <c r="AB8" i="34"/>
  <c r="S37" i="37"/>
  <c r="AB16" i="35"/>
  <c r="AC26" i="36"/>
  <c r="S32" i="36"/>
  <c r="U34" i="36"/>
  <c r="AC17" i="34"/>
  <c r="BM5" i="3"/>
  <c r="W9" i="39"/>
  <c r="S42" i="39"/>
  <c r="AC13" i="40"/>
  <c r="W12" i="37"/>
  <c r="AC12" i="37"/>
  <c r="W15" i="34"/>
  <c r="U39" i="37"/>
  <c r="W36" i="40"/>
  <c r="AC36" i="40"/>
  <c r="AA36" i="37"/>
  <c r="S36" i="37"/>
  <c r="F24" i="35"/>
  <c r="AC41" i="34"/>
  <c r="W41" i="34"/>
  <c r="S22" i="36"/>
  <c r="AA22" i="36"/>
  <c r="AB27" i="37"/>
  <c r="AC28" i="34"/>
  <c r="BL543" i="3"/>
  <c r="BL547" i="3"/>
  <c r="BL559" i="3"/>
  <c r="BL573" i="3"/>
  <c r="AZ577" i="3"/>
  <c r="AZ534" i="3"/>
  <c r="F17" i="21"/>
  <c r="AA17" i="21" s="1"/>
  <c r="AA14" i="37"/>
  <c r="H13" i="39"/>
  <c r="AA11" i="36"/>
  <c r="S11" i="36"/>
  <c r="U14" i="36"/>
  <c r="AB14" i="36"/>
  <c r="AA17" i="34"/>
  <c r="S17" i="34"/>
  <c r="AA23" i="34"/>
  <c r="S23" i="34"/>
  <c r="AC25" i="34"/>
  <c r="W25" i="34"/>
  <c r="AC11" i="40"/>
  <c r="W20" i="35"/>
  <c r="AC20" i="35"/>
  <c r="AB16" i="36"/>
  <c r="U16" i="36"/>
  <c r="AC16" i="36"/>
  <c r="W15" i="40"/>
  <c r="AC15" i="40"/>
  <c r="AB23" i="40"/>
  <c r="U23" i="40"/>
  <c r="AB36" i="40"/>
  <c r="U36" i="40"/>
  <c r="AB32" i="33"/>
  <c r="U32" i="33"/>
  <c r="S40" i="39"/>
  <c r="AA21" i="40"/>
  <c r="S21" i="40"/>
  <c r="AA17" i="39"/>
  <c r="S17" i="39"/>
  <c r="AA19" i="39"/>
  <c r="S19" i="39"/>
  <c r="U34" i="40"/>
  <c r="J12" i="21"/>
  <c r="J27" i="21"/>
  <c r="W27" i="21" s="1"/>
  <c r="F27" i="21"/>
  <c r="J9" i="33"/>
  <c r="AC40" i="33"/>
  <c r="W40" i="33"/>
  <c r="F27" i="33"/>
  <c r="H27" i="33"/>
  <c r="J9" i="34"/>
  <c r="AB43" i="34"/>
  <c r="U43" i="34"/>
  <c r="S12" i="35"/>
  <c r="AA12" i="35"/>
  <c r="W12" i="35"/>
  <c r="AC12" i="35"/>
  <c r="AA28" i="35"/>
  <c r="S28" i="35"/>
  <c r="J34" i="35"/>
  <c r="W14" i="35"/>
  <c r="AC14" i="35"/>
  <c r="J30" i="33"/>
  <c r="H30" i="33"/>
  <c r="H9" i="36"/>
  <c r="AA30" i="37"/>
  <c r="S30" i="37"/>
  <c r="AC8" i="39"/>
  <c r="W8" i="39"/>
  <c r="W38" i="39"/>
  <c r="AC38" i="39"/>
  <c r="S9" i="40"/>
  <c r="AA9" i="40"/>
  <c r="AB40" i="40"/>
  <c r="U40" i="40"/>
  <c r="H27" i="40"/>
  <c r="F27" i="40"/>
  <c r="J33" i="40"/>
  <c r="F33" i="40"/>
  <c r="BL581" i="3"/>
  <c r="BL580" i="3"/>
  <c r="BL579" i="3"/>
  <c r="BL575" i="3"/>
  <c r="BL574" i="3"/>
  <c r="BL556" i="3"/>
  <c r="AZ556" i="3" s="1"/>
  <c r="BL555" i="3"/>
  <c r="BA554" i="3"/>
  <c r="BL541" i="3"/>
  <c r="AZ541" i="3" s="1"/>
  <c r="BA540" i="3"/>
  <c r="BA539" i="3"/>
  <c r="AZ539" i="3" s="1"/>
  <c r="BL537" i="3"/>
  <c r="AZ537" i="3" s="1"/>
  <c r="BL536" i="3"/>
  <c r="BA536" i="3"/>
  <c r="BA535" i="3"/>
  <c r="AZ535" i="3" s="1"/>
  <c r="BL534" i="3"/>
  <c r="BL533" i="3"/>
  <c r="AZ533" i="3" s="1"/>
  <c r="BA532" i="3"/>
  <c r="BA531" i="3"/>
  <c r="AZ531" i="3" s="1"/>
  <c r="BL529" i="3"/>
  <c r="AZ529" i="3" s="1"/>
  <c r="BL528" i="3"/>
  <c r="BA527" i="3"/>
  <c r="AZ527" i="3" s="1"/>
  <c r="BL525" i="3"/>
  <c r="BA520" i="3"/>
  <c r="BL517" i="3"/>
  <c r="BA517" i="3"/>
  <c r="BA507" i="3"/>
  <c r="BL506" i="3"/>
  <c r="BL504" i="3"/>
  <c r="BA504" i="3"/>
  <c r="BL501" i="3"/>
  <c r="BL499" i="3"/>
  <c r="BA499" i="3"/>
  <c r="AZ499" i="3" s="1"/>
  <c r="BL497" i="3"/>
  <c r="BL495" i="3"/>
  <c r="BP5" i="3"/>
  <c r="G29" i="6" s="1"/>
  <c r="BK5" i="3"/>
  <c r="BG5" i="3"/>
  <c r="BC5" i="3"/>
  <c r="AC5" i="3"/>
  <c r="BO5" i="3"/>
  <c r="BL493" i="3"/>
  <c r="BJ5" i="3"/>
  <c r="BF5" i="3"/>
  <c r="BB5" i="3"/>
  <c r="E5" i="6" s="1"/>
  <c r="D19" i="12" s="1"/>
  <c r="C19" i="12" s="1"/>
  <c r="M20" i="15"/>
  <c r="M20" i="83"/>
  <c r="F34" i="83"/>
  <c r="F62" i="83" s="1"/>
  <c r="B14" i="74"/>
  <c r="BL15" i="3"/>
  <c r="AZ15" i="3" s="1"/>
  <c r="G6" i="1"/>
  <c r="I24" i="43"/>
  <c r="C24" i="43" s="1"/>
  <c r="AZ403" i="3"/>
  <c r="AZ436" i="3"/>
  <c r="AZ438" i="3"/>
  <c r="AZ443" i="3"/>
  <c r="F3" i="35"/>
  <c r="G1" i="83"/>
  <c r="B88" i="43"/>
  <c r="C25" i="40"/>
  <c r="AA18" i="36"/>
  <c r="S18" i="36"/>
  <c r="D38" i="71"/>
  <c r="C39" i="71"/>
  <c r="Y26" i="71"/>
  <c r="Z26" i="71" s="1"/>
  <c r="Y25" i="71"/>
  <c r="Z25" i="71" s="1"/>
  <c r="AA3" i="71"/>
  <c r="E10" i="1"/>
  <c r="AZ387" i="3"/>
  <c r="AZ369" i="3"/>
  <c r="AZ357" i="3"/>
  <c r="AZ323" i="3"/>
  <c r="AZ310" i="3"/>
  <c r="AZ382" i="3"/>
  <c r="AZ371" i="3"/>
  <c r="AZ342" i="3"/>
  <c r="AZ336" i="3"/>
  <c r="AZ321" i="3"/>
  <c r="AZ304" i="3"/>
  <c r="AZ203" i="3"/>
  <c r="AZ171" i="3"/>
  <c r="AZ340" i="3"/>
  <c r="G578" i="3"/>
  <c r="G572" i="3"/>
  <c r="G562" i="3"/>
  <c r="G550" i="3"/>
  <c r="G540" i="3"/>
  <c r="G535" i="3"/>
  <c r="G533" i="3"/>
  <c r="G531" i="3"/>
  <c r="G529" i="3"/>
  <c r="G527" i="3"/>
  <c r="G14" i="3"/>
  <c r="G5" i="3" s="1"/>
  <c r="B3" i="3" s="1"/>
  <c r="K8" i="1"/>
  <c r="M8" i="1" s="1"/>
  <c r="G399" i="3"/>
  <c r="BL399" i="3"/>
  <c r="G401" i="3"/>
  <c r="G402" i="3"/>
  <c r="G406" i="3"/>
  <c r="G408" i="3"/>
  <c r="G409" i="3"/>
  <c r="BL409" i="3"/>
  <c r="BA410" i="3"/>
  <c r="AZ410" i="3" s="1"/>
  <c r="BL412" i="3"/>
  <c r="AZ412" i="3" s="1"/>
  <c r="BA413" i="3"/>
  <c r="AZ413" i="3" s="1"/>
  <c r="G416" i="3"/>
  <c r="BL416" i="3"/>
  <c r="BA417" i="3"/>
  <c r="AZ417" i="3" s="1"/>
  <c r="BA418" i="3"/>
  <c r="AZ418" i="3" s="1"/>
  <c r="BL418" i="3"/>
  <c r="G420" i="3"/>
  <c r="BL420" i="3"/>
  <c r="BA421" i="3"/>
  <c r="AZ421" i="3" s="1"/>
  <c r="BA422" i="3"/>
  <c r="BL422" i="3"/>
  <c r="BA423" i="3"/>
  <c r="AZ423" i="3" s="1"/>
  <c r="G426" i="3"/>
  <c r="BL426" i="3"/>
  <c r="BA427" i="3"/>
  <c r="AZ427" i="3" s="1"/>
  <c r="BA428" i="3"/>
  <c r="AZ428" i="3" s="1"/>
  <c r="G431" i="3"/>
  <c r="BL431" i="3"/>
  <c r="BA432" i="3"/>
  <c r="AZ432" i="3" s="1"/>
  <c r="BA433" i="3"/>
  <c r="AZ433" i="3" s="1"/>
  <c r="BA434" i="3"/>
  <c r="AZ434" i="3" s="1"/>
  <c r="BL434" i="3"/>
  <c r="G436" i="3"/>
  <c r="BL436" i="3"/>
  <c r="G441" i="3"/>
  <c r="G442" i="3"/>
  <c r="G446" i="3"/>
  <c r="G448" i="3"/>
  <c r="BL448" i="3"/>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BL308" i="3"/>
  <c r="AZ308" i="3" s="1"/>
  <c r="BL314" i="3"/>
  <c r="AZ314" i="3" s="1"/>
  <c r="BA316" i="3"/>
  <c r="AZ316" i="3" s="1"/>
  <c r="BA319" i="3"/>
  <c r="AZ319" i="3" s="1"/>
  <c r="BA323" i="3"/>
  <c r="BL328" i="3"/>
  <c r="AZ328" i="3" s="1"/>
  <c r="BL333" i="3"/>
  <c r="AZ333" i="3" s="1"/>
  <c r="G339" i="3"/>
  <c r="BL340" i="3"/>
  <c r="G347" i="3"/>
  <c r="BL350" i="3"/>
  <c r="AZ350" i="3" s="1"/>
  <c r="BA353" i="3"/>
  <c r="AZ353" i="3" s="1"/>
  <c r="G358" i="3"/>
  <c r="BL359" i="3"/>
  <c r="AZ359" i="3" s="1"/>
  <c r="BL365" i="3"/>
  <c r="AZ365" i="3" s="1"/>
  <c r="BA368" i="3"/>
  <c r="AZ368" i="3" s="1"/>
  <c r="AZ221" i="3"/>
  <c r="AZ278" i="3"/>
  <c r="AZ64" i="3"/>
  <c r="S21" i="21"/>
  <c r="S21" i="33"/>
  <c r="AA21" i="33"/>
  <c r="AB21" i="34"/>
  <c r="U21" i="34"/>
  <c r="AB25" i="71"/>
  <c r="F28" i="71"/>
  <c r="F27" i="71" s="1"/>
  <c r="F26" i="71" s="1"/>
  <c r="AB28" i="71"/>
  <c r="BL381" i="3"/>
  <c r="BL386" i="3"/>
  <c r="AZ386" i="3" s="1"/>
  <c r="G392" i="3"/>
  <c r="BL393" i="3"/>
  <c r="AZ393" i="3" s="1"/>
  <c r="BL396" i="3"/>
  <c r="AZ396" i="3" s="1"/>
  <c r="BA397" i="3"/>
  <c r="AZ397" i="3" s="1"/>
  <c r="BL209" i="3"/>
  <c r="AZ209" i="3" s="1"/>
  <c r="BA210" i="3"/>
  <c r="AZ210" i="3" s="1"/>
  <c r="G213" i="3"/>
  <c r="G214" i="3"/>
  <c r="G215" i="3"/>
  <c r="G216" i="3"/>
  <c r="BL216" i="3"/>
  <c r="AZ216" i="3" s="1"/>
  <c r="BA217" i="3"/>
  <c r="AZ217" i="3" s="1"/>
  <c r="BA218" i="3"/>
  <c r="AZ218" i="3" s="1"/>
  <c r="G221" i="3"/>
  <c r="BL221" i="3"/>
  <c r="BL223" i="3"/>
  <c r="AZ223" i="3" s="1"/>
  <c r="BA225" i="3"/>
  <c r="AZ225" i="3" s="1"/>
  <c r="BL227" i="3"/>
  <c r="AZ227" i="3" s="1"/>
  <c r="BA228" i="3"/>
  <c r="AZ228" i="3" s="1"/>
  <c r="BA229" i="3"/>
  <c r="AZ229" i="3" s="1"/>
  <c r="G232" i="3"/>
  <c r="G233" i="3"/>
  <c r="G234" i="3"/>
  <c r="G235" i="3"/>
  <c r="G236" i="3"/>
  <c r="BL236" i="3"/>
  <c r="AZ236" i="3" s="1"/>
  <c r="BL238" i="3"/>
  <c r="AZ238" i="3" s="1"/>
  <c r="BA239" i="3"/>
  <c r="AZ239" i="3" s="1"/>
  <c r="BA240" i="3"/>
  <c r="AZ240" i="3" s="1"/>
  <c r="BA241" i="3"/>
  <c r="AZ241" i="3" s="1"/>
  <c r="BL243" i="3"/>
  <c r="AZ243" i="3" s="1"/>
  <c r="G245" i="3"/>
  <c r="G246" i="3"/>
  <c r="BL246" i="3"/>
  <c r="G248" i="3"/>
  <c r="G249" i="3"/>
  <c r="G250" i="3"/>
  <c r="G251" i="3"/>
  <c r="G252" i="3"/>
  <c r="BL252" i="3"/>
  <c r="BL254" i="3"/>
  <c r="AZ254" i="3" s="1"/>
  <c r="G256" i="3"/>
  <c r="G257" i="3"/>
  <c r="G258" i="3"/>
  <c r="BL258" i="3"/>
  <c r="G261" i="3"/>
  <c r="G262" i="3"/>
  <c r="BL262" i="3"/>
  <c r="AZ262" i="3" s="1"/>
  <c r="BA264" i="3"/>
  <c r="AZ264" i="3" s="1"/>
  <c r="BA265" i="3"/>
  <c r="AZ265" i="3" s="1"/>
  <c r="BA266" i="3"/>
  <c r="AZ266" i="3" s="1"/>
  <c r="BL268" i="3"/>
  <c r="AZ268" i="3" s="1"/>
  <c r="BA270" i="3"/>
  <c r="AZ270" i="3" s="1"/>
  <c r="BA271" i="3"/>
  <c r="AZ271" i="3" s="1"/>
  <c r="BL273" i="3"/>
  <c r="AZ273" i="3" s="1"/>
  <c r="BA274" i="3"/>
  <c r="AZ274" i="3" s="1"/>
  <c r="BA275" i="3"/>
  <c r="AZ275" i="3" s="1"/>
  <c r="G278" i="3"/>
  <c r="BL278" i="3"/>
  <c r="BL280" i="3"/>
  <c r="AZ280" i="3" s="1"/>
  <c r="BA282" i="3"/>
  <c r="AZ282" i="3" s="1"/>
  <c r="BA283" i="3"/>
  <c r="AZ283" i="3" s="1"/>
  <c r="BA285" i="3"/>
  <c r="AZ285" i="3" s="1"/>
  <c r="BA286" i="3"/>
  <c r="AZ286" i="3" s="1"/>
  <c r="BA287" i="3"/>
  <c r="AZ287" i="3" s="1"/>
  <c r="BA288" i="3"/>
  <c r="AZ288" i="3" s="1"/>
  <c r="G291" i="3"/>
  <c r="G292" i="3"/>
  <c r="BL292" i="3"/>
  <c r="AZ292" i="3" s="1"/>
  <c r="BA293" i="3"/>
  <c r="AZ293" i="3" s="1"/>
  <c r="BL295" i="3"/>
  <c r="AZ295" i="3" s="1"/>
  <c r="BL297" i="3"/>
  <c r="AZ297" i="3" s="1"/>
  <c r="G299" i="3"/>
  <c r="G300" i="3"/>
  <c r="BL300" i="3"/>
  <c r="G302" i="3"/>
  <c r="BL302" i="3"/>
  <c r="BL113" i="3"/>
  <c r="AZ113" i="3" s="1"/>
  <c r="G116" i="3"/>
  <c r="BA117" i="3"/>
  <c r="AZ117" i="3" s="1"/>
  <c r="G120" i="3"/>
  <c r="G123" i="3"/>
  <c r="BA125" i="3"/>
  <c r="AZ125" i="3" s="1"/>
  <c r="G128" i="3"/>
  <c r="BL130" i="3"/>
  <c r="AZ130" i="3" s="1"/>
  <c r="BA132" i="3"/>
  <c r="AZ132" i="3" s="1"/>
  <c r="G134" i="3"/>
  <c r="BL134" i="3"/>
  <c r="AZ134" i="3" s="1"/>
  <c r="BA136" i="3"/>
  <c r="AZ136" i="3" s="1"/>
  <c r="BL137" i="3"/>
  <c r="AZ137" i="3" s="1"/>
  <c r="G140" i="3"/>
  <c r="BL142" i="3"/>
  <c r="AZ142" i="3" s="1"/>
  <c r="BA144" i="3"/>
  <c r="AZ144" i="3" s="1"/>
  <c r="BL145" i="3"/>
  <c r="AZ145" i="3" s="1"/>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AZ38" i="3" s="1"/>
  <c r="BA40" i="3"/>
  <c r="AZ40" i="3" s="1"/>
  <c r="BA41" i="3"/>
  <c r="AZ41" i="3" s="1"/>
  <c r="BA42" i="3"/>
  <c r="AZ42" i="3" s="1"/>
  <c r="BA43" i="3"/>
  <c r="AZ43" i="3" s="1"/>
  <c r="AZ108" i="3"/>
  <c r="B100" i="43"/>
  <c r="B77" i="43"/>
  <c r="B68" i="43"/>
  <c r="C29" i="39"/>
  <c r="AA25" i="71"/>
  <c r="AA27" i="71"/>
  <c r="E28" i="71"/>
  <c r="AA26" i="71"/>
  <c r="Y30" i="71"/>
  <c r="Z30" i="71" s="1"/>
  <c r="Y29" i="71"/>
  <c r="Z29" i="71" s="1"/>
  <c r="X31" i="71"/>
  <c r="X32" i="71"/>
  <c r="X28" i="71"/>
  <c r="Y34" i="71"/>
  <c r="Z34" i="71" s="1"/>
  <c r="Y33" i="71"/>
  <c r="Z33" i="71" s="1"/>
  <c r="C35" i="71"/>
  <c r="AB34" i="71"/>
  <c r="AB33" i="71"/>
  <c r="X34" i="71"/>
  <c r="X36" i="71"/>
  <c r="Y38" i="71"/>
  <c r="Z38" i="71" s="1"/>
  <c r="Y37" i="71"/>
  <c r="Z37" i="71" s="1"/>
  <c r="AB38" i="71"/>
  <c r="AB37" i="71"/>
  <c r="D42" i="71"/>
  <c r="C43" i="71"/>
  <c r="D50" i="71"/>
  <c r="C51" i="71"/>
  <c r="C55" i="71"/>
  <c r="D54" i="71"/>
  <c r="C63" i="71"/>
  <c r="D62" i="71"/>
  <c r="S68" i="71"/>
  <c r="N68" i="71"/>
  <c r="T72" i="71"/>
  <c r="C71" i="71"/>
  <c r="D72" i="71"/>
  <c r="U76" i="71"/>
  <c r="E75" i="71"/>
  <c r="E74" i="71" s="1"/>
  <c r="T80" i="71"/>
  <c r="C79" i="71"/>
  <c r="D80" i="71"/>
  <c r="G44" i="3"/>
  <c r="BL44" i="3"/>
  <c r="G47" i="3"/>
  <c r="G48" i="3"/>
  <c r="BL48" i="3"/>
  <c r="AZ48" i="3" s="1"/>
  <c r="BA49" i="3"/>
  <c r="AZ49" i="3" s="1"/>
  <c r="BA50" i="3"/>
  <c r="AZ50" i="3" s="1"/>
  <c r="BA51" i="3"/>
  <c r="AZ51" i="3" s="1"/>
  <c r="BL53" i="3"/>
  <c r="AZ53" i="3" s="1"/>
  <c r="G55" i="3"/>
  <c r="G56" i="3"/>
  <c r="BL56" i="3"/>
  <c r="G58" i="3"/>
  <c r="G59" i="3"/>
  <c r="G60" i="3"/>
  <c r="BL60" i="3"/>
  <c r="G63" i="3"/>
  <c r="G64" i="3"/>
  <c r="BL64" i="3"/>
  <c r="BA65" i="3"/>
  <c r="AZ65" i="3" s="1"/>
  <c r="BA66" i="3"/>
  <c r="AZ66" i="3" s="1"/>
  <c r="BA67" i="3"/>
  <c r="AZ67" i="3" s="1"/>
  <c r="BL69" i="3"/>
  <c r="AZ69" i="3" s="1"/>
  <c r="G71" i="3"/>
  <c r="G72" i="3"/>
  <c r="G73" i="3"/>
  <c r="BL73" i="3"/>
  <c r="BL75" i="3"/>
  <c r="AZ75" i="3" s="1"/>
  <c r="G77" i="3"/>
  <c r="G78" i="3"/>
  <c r="BL78" i="3"/>
  <c r="BL80" i="3"/>
  <c r="AZ80" i="3" s="1"/>
  <c r="G82" i="3"/>
  <c r="G83" i="3"/>
  <c r="G84" i="3"/>
  <c r="G85" i="3"/>
  <c r="G86" i="3"/>
  <c r="G87" i="3"/>
  <c r="BL87" i="3"/>
  <c r="BL89" i="3"/>
  <c r="AZ89" i="3" s="1"/>
  <c r="G91" i="3"/>
  <c r="BL91" i="3"/>
  <c r="G93" i="3"/>
  <c r="G94" i="3"/>
  <c r="G95" i="3"/>
  <c r="BL95" i="3"/>
  <c r="G97" i="3"/>
  <c r="G98" i="3"/>
  <c r="BL98" i="3"/>
  <c r="G100" i="3"/>
  <c r="BL100" i="3"/>
  <c r="BL102" i="3"/>
  <c r="AZ102" i="3" s="1"/>
  <c r="G104" i="3"/>
  <c r="BL104" i="3"/>
  <c r="G107" i="3"/>
  <c r="G108" i="3"/>
  <c r="BL108" i="3"/>
  <c r="BL110" i="3"/>
  <c r="AZ110" i="3" s="1"/>
  <c r="BA112" i="3"/>
  <c r="AZ112" i="3" s="1"/>
  <c r="C31" i="71"/>
  <c r="C28" i="71"/>
  <c r="Y28" i="71"/>
  <c r="Z28" i="71" s="1"/>
  <c r="X29" i="71"/>
  <c r="X27" i="71"/>
  <c r="X30" i="71"/>
  <c r="Y32" i="71"/>
  <c r="Z32" i="71" s="1"/>
  <c r="AB32" i="71"/>
  <c r="X33" i="71"/>
  <c r="Y36" i="71"/>
  <c r="Z36" i="71" s="1"/>
  <c r="AB36" i="71"/>
  <c r="E38" i="71"/>
  <c r="E39" i="71" s="1"/>
  <c r="E40" i="71" s="1"/>
  <c r="U40" i="71" s="1"/>
  <c r="AA34" i="71"/>
  <c r="AA35" i="71"/>
  <c r="AA36" i="71"/>
  <c r="B63" i="71"/>
  <c r="B64" i="71" s="1"/>
  <c r="S64" i="71" s="1"/>
  <c r="B22" i="71"/>
  <c r="B21" i="71" s="1"/>
  <c r="B20" i="71" s="1"/>
  <c r="X25" i="71"/>
  <c r="E23" i="71"/>
  <c r="E22" i="71" s="1"/>
  <c r="E21" i="71" s="1"/>
  <c r="E20" i="71" s="1"/>
  <c r="V20" i="71" s="1"/>
  <c r="V24" i="71"/>
  <c r="F22" i="71"/>
  <c r="F21" i="71" s="1"/>
  <c r="F20" i="71" s="1"/>
  <c r="F19" i="71" s="1"/>
  <c r="F18" i="71" s="1"/>
  <c r="F17" i="71" s="1"/>
  <c r="F31" i="71"/>
  <c r="F32" i="71" s="1"/>
  <c r="V32" i="71" s="1"/>
  <c r="F35" i="71"/>
  <c r="F36" i="71" s="1"/>
  <c r="V36" i="71" s="1"/>
  <c r="F39" i="71"/>
  <c r="F40" i="71" s="1"/>
  <c r="V40" i="71" s="1"/>
  <c r="B59" i="71"/>
  <c r="B60" i="71" s="1"/>
  <c r="S60" i="71" s="1"/>
  <c r="W43" i="21"/>
  <c r="H43" i="21"/>
  <c r="AB43" i="21" s="1"/>
  <c r="F43" i="21"/>
  <c r="S43" i="21" s="1"/>
  <c r="H42" i="21"/>
  <c r="U42" i="21" s="1"/>
  <c r="AA29" i="21"/>
  <c r="AC29" i="21"/>
  <c r="W29" i="21"/>
  <c r="H29" i="21"/>
  <c r="J42" i="21"/>
  <c r="F42" i="21"/>
  <c r="AB38" i="21"/>
  <c r="U27" i="21"/>
  <c r="I89" i="21"/>
  <c r="J89" i="21" s="1"/>
  <c r="K89" i="21" s="1"/>
  <c r="L89" i="21" s="1"/>
  <c r="M89" i="21" s="1"/>
  <c r="F26" i="21"/>
  <c r="H26" i="21"/>
  <c r="AB26" i="21" s="1"/>
  <c r="AC26" i="21"/>
  <c r="U26" i="21"/>
  <c r="AB25" i="21"/>
  <c r="AC40" i="21"/>
  <c r="AB39" i="21"/>
  <c r="AA38" i="21"/>
  <c r="U35" i="21"/>
  <c r="S34" i="21"/>
  <c r="AC27" i="21"/>
  <c r="S44" i="21"/>
  <c r="W44" i="21"/>
  <c r="S23" i="21"/>
  <c r="AA23" i="21"/>
  <c r="H23" i="21"/>
  <c r="AC23" i="21"/>
  <c r="AB21" i="21"/>
  <c r="AC21" i="21"/>
  <c r="S19" i="21"/>
  <c r="AC19" i="21"/>
  <c r="U17" i="21"/>
  <c r="AA15" i="21"/>
  <c r="AB15" i="21"/>
  <c r="AC15" i="21"/>
  <c r="AB13" i="21"/>
  <c r="U13" i="21"/>
  <c r="S12" i="21"/>
  <c r="AA12" i="21"/>
  <c r="F13" i="21"/>
  <c r="J13" i="21"/>
  <c r="H12" i="21"/>
  <c r="S9" i="21"/>
  <c r="AA9" i="21"/>
  <c r="J9" i="21"/>
  <c r="A118" i="9"/>
  <c r="M20" i="67"/>
  <c r="F34" i="15"/>
  <c r="F62" i="15" s="1"/>
  <c r="F34" i="67"/>
  <c r="F62" i="67" s="1"/>
  <c r="B41" i="1"/>
  <c r="F32" i="67"/>
  <c r="F60" i="67" s="1"/>
  <c r="D68" i="9"/>
  <c r="F30" i="69"/>
  <c r="F48" i="69" s="1"/>
  <c r="F31" i="12"/>
  <c r="G26" i="12"/>
  <c r="G22" i="69"/>
  <c r="E19" i="71"/>
  <c r="E18" i="71" s="1"/>
  <c r="E17" i="71" s="1"/>
  <c r="E16" i="71" s="1"/>
  <c r="M23" i="43" s="1"/>
  <c r="AB43" i="33"/>
  <c r="U43" i="33"/>
  <c r="AZ495" i="3"/>
  <c r="AZ513" i="3"/>
  <c r="AZ555" i="3"/>
  <c r="AZ504" i="3"/>
  <c r="W11" i="35"/>
  <c r="AC11" i="35"/>
  <c r="BL585" i="3"/>
  <c r="AZ585" i="3" s="1"/>
  <c r="H28" i="21"/>
  <c r="F28" i="21"/>
  <c r="J28" i="21"/>
  <c r="H31" i="21"/>
  <c r="J31" i="21"/>
  <c r="F31" i="21"/>
  <c r="AB35" i="33"/>
  <c r="U35" i="33"/>
  <c r="AA38" i="33"/>
  <c r="S38" i="33"/>
  <c r="AC39" i="33"/>
  <c r="W39" i="33"/>
  <c r="AB34" i="35"/>
  <c r="U34" i="35"/>
  <c r="H23" i="35"/>
  <c r="J23" i="35"/>
  <c r="F23" i="35"/>
  <c r="AB9" i="36"/>
  <c r="U9" i="36"/>
  <c r="J12" i="36"/>
  <c r="H12" i="36"/>
  <c r="F12" i="36"/>
  <c r="J24" i="36"/>
  <c r="F24" i="36"/>
  <c r="H24" i="36"/>
  <c r="AB31" i="36"/>
  <c r="U31" i="36"/>
  <c r="H25" i="37"/>
  <c r="J25" i="37"/>
  <c r="F25" i="37"/>
  <c r="U8" i="39"/>
  <c r="AB8" i="39"/>
  <c r="AC40" i="39"/>
  <c r="W40" i="39"/>
  <c r="F14" i="39"/>
  <c r="J14" i="39"/>
  <c r="AC14" i="39" s="1"/>
  <c r="AC23" i="39"/>
  <c r="W23" i="39"/>
  <c r="H31" i="39"/>
  <c r="F31" i="39"/>
  <c r="J31" i="39"/>
  <c r="J32" i="40"/>
  <c r="F32" i="40"/>
  <c r="H32" i="40"/>
  <c r="AB31" i="35"/>
  <c r="U31" i="35"/>
  <c r="F36" i="39"/>
  <c r="H36" i="39"/>
  <c r="J36" i="39"/>
  <c r="BL584" i="3"/>
  <c r="AZ584" i="3" s="1"/>
  <c r="BL583" i="3"/>
  <c r="BA583" i="3"/>
  <c r="BA582" i="3"/>
  <c r="AZ582" i="3" s="1"/>
  <c r="BA581" i="3"/>
  <c r="AZ581" i="3" s="1"/>
  <c r="BA580" i="3"/>
  <c r="AZ580" i="3" s="1"/>
  <c r="BA579" i="3"/>
  <c r="AZ579" i="3" s="1"/>
  <c r="BL578" i="3"/>
  <c r="BA578" i="3"/>
  <c r="BL569" i="3"/>
  <c r="BA569" i="3"/>
  <c r="BL568" i="3"/>
  <c r="BA568" i="3"/>
  <c r="BA567" i="3"/>
  <c r="AZ567" i="3" s="1"/>
  <c r="BA566" i="3"/>
  <c r="AZ566" i="3" s="1"/>
  <c r="BL565" i="3"/>
  <c r="AZ565" i="3" s="1"/>
  <c r="BA564" i="3"/>
  <c r="AZ564" i="3" s="1"/>
  <c r="BA563" i="3"/>
  <c r="AZ563" i="3" s="1"/>
  <c r="BL562" i="3"/>
  <c r="BA562" i="3"/>
  <c r="AZ562" i="3" s="1"/>
  <c r="BL554" i="3"/>
  <c r="AZ554" i="3" s="1"/>
  <c r="BL553" i="3"/>
  <c r="BA553" i="3"/>
  <c r="BL552" i="3"/>
  <c r="BA552" i="3"/>
  <c r="BL550" i="3"/>
  <c r="AZ550" i="3" s="1"/>
  <c r="BL549" i="3"/>
  <c r="BA549" i="3"/>
  <c r="AZ549" i="3" s="1"/>
  <c r="BL548" i="3"/>
  <c r="D19" i="53"/>
  <c r="B38" i="72" s="1"/>
  <c r="D16" i="53"/>
  <c r="B34" i="72" s="1"/>
  <c r="W17" i="21"/>
  <c r="G28" i="6"/>
  <c r="F29" i="6"/>
  <c r="AZ362" i="3"/>
  <c r="S41" i="34"/>
  <c r="AA41" i="34"/>
  <c r="S25" i="21"/>
  <c r="AA25" i="21"/>
  <c r="AZ557" i="3"/>
  <c r="AZ517" i="3"/>
  <c r="AZ548" i="3"/>
  <c r="AA26" i="33"/>
  <c r="S26" i="33"/>
  <c r="J26" i="33"/>
  <c r="H26" i="33"/>
  <c r="AC9" i="34"/>
  <c r="W9" i="34"/>
  <c r="J27" i="34"/>
  <c r="F27" i="34"/>
  <c r="AC31" i="37"/>
  <c r="W31" i="37"/>
  <c r="AB14" i="37"/>
  <c r="U14" i="37"/>
  <c r="F28" i="37"/>
  <c r="J28" i="37"/>
  <c r="H28" i="37"/>
  <c r="H38" i="37"/>
  <c r="J38" i="37"/>
  <c r="F38" i="37"/>
  <c r="J12" i="40"/>
  <c r="F12" i="40"/>
  <c r="H14" i="40"/>
  <c r="J14" i="40"/>
  <c r="F14" i="40"/>
  <c r="F38" i="40"/>
  <c r="J38" i="40"/>
  <c r="H38" i="40"/>
  <c r="U41" i="21"/>
  <c r="AB41" i="21"/>
  <c r="BA525" i="3"/>
  <c r="AZ525" i="3" s="1"/>
  <c r="BA524" i="3"/>
  <c r="AZ524" i="3" s="1"/>
  <c r="BL523" i="3"/>
  <c r="AZ523" i="3" s="1"/>
  <c r="BL522" i="3"/>
  <c r="BA522" i="3"/>
  <c r="BA521" i="3"/>
  <c r="AZ521" i="3" s="1"/>
  <c r="BL520" i="3"/>
  <c r="AZ520" i="3" s="1"/>
  <c r="BL519" i="3"/>
  <c r="BA519" i="3"/>
  <c r="BL518" i="3"/>
  <c r="BA518" i="3"/>
  <c r="BL516" i="3"/>
  <c r="BA516" i="3"/>
  <c r="BL515" i="3"/>
  <c r="BA515" i="3"/>
  <c r="BL514" i="3"/>
  <c r="BA514" i="3"/>
  <c r="BL512" i="3"/>
  <c r="BA512" i="3"/>
  <c r="BL511" i="3"/>
  <c r="BA511" i="3"/>
  <c r="BL510" i="3"/>
  <c r="AZ510" i="3" s="1"/>
  <c r="BA509" i="3"/>
  <c r="AZ509" i="3" s="1"/>
  <c r="BL508" i="3"/>
  <c r="BA508" i="3"/>
  <c r="BL507" i="3"/>
  <c r="AZ507" i="3" s="1"/>
  <c r="BA506" i="3"/>
  <c r="AZ506" i="3" s="1"/>
  <c r="BA505" i="3"/>
  <c r="AZ505" i="3" s="1"/>
  <c r="BL503" i="3"/>
  <c r="AZ503" i="3" s="1"/>
  <c r="BL502" i="3"/>
  <c r="BA502" i="3"/>
  <c r="BA501" i="3"/>
  <c r="AZ501" i="3" s="1"/>
  <c r="BL500" i="3"/>
  <c r="BA500" i="3"/>
  <c r="BL498" i="3"/>
  <c r="AZ498" i="3" s="1"/>
  <c r="BA497" i="3"/>
  <c r="AZ497" i="3" s="1"/>
  <c r="BL496" i="3"/>
  <c r="BA496" i="3"/>
  <c r="BL494" i="3"/>
  <c r="BA494" i="3"/>
  <c r="BA493" i="3"/>
  <c r="AZ493" i="3" s="1"/>
  <c r="AZ532" i="3"/>
  <c r="AZ544" i="3"/>
  <c r="BL586" i="3"/>
  <c r="BA586" i="3"/>
  <c r="J14" i="21"/>
  <c r="F14" i="21"/>
  <c r="H14" i="21"/>
  <c r="H30" i="21"/>
  <c r="F30" i="21"/>
  <c r="J30" i="21"/>
  <c r="J45" i="21"/>
  <c r="F45" i="21"/>
  <c r="AC33" i="33"/>
  <c r="W33" i="33"/>
  <c r="W12" i="34"/>
  <c r="AC12" i="34"/>
  <c r="U12" i="35"/>
  <c r="AB12" i="35"/>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J26" i="37"/>
  <c r="H26" i="37"/>
  <c r="F26" i="37"/>
  <c r="H44" i="39"/>
  <c r="F44" i="39"/>
  <c r="J44" i="39"/>
  <c r="AC31" i="40"/>
  <c r="W31" i="40"/>
  <c r="J39" i="40"/>
  <c r="H39" i="40"/>
  <c r="AB34" i="37"/>
  <c r="U34" i="37"/>
  <c r="BL576" i="3"/>
  <c r="BA576" i="3"/>
  <c r="AZ576" i="3" s="1"/>
  <c r="BA575" i="3"/>
  <c r="AZ575" i="3" s="1"/>
  <c r="BA574" i="3"/>
  <c r="AZ574" i="3" s="1"/>
  <c r="BA572" i="3"/>
  <c r="AZ572" i="3" s="1"/>
  <c r="BA571" i="3"/>
  <c r="AZ571" i="3" s="1"/>
  <c r="BL570" i="3"/>
  <c r="BA570" i="3"/>
  <c r="AZ570" i="3" s="1"/>
  <c r="BL560" i="3"/>
  <c r="BA560" i="3"/>
  <c r="AZ560" i="3" s="1"/>
  <c r="BA559" i="3"/>
  <c r="AZ559" i="3" s="1"/>
  <c r="BA551" i="3"/>
  <c r="AZ551" i="3" s="1"/>
  <c r="BL546" i="3"/>
  <c r="BA546" i="3"/>
  <c r="AZ546" i="3" s="1"/>
  <c r="BL540" i="3"/>
  <c r="AZ540" i="3" s="1"/>
  <c r="BL538" i="3"/>
  <c r="AZ538" i="3" s="1"/>
  <c r="BL530" i="3"/>
  <c r="AZ530" i="3" s="1"/>
  <c r="BA528" i="3"/>
  <c r="AZ528" i="3" s="1"/>
  <c r="BA526" i="3"/>
  <c r="AZ526" i="3" s="1"/>
  <c r="AZ399" i="3"/>
  <c r="AZ404" i="3"/>
  <c r="AZ424" i="3"/>
  <c r="AZ429" i="3"/>
  <c r="AZ439" i="3"/>
  <c r="AZ475" i="3"/>
  <c r="AZ483" i="3"/>
  <c r="AZ489" i="3"/>
  <c r="AZ409" i="3"/>
  <c r="AZ416" i="3"/>
  <c r="AZ420" i="3"/>
  <c r="AZ426" i="3"/>
  <c r="AZ431" i="3"/>
  <c r="AZ448" i="3"/>
  <c r="AZ452" i="3"/>
  <c r="AZ461" i="3"/>
  <c r="AZ463" i="3"/>
  <c r="AZ468" i="3"/>
  <c r="AZ470" i="3"/>
  <c r="AZ479" i="3"/>
  <c r="AZ485" i="3"/>
  <c r="AZ211" i="3"/>
  <c r="AZ300" i="3"/>
  <c r="AZ302" i="3"/>
  <c r="AZ126" i="3"/>
  <c r="AZ141" i="3"/>
  <c r="AZ161" i="3"/>
  <c r="AZ177" i="3"/>
  <c r="AZ193" i="3"/>
  <c r="AZ34" i="3"/>
  <c r="AZ226" i="3"/>
  <c r="AZ246" i="3"/>
  <c r="AZ252" i="3"/>
  <c r="AZ258" i="3"/>
  <c r="AZ267" i="3"/>
  <c r="AZ272" i="3"/>
  <c r="AZ284" i="3"/>
  <c r="AZ289" i="3"/>
  <c r="AZ44" i="3"/>
  <c r="AZ56" i="3"/>
  <c r="AZ60" i="3"/>
  <c r="AZ73" i="3"/>
  <c r="AZ78" i="3"/>
  <c r="AZ87" i="3"/>
  <c r="AZ91" i="3"/>
  <c r="AZ95" i="3"/>
  <c r="AZ98" i="3"/>
  <c r="AZ100" i="3"/>
  <c r="AZ104" i="3"/>
  <c r="AC21" i="37"/>
  <c r="U18" i="35"/>
  <c r="S21" i="37"/>
  <c r="U18" i="36"/>
  <c r="AB27" i="71"/>
  <c r="AA29" i="71"/>
  <c r="Y9" i="71"/>
  <c r="Z9" i="71" s="1"/>
  <c r="Y10" i="71"/>
  <c r="Z10" i="71" s="1"/>
  <c r="AA9" i="71"/>
  <c r="AA10" i="71"/>
  <c r="X24" i="71"/>
  <c r="AA24" i="71"/>
  <c r="Y23" i="71"/>
  <c r="Z23" i="71" s="1"/>
  <c r="AA22" i="71"/>
  <c r="X21" i="71"/>
  <c r="Y21" i="71"/>
  <c r="Z21" i="71" s="1"/>
  <c r="Y14" i="71"/>
  <c r="Z14" i="71" s="1"/>
  <c r="X9" i="71"/>
  <c r="X10" i="71"/>
  <c r="AB10" i="71"/>
  <c r="AB9" i="71"/>
  <c r="Y24" i="71"/>
  <c r="Z24" i="71" s="1"/>
  <c r="AB24" i="71"/>
  <c r="Y22" i="71"/>
  <c r="Z22" i="71" s="1"/>
  <c r="AB23" i="71"/>
  <c r="AB21" i="71"/>
  <c r="X18" i="71"/>
  <c r="Y17" i="71"/>
  <c r="Z17" i="71" s="1"/>
  <c r="AA18" i="71"/>
  <c r="AB18" i="71"/>
  <c r="X13" i="71"/>
  <c r="AA14" i="71"/>
  <c r="AA21" i="71"/>
  <c r="Y18" i="71"/>
  <c r="Z18" i="71" s="1"/>
  <c r="AB15" i="71"/>
  <c r="X17" i="71"/>
  <c r="AA17" i="71"/>
  <c r="AB17" i="71"/>
  <c r="AB11" i="71"/>
  <c r="AB14" i="71"/>
  <c r="Y12" i="71"/>
  <c r="Z12" i="71" s="1"/>
  <c r="Y13" i="71"/>
  <c r="Z13" i="71" s="1"/>
  <c r="AA11" i="71"/>
  <c r="AA13" i="71"/>
  <c r="X12" i="71"/>
  <c r="B67" i="71"/>
  <c r="C24" i="71"/>
  <c r="AA23" i="71"/>
  <c r="X22" i="71"/>
  <c r="X15" i="71"/>
  <c r="AA15" i="71"/>
  <c r="AB12" i="71"/>
  <c r="AB13" i="71"/>
  <c r="Y11" i="71"/>
  <c r="Z11" i="71" s="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I4" i="6"/>
  <c r="G3" i="43" s="1"/>
  <c r="F26" i="43" s="1"/>
  <c r="F30" i="6"/>
  <c r="E28" i="6"/>
  <c r="M6" i="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12" i="6"/>
  <c r="E57" i="40" s="1"/>
  <c r="E53" i="3"/>
  <c r="E175" i="3"/>
  <c r="E319" i="3"/>
  <c r="E530" i="3"/>
  <c r="E501" i="3"/>
  <c r="E343" i="3"/>
  <c r="E153" i="3"/>
  <c r="E305" i="3"/>
  <c r="E42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1" i="6"/>
  <c r="E60" i="39" s="1"/>
  <c r="E13" i="6"/>
  <c r="P6" i="1"/>
  <c r="C13" i="12" s="1"/>
  <c r="P11" i="1"/>
  <c r="K14" i="1"/>
  <c r="D9" i="11"/>
  <c r="C9" i="11" s="1"/>
  <c r="AZ13" i="3"/>
  <c r="O9" i="1"/>
  <c r="P9" i="1" s="1"/>
  <c r="O12" i="1"/>
  <c r="P12" i="1" s="1"/>
  <c r="O8" i="1"/>
  <c r="P8" i="1" s="1"/>
  <c r="H73" i="43"/>
  <c r="H90" i="43"/>
  <c r="C23" i="43"/>
  <c r="O23" i="43"/>
  <c r="I18" i="43"/>
  <c r="E17" i="43" s="1"/>
  <c r="C17" i="43" s="1"/>
  <c r="E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I54" i="15"/>
  <c r="K1" i="73"/>
  <c r="B20" i="31"/>
  <c r="B21" i="31" s="1"/>
  <c r="I1" i="73"/>
  <c r="B39" i="1" s="1"/>
  <c r="F51" i="67"/>
  <c r="F65" i="67"/>
  <c r="J53" i="67"/>
  <c r="J57" i="67"/>
  <c r="J55" i="67" s="1"/>
  <c r="J58" i="67" s="1"/>
  <c r="Q50" i="67" s="1"/>
  <c r="L56" i="67"/>
  <c r="I54" i="67"/>
  <c r="M7" i="15"/>
  <c r="J6" i="15" s="1"/>
  <c r="F50" i="15"/>
  <c r="F51" i="15"/>
  <c r="F71" i="15"/>
  <c r="C6" i="15"/>
  <c r="F66" i="67"/>
  <c r="L59" i="15"/>
  <c r="L58" i="15"/>
  <c r="F66" i="15"/>
  <c r="Q71" i="67"/>
  <c r="F64" i="15"/>
  <c r="C27" i="67"/>
  <c r="F71" i="67"/>
  <c r="C27" i="15"/>
  <c r="F65" i="15"/>
  <c r="N59" i="67"/>
  <c r="L59" i="67"/>
  <c r="L58" i="67"/>
  <c r="M59" i="67"/>
  <c r="B13" i="70"/>
  <c r="M7" i="67"/>
  <c r="J6" i="67" s="1"/>
  <c r="F50" i="67"/>
  <c r="F68" i="67"/>
  <c r="F64" i="67"/>
  <c r="F68" i="15"/>
  <c r="C36" i="68"/>
  <c r="C36" i="69"/>
  <c r="F27" i="69"/>
  <c r="C16" i="67"/>
  <c r="D9" i="69"/>
  <c r="C16" i="15"/>
  <c r="G1" i="73"/>
  <c r="AC32" i="21" l="1"/>
  <c r="D9" i="68"/>
  <c r="C9" i="68" s="1"/>
  <c r="H26" i="43"/>
  <c r="H16" i="1"/>
  <c r="E10" i="6"/>
  <c r="E15" i="6"/>
  <c r="E64" i="39" s="1"/>
  <c r="E8" i="6"/>
  <c r="F27" i="6" s="1"/>
  <c r="F31" i="6" s="1"/>
  <c r="E14" i="6"/>
  <c r="G16" i="1"/>
  <c r="F10" i="39" s="1"/>
  <c r="S10" i="39" s="1"/>
  <c r="M59" i="15"/>
  <c r="N59" i="15"/>
  <c r="E510" i="3"/>
  <c r="E539" i="3"/>
  <c r="E165" i="3"/>
  <c r="E244" i="3"/>
  <c r="E212" i="3"/>
  <c r="E167" i="3"/>
  <c r="E199" i="3"/>
  <c r="E141" i="3"/>
  <c r="E286" i="3"/>
  <c r="E312" i="3"/>
  <c r="E575" i="3"/>
  <c r="AD6" i="3"/>
  <c r="E499" i="3"/>
  <c r="E542" i="3"/>
  <c r="E552" i="3"/>
  <c r="E502" i="3"/>
  <c r="E421" i="3"/>
  <c r="E466" i="3"/>
  <c r="E487" i="3"/>
  <c r="E541" i="3"/>
  <c r="E398" i="3"/>
  <c r="E430" i="3"/>
  <c r="E449" i="3"/>
  <c r="E255" i="3"/>
  <c r="E374" i="3"/>
  <c r="I3" i="6"/>
  <c r="AP6" i="3"/>
  <c r="E554" i="3"/>
  <c r="E582" i="3"/>
  <c r="E517" i="3"/>
  <c r="E435" i="3"/>
  <c r="E460" i="3"/>
  <c r="E417" i="3"/>
  <c r="E39" i="3"/>
  <c r="E90" i="3"/>
  <c r="E57" i="3"/>
  <c r="E131" i="3"/>
  <c r="E152" i="3"/>
  <c r="E187" i="3"/>
  <c r="E132" i="3"/>
  <c r="E155" i="3"/>
  <c r="E192" i="3"/>
  <c r="E240" i="3"/>
  <c r="E297" i="3"/>
  <c r="E241" i="3"/>
  <c r="E259" i="3"/>
  <c r="E348" i="3"/>
  <c r="E363" i="3"/>
  <c r="E378" i="3"/>
  <c r="E349" i="3"/>
  <c r="E375" i="3"/>
  <c r="E389" i="3"/>
  <c r="E504" i="3"/>
  <c r="E76" i="3"/>
  <c r="E110" i="3"/>
  <c r="E488" i="3"/>
  <c r="E484" i="3"/>
  <c r="E521" i="3"/>
  <c r="E425" i="3"/>
  <c r="E467" i="3"/>
  <c r="E46" i="3"/>
  <c r="E65" i="3"/>
  <c r="E103" i="3"/>
  <c r="E138" i="3"/>
  <c r="E160" i="3"/>
  <c r="E195" i="3"/>
  <c r="E142" i="3"/>
  <c r="E163" i="3"/>
  <c r="E200" i="3"/>
  <c r="E267" i="3"/>
  <c r="E209" i="3"/>
  <c r="E266" i="3"/>
  <c r="E307" i="3"/>
  <c r="E371" i="3"/>
  <c r="E386" i="3"/>
  <c r="E310" i="3"/>
  <c r="E354" i="3"/>
  <c r="E492" i="3"/>
  <c r="E584" i="3"/>
  <c r="E23" i="3"/>
  <c r="E66" i="3"/>
  <c r="E24" i="3"/>
  <c r="E67" i="3"/>
  <c r="E144" i="3"/>
  <c r="E127" i="3"/>
  <c r="E184" i="3"/>
  <c r="E284" i="3"/>
  <c r="E355" i="3"/>
  <c r="E341" i="3"/>
  <c r="E381" i="3"/>
  <c r="Y6" i="3"/>
  <c r="E68" i="3"/>
  <c r="E51" i="3"/>
  <c r="E19" i="3"/>
  <c r="E81" i="3"/>
  <c r="E154" i="3"/>
  <c r="E118" i="3"/>
  <c r="E179" i="3"/>
  <c r="E264" i="3"/>
  <c r="E222" i="3"/>
  <c r="E283" i="3"/>
  <c r="E323" i="3"/>
  <c r="E309" i="3"/>
  <c r="E21" i="3"/>
  <c r="E329" i="3"/>
  <c r="E205" i="3"/>
  <c r="E16" i="3"/>
  <c r="E296" i="3"/>
  <c r="E188" i="3"/>
  <c r="E223" i="3"/>
  <c r="E197" i="3"/>
  <c r="E173" i="3"/>
  <c r="E105" i="3"/>
  <c r="E369" i="3"/>
  <c r="E393" i="3"/>
  <c r="E525" i="3"/>
  <c r="E493" i="3"/>
  <c r="E534" i="3"/>
  <c r="E564" i="3"/>
  <c r="T6" i="3"/>
  <c r="E543" i="3"/>
  <c r="E405" i="3"/>
  <c r="E427" i="3"/>
  <c r="E486" i="3"/>
  <c r="E507" i="3"/>
  <c r="E422" i="3"/>
  <c r="E440" i="3"/>
  <c r="E490" i="3"/>
  <c r="E376" i="3"/>
  <c r="AH6" i="3"/>
  <c r="J6" i="3"/>
  <c r="E498" i="3"/>
  <c r="E419" i="3"/>
  <c r="E483" i="3"/>
  <c r="E40" i="3"/>
  <c r="E25" i="3"/>
  <c r="E178" i="3"/>
  <c r="E119" i="3"/>
  <c r="E202" i="3"/>
  <c r="E242" i="3"/>
  <c r="E226" i="3"/>
  <c r="E276" i="3"/>
  <c r="E346" i="3"/>
  <c r="E333" i="3"/>
  <c r="E372" i="3"/>
  <c r="L6" i="3"/>
  <c r="E43" i="3"/>
  <c r="E473" i="3"/>
  <c r="E15" i="3"/>
  <c r="E455" i="3"/>
  <c r="E79" i="3"/>
  <c r="E170" i="3"/>
  <c r="E137" i="3"/>
  <c r="E194" i="3"/>
  <c r="E219" i="3"/>
  <c r="E325" i="3"/>
  <c r="AQ6" i="3"/>
  <c r="E52" i="3"/>
  <c r="E36" i="3"/>
  <c r="E112" i="3"/>
  <c r="E147" i="3"/>
  <c r="E289" i="3"/>
  <c r="E340" i="3"/>
  <c r="E364" i="3"/>
  <c r="E50" i="3"/>
  <c r="E20" i="3"/>
  <c r="E62" i="3"/>
  <c r="E176" i="3"/>
  <c r="E218" i="3"/>
  <c r="E265" i="3"/>
  <c r="E365" i="3"/>
  <c r="E524" i="3"/>
  <c r="E101" i="3"/>
  <c r="E456" i="3"/>
  <c r="E469" i="3"/>
  <c r="E512" i="3"/>
  <c r="E451" i="3"/>
  <c r="E360" i="3"/>
  <c r="E556" i="3"/>
  <c r="E497" i="3"/>
  <c r="E13" i="3"/>
  <c r="E494" i="3"/>
  <c r="E26" i="3"/>
  <c r="E41" i="3"/>
  <c r="E115" i="3"/>
  <c r="E198" i="3"/>
  <c r="E139" i="3"/>
  <c r="E225" i="3"/>
  <c r="E281" i="3"/>
  <c r="E243" i="3"/>
  <c r="E332" i="3"/>
  <c r="E391" i="3"/>
  <c r="E356" i="3"/>
  <c r="AL6" i="3"/>
  <c r="E42" i="3"/>
  <c r="E75" i="3"/>
  <c r="E428" i="3"/>
  <c r="E482" i="3"/>
  <c r="E412" i="3"/>
  <c r="E18" i="3"/>
  <c r="E96" i="3"/>
  <c r="E129" i="3"/>
  <c r="E190" i="3"/>
  <c r="E174" i="3"/>
  <c r="E220" i="3"/>
  <c r="E275" i="3"/>
  <c r="E324" i="3"/>
  <c r="E383" i="3"/>
  <c r="E342" i="3"/>
  <c r="E522" i="3"/>
  <c r="E35" i="3"/>
  <c r="E49" i="3"/>
  <c r="E206" i="3"/>
  <c r="E370" i="3"/>
  <c r="AF6" i="3"/>
  <c r="E102" i="3"/>
  <c r="E80" i="3"/>
  <c r="E113" i="3"/>
  <c r="E158" i="3"/>
  <c r="E287" i="3"/>
  <c r="E308" i="3"/>
  <c r="E326" i="3"/>
  <c r="E22" i="3"/>
  <c r="E500" i="3"/>
  <c r="E566" i="3"/>
  <c r="E462" i="3"/>
  <c r="E491" i="3"/>
  <c r="E373" i="3"/>
  <c r="E51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6" i="3"/>
  <c r="E544" i="3"/>
  <c r="E413" i="3"/>
  <c r="E464" i="3"/>
  <c r="E520" i="3"/>
  <c r="E149" i="3"/>
  <c r="R6"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E29" i="6"/>
  <c r="G30" i="6"/>
  <c r="G31" i="6" s="1"/>
  <c r="AZ586" i="3"/>
  <c r="BL5" i="3"/>
  <c r="AZ502" i="3"/>
  <c r="AZ508" i="3"/>
  <c r="AZ511" i="3"/>
  <c r="AZ512" i="3"/>
  <c r="AZ514" i="3"/>
  <c r="AZ515" i="3"/>
  <c r="AZ516" i="3"/>
  <c r="AZ518" i="3"/>
  <c r="AZ519" i="3"/>
  <c r="AZ522" i="3"/>
  <c r="B19" i="71"/>
  <c r="B18" i="71" s="1"/>
  <c r="B17" i="71" s="1"/>
  <c r="B16" i="71" s="1"/>
  <c r="S16" i="71" s="1"/>
  <c r="S20" i="71"/>
  <c r="D31" i="71"/>
  <c r="C32" i="71"/>
  <c r="E108" i="3"/>
  <c r="E100" i="3"/>
  <c r="E98" i="3"/>
  <c r="E94" i="3"/>
  <c r="E87" i="3"/>
  <c r="E83" i="3"/>
  <c r="E78" i="3"/>
  <c r="E64" i="3"/>
  <c r="E59" i="3"/>
  <c r="E48" i="3"/>
  <c r="C70" i="71"/>
  <c r="D70" i="71" s="1"/>
  <c r="D71" i="71"/>
  <c r="D51" i="71"/>
  <c r="C52" i="71"/>
  <c r="D43" i="71"/>
  <c r="C44" i="71"/>
  <c r="D35" i="71"/>
  <c r="C36" i="71"/>
  <c r="E37" i="3"/>
  <c r="E34" i="3"/>
  <c r="E123" i="3"/>
  <c r="E300" i="3"/>
  <c r="E292" i="3"/>
  <c r="E258" i="3"/>
  <c r="E251" i="3"/>
  <c r="E249" i="3"/>
  <c r="E235" i="3"/>
  <c r="E233" i="3"/>
  <c r="E339" i="3"/>
  <c r="E479" i="3"/>
  <c r="E470" i="3"/>
  <c r="E463" i="3"/>
  <c r="E452" i="3"/>
  <c r="E446" i="3"/>
  <c r="E436" i="3"/>
  <c r="E420" i="3"/>
  <c r="E409" i="3"/>
  <c r="E401" i="3"/>
  <c r="E540" i="3"/>
  <c r="D39" i="71"/>
  <c r="C40" i="71"/>
  <c r="W33" i="40"/>
  <c r="AC33" i="40"/>
  <c r="U27" i="40"/>
  <c r="AB27" i="40"/>
  <c r="AB30" i="33"/>
  <c r="U30" i="33"/>
  <c r="U27" i="33"/>
  <c r="AB27" i="33"/>
  <c r="AC9" i="33"/>
  <c r="W9" i="33"/>
  <c r="U13" i="39"/>
  <c r="AB13" i="39"/>
  <c r="AA24" i="35"/>
  <c r="S24" i="35"/>
  <c r="D121" i="9"/>
  <c r="D7" i="52" s="1"/>
  <c r="D6" i="52"/>
  <c r="U9" i="21"/>
  <c r="AB9" i="21"/>
  <c r="AZ573" i="3"/>
  <c r="AC9" i="36"/>
  <c r="W9" i="36"/>
  <c r="AB9" i="33"/>
  <c r="U9" i="33"/>
  <c r="C31" i="12"/>
  <c r="F32" i="83"/>
  <c r="F60" i="83" s="1"/>
  <c r="F28" i="83"/>
  <c r="C28" i="83" s="1"/>
  <c r="M18" i="83"/>
  <c r="S17" i="21"/>
  <c r="U43" i="21"/>
  <c r="C27" i="71"/>
  <c r="D28" i="71"/>
  <c r="U28" i="71" s="1"/>
  <c r="T28" i="71"/>
  <c r="E104" i="3"/>
  <c r="E95" i="3"/>
  <c r="E86" i="3"/>
  <c r="E84" i="3"/>
  <c r="E82" i="3"/>
  <c r="E63" i="3"/>
  <c r="E60" i="3"/>
  <c r="E58" i="3"/>
  <c r="E56" i="3"/>
  <c r="E47" i="3"/>
  <c r="C78" i="71"/>
  <c r="D78" i="71" s="1"/>
  <c r="D79" i="71"/>
  <c r="D63" i="71"/>
  <c r="C64" i="71"/>
  <c r="C56" i="71"/>
  <c r="D55" i="71"/>
  <c r="E27" i="71"/>
  <c r="E26" i="71" s="1"/>
  <c r="V28" i="71"/>
  <c r="E38" i="3"/>
  <c r="E33" i="3"/>
  <c r="E148" i="3"/>
  <c r="E140" i="3"/>
  <c r="E116" i="3"/>
  <c r="E299" i="3"/>
  <c r="E250" i="3"/>
  <c r="E248" i="3"/>
  <c r="E234" i="3"/>
  <c r="E232" i="3"/>
  <c r="E392" i="3"/>
  <c r="AZ487" i="3"/>
  <c r="AZ481" i="3"/>
  <c r="E459" i="3"/>
  <c r="AZ454" i="3"/>
  <c r="E442" i="3"/>
  <c r="AZ422" i="3"/>
  <c r="E416" i="3"/>
  <c r="E408" i="3"/>
  <c r="AZ536" i="3"/>
  <c r="AA33" i="40"/>
  <c r="S33" i="40"/>
  <c r="S27" i="40"/>
  <c r="AA27" i="40"/>
  <c r="AC30" i="33"/>
  <c r="W30" i="33"/>
  <c r="AA27" i="33"/>
  <c r="S27" i="33"/>
  <c r="AA27" i="21"/>
  <c r="S27" i="21"/>
  <c r="AC12" i="21"/>
  <c r="W12" i="21"/>
  <c r="AZ547" i="3"/>
  <c r="AZ558" i="3"/>
  <c r="AA9" i="36"/>
  <c r="S9" i="36"/>
  <c r="AA43" i="21"/>
  <c r="AB42" i="21"/>
  <c r="O6" i="1"/>
  <c r="U29" i="21"/>
  <c r="AB29" i="21"/>
  <c r="AC42" i="21"/>
  <c r="W42" i="21"/>
  <c r="S42" i="21"/>
  <c r="AA42" i="21"/>
  <c r="F11" i="83"/>
  <c r="M11" i="83"/>
  <c r="J10" i="83" s="1"/>
  <c r="N94" i="46"/>
  <c r="J26" i="43"/>
  <c r="N370" i="46"/>
  <c r="G26" i="43"/>
  <c r="D26" i="43" s="1"/>
  <c r="C25" i="43" s="1"/>
  <c r="S26" i="21"/>
  <c r="AA26" i="21"/>
  <c r="U23" i="21"/>
  <c r="AB23" i="21"/>
  <c r="AB12" i="21"/>
  <c r="U12" i="21"/>
  <c r="S13" i="21"/>
  <c r="AA13" i="21"/>
  <c r="W13" i="21"/>
  <c r="AC13" i="21"/>
  <c r="AC9" i="21"/>
  <c r="W9" i="21"/>
  <c r="C48" i="69"/>
  <c r="C30" i="69"/>
  <c r="F48" i="9"/>
  <c r="O52" i="9" s="1"/>
  <c r="F30" i="68"/>
  <c r="F32" i="15"/>
  <c r="F60" i="15" s="1"/>
  <c r="F52" i="9"/>
  <c r="F54" i="9"/>
  <c r="F53" i="9"/>
  <c r="F30" i="11"/>
  <c r="M18" i="67"/>
  <c r="M18" i="15"/>
  <c r="F28" i="67"/>
  <c r="C28" i="67" s="1"/>
  <c r="F28" i="15"/>
  <c r="C28" i="15" s="1"/>
  <c r="F7" i="36"/>
  <c r="S7" i="36" s="1"/>
  <c r="J7" i="37"/>
  <c r="H7" i="36"/>
  <c r="AB7" i="36" s="1"/>
  <c r="T36" i="36" s="1"/>
  <c r="G36" i="36" s="1"/>
  <c r="B66" i="71"/>
  <c r="N67" i="71"/>
  <c r="AB39" i="40"/>
  <c r="U39" i="40"/>
  <c r="W44" i="39"/>
  <c r="AC44" i="39"/>
  <c r="U44" i="39"/>
  <c r="AB44" i="39"/>
  <c r="AB26" i="37"/>
  <c r="U26" i="37"/>
  <c r="AB35" i="35"/>
  <c r="U35" i="35"/>
  <c r="AC35" i="35"/>
  <c r="W35" i="35"/>
  <c r="S25" i="35"/>
  <c r="AA25" i="35"/>
  <c r="U13" i="35"/>
  <c r="AB13" i="35"/>
  <c r="S13" i="35"/>
  <c r="AA13" i="35"/>
  <c r="S47" i="34"/>
  <c r="AA47" i="34"/>
  <c r="S45" i="34"/>
  <c r="AA45" i="34"/>
  <c r="U45" i="34"/>
  <c r="AB45" i="34"/>
  <c r="U31" i="34"/>
  <c r="AB31" i="34"/>
  <c r="AB29" i="34"/>
  <c r="U29" i="34"/>
  <c r="AA13" i="34"/>
  <c r="S13" i="34"/>
  <c r="U13" i="34"/>
  <c r="AB13" i="34"/>
  <c r="AA46" i="33"/>
  <c r="S46" i="33"/>
  <c r="AA44" i="33"/>
  <c r="S44" i="33"/>
  <c r="W14" i="33"/>
  <c r="AC14" i="33"/>
  <c r="U14" i="33"/>
  <c r="AB14" i="33"/>
  <c r="AC12" i="33"/>
  <c r="W12" i="33"/>
  <c r="W45" i="21"/>
  <c r="AC45" i="21"/>
  <c r="S30" i="21"/>
  <c r="AA30" i="21"/>
  <c r="U14" i="21"/>
  <c r="AB14" i="21"/>
  <c r="W14" i="21"/>
  <c r="AC14" i="21"/>
  <c r="AC38" i="40"/>
  <c r="W38" i="40"/>
  <c r="AA14" i="40"/>
  <c r="S14" i="40"/>
  <c r="U14" i="40"/>
  <c r="AB14" i="40"/>
  <c r="AC12" i="40"/>
  <c r="W12" i="40"/>
  <c r="AC38" i="37"/>
  <c r="W38" i="37"/>
  <c r="AB28" i="37"/>
  <c r="U28" i="37"/>
  <c r="AA28" i="37"/>
  <c r="S28" i="37"/>
  <c r="W27" i="34"/>
  <c r="AC27" i="34"/>
  <c r="AC26" i="33"/>
  <c r="W26" i="33"/>
  <c r="BA5" i="3"/>
  <c r="AZ552" i="3"/>
  <c r="AZ553" i="3"/>
  <c r="AZ568" i="3"/>
  <c r="AZ569" i="3"/>
  <c r="AZ578" i="3"/>
  <c r="AZ583" i="3"/>
  <c r="U36" i="39"/>
  <c r="AB36" i="39"/>
  <c r="AB32" i="40"/>
  <c r="U32" i="40"/>
  <c r="W32" i="40"/>
  <c r="AC32" i="40"/>
  <c r="AA31" i="39"/>
  <c r="S31" i="39"/>
  <c r="AA25" i="37"/>
  <c r="S25" i="37"/>
  <c r="U25" i="37"/>
  <c r="AB25" i="37"/>
  <c r="S24" i="36"/>
  <c r="AA24" i="36"/>
  <c r="S12" i="36"/>
  <c r="AA12" i="36"/>
  <c r="W12" i="36"/>
  <c r="AC12" i="36"/>
  <c r="AC23" i="35"/>
  <c r="W23" i="35"/>
  <c r="S31" i="21"/>
  <c r="AA31" i="21"/>
  <c r="AB31" i="21"/>
  <c r="U31" i="21"/>
  <c r="AA28" i="21"/>
  <c r="S28" i="21"/>
  <c r="B15" i="71"/>
  <c r="B14" i="71" s="1"/>
  <c r="B13" i="71" s="1"/>
  <c r="B12" i="71" s="1"/>
  <c r="C23" i="71"/>
  <c r="T24" i="71"/>
  <c r="D24" i="71"/>
  <c r="U24" i="71" s="1"/>
  <c r="AC39" i="40"/>
  <c r="W39" i="40"/>
  <c r="AA44" i="39"/>
  <c r="S44" i="39"/>
  <c r="AA26" i="37"/>
  <c r="S26" i="37"/>
  <c r="AC26" i="37"/>
  <c r="W26" i="37"/>
  <c r="AA35" i="35"/>
  <c r="S35" i="35"/>
  <c r="AB25" i="35"/>
  <c r="U25" i="35"/>
  <c r="W25" i="35"/>
  <c r="AC25" i="35"/>
  <c r="AC13" i="35"/>
  <c r="W13" i="35"/>
  <c r="W47" i="34"/>
  <c r="AC47" i="34"/>
  <c r="U47" i="34"/>
  <c r="AB47" i="34"/>
  <c r="AC45" i="34"/>
  <c r="W45" i="34"/>
  <c r="S31" i="34"/>
  <c r="AA31" i="34"/>
  <c r="W31" i="34"/>
  <c r="AC31" i="34"/>
  <c r="S29" i="34"/>
  <c r="AA29" i="34"/>
  <c r="W13" i="34"/>
  <c r="AC13" i="34"/>
  <c r="AB46" i="33"/>
  <c r="U46" i="33"/>
  <c r="AC46" i="33"/>
  <c r="W46" i="33"/>
  <c r="W44" i="33"/>
  <c r="AC44" i="33"/>
  <c r="AA14" i="33"/>
  <c r="S14" i="33"/>
  <c r="U12" i="33"/>
  <c r="AB12" i="33"/>
  <c r="AA45" i="21"/>
  <c r="S45" i="21"/>
  <c r="AC30" i="21"/>
  <c r="W30" i="21"/>
  <c r="AB30" i="21"/>
  <c r="U30" i="21"/>
  <c r="AA14" i="21"/>
  <c r="S14" i="21"/>
  <c r="AZ494" i="3"/>
  <c r="AZ496" i="3"/>
  <c r="AZ500" i="3"/>
  <c r="U38" i="40"/>
  <c r="AB38" i="40"/>
  <c r="S38" i="40"/>
  <c r="AA38" i="40"/>
  <c r="W14" i="40"/>
  <c r="AC14" i="40"/>
  <c r="S12" i="40"/>
  <c r="AA12" i="40"/>
  <c r="S38" i="37"/>
  <c r="AA38" i="37"/>
  <c r="AB38" i="37"/>
  <c r="U38" i="37"/>
  <c r="AC28" i="37"/>
  <c r="W28" i="37"/>
  <c r="AA27" i="34"/>
  <c r="S27" i="34"/>
  <c r="U26" i="33"/>
  <c r="AB26" i="33"/>
  <c r="AC36" i="39"/>
  <c r="W36" i="39"/>
  <c r="S36" i="39"/>
  <c r="AA36" i="39"/>
  <c r="S32" i="40"/>
  <c r="AA32" i="40"/>
  <c r="W31" i="39"/>
  <c r="AC31" i="39"/>
  <c r="AB31" i="39"/>
  <c r="U31" i="39"/>
  <c r="S14" i="39"/>
  <c r="AA14" i="39"/>
  <c r="W25" i="37"/>
  <c r="AC25" i="37"/>
  <c r="AB24" i="36"/>
  <c r="U24" i="36"/>
  <c r="AC24" i="36"/>
  <c r="W24" i="36"/>
  <c r="U12" i="36"/>
  <c r="AB12" i="36"/>
  <c r="AA23" i="35"/>
  <c r="S23" i="35"/>
  <c r="U23" i="35"/>
  <c r="AB23" i="35"/>
  <c r="AC31" i="21"/>
  <c r="W31" i="21"/>
  <c r="AC28" i="21"/>
  <c r="W28" i="21"/>
  <c r="AB28" i="21"/>
  <c r="U28" i="21"/>
  <c r="E15" i="71"/>
  <c r="E14" i="71" s="1"/>
  <c r="E13" i="71" s="1"/>
  <c r="E12" i="71" s="1"/>
  <c r="V16" i="71"/>
  <c r="E61" i="43"/>
  <c r="B59" i="43" s="1"/>
  <c r="B116" i="43"/>
  <c r="Z7" i="43"/>
  <c r="E56" i="39"/>
  <c r="H7" i="34"/>
  <c r="AB7" i="34" s="1"/>
  <c r="T49" i="34" s="1"/>
  <c r="G49" i="34" s="1"/>
  <c r="E67" i="39"/>
  <c r="E69" i="39" s="1"/>
  <c r="J7" i="34"/>
  <c r="W7" i="34" s="1"/>
  <c r="F7" i="34"/>
  <c r="S7" i="34" s="1"/>
  <c r="AA26" i="35"/>
  <c r="S26" i="35"/>
  <c r="AC26" i="35"/>
  <c r="W26" i="35"/>
  <c r="AB26" i="35"/>
  <c r="U26" i="35"/>
  <c r="E61" i="39"/>
  <c r="E56" i="40"/>
  <c r="C47" i="69"/>
  <c r="D45" i="69" s="1"/>
  <c r="C9" i="69"/>
  <c r="E72" i="43"/>
  <c r="B70" i="43" s="1"/>
  <c r="C29" i="69"/>
  <c r="D27" i="69" s="1"/>
  <c r="F45" i="69"/>
  <c r="F27" i="11"/>
  <c r="C29" i="11" s="1"/>
  <c r="D27" i="11" s="1"/>
  <c r="F28" i="12"/>
  <c r="C29" i="12" s="1"/>
  <c r="D28" i="12" s="1"/>
  <c r="E60" i="40"/>
  <c r="E27" i="6"/>
  <c r="K26" i="6" s="1"/>
  <c r="M26" i="6" s="1"/>
  <c r="I26" i="6" s="1"/>
  <c r="S26" i="6" s="1"/>
  <c r="E51" i="40"/>
  <c r="AC6" i="3"/>
  <c r="E58" i="40"/>
  <c r="E62" i="39"/>
  <c r="M14" i="1"/>
  <c r="D5" i="43"/>
  <c r="H10" i="39"/>
  <c r="U10" i="39" s="1"/>
  <c r="J10" i="39"/>
  <c r="W10" i="39" s="1"/>
  <c r="C7" i="43"/>
  <c r="C5" i="43" s="1"/>
  <c r="D10" i="52"/>
  <c r="D125" i="9"/>
  <c r="D11" i="52" s="1"/>
  <c r="B7" i="74"/>
  <c r="C7" i="74" s="1"/>
  <c r="F59" i="67"/>
  <c r="H7" i="37"/>
  <c r="AB7" i="37" s="1"/>
  <c r="T42" i="37" s="1"/>
  <c r="G42" i="37" s="1"/>
  <c r="B40" i="1"/>
  <c r="AA10" i="39"/>
  <c r="H7" i="33"/>
  <c r="J7" i="33"/>
  <c r="D65" i="40"/>
  <c r="E63" i="40"/>
  <c r="F48" i="35"/>
  <c r="AA7" i="36"/>
  <c r="R36" i="36" s="1"/>
  <c r="AC7" i="37"/>
  <c r="V42" i="37" s="1"/>
  <c r="I42" i="37" s="1"/>
  <c r="W7" i="37"/>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M24" i="83"/>
  <c r="L48" i="83"/>
  <c r="M28" i="83"/>
  <c r="F8" i="83"/>
  <c r="F36" i="83"/>
  <c r="F37" i="83"/>
  <c r="M22" i="83"/>
  <c r="M26" i="83"/>
  <c r="J15" i="83"/>
  <c r="M29" i="83"/>
  <c r="L47" i="83"/>
  <c r="M6" i="83"/>
  <c r="M9" i="83"/>
  <c r="AE6" i="1"/>
  <c r="M23" i="83"/>
  <c r="F38" i="83"/>
  <c r="F16" i="83"/>
  <c r="F13" i="83"/>
  <c r="M8" i="83"/>
  <c r="C76" i="83"/>
  <c r="F40" i="83"/>
  <c r="H10" i="40" l="1"/>
  <c r="AB10" i="40" s="1"/>
  <c r="F10" i="40"/>
  <c r="S10" i="40" s="1"/>
  <c r="J10" i="40"/>
  <c r="AC10" i="40" s="1"/>
  <c r="E16" i="6"/>
  <c r="H6" i="3"/>
  <c r="E63" i="39"/>
  <c r="E65" i="39" s="1"/>
  <c r="E59" i="40"/>
  <c r="J6" i="83"/>
  <c r="M17" i="83"/>
  <c r="L59" i="83"/>
  <c r="M59" i="83"/>
  <c r="N59" i="83"/>
  <c r="L58" i="83"/>
  <c r="F64" i="83"/>
  <c r="F65" i="83"/>
  <c r="F66" i="83"/>
  <c r="L60" i="83"/>
  <c r="J59" i="83"/>
  <c r="J60" i="83"/>
  <c r="Q48" i="83" s="1"/>
  <c r="J53" i="83"/>
  <c r="L56" i="83" s="1"/>
  <c r="J57" i="83"/>
  <c r="J55" i="83" s="1"/>
  <c r="J58" i="83" s="1"/>
  <c r="Q50" i="83" s="1"/>
  <c r="F68" i="83"/>
  <c r="Q71" i="83"/>
  <c r="F31" i="83"/>
  <c r="C6" i="83"/>
  <c r="C10" i="83" s="1"/>
  <c r="C5" i="83" s="1"/>
  <c r="F51" i="83"/>
  <c r="C28" i="43"/>
  <c r="T15" i="43" s="1"/>
  <c r="V15" i="43" s="1"/>
  <c r="J5" i="83"/>
  <c r="J26" i="83" s="1"/>
  <c r="D56" i="71"/>
  <c r="T56" i="71"/>
  <c r="D40" i="71"/>
  <c r="T40" i="71"/>
  <c r="K15" i="1"/>
  <c r="K16" i="1" s="1"/>
  <c r="L19" i="6"/>
  <c r="L27" i="6" s="1"/>
  <c r="U7" i="36"/>
  <c r="F67" i="39"/>
  <c r="E30" i="6"/>
  <c r="AZ5" i="3"/>
  <c r="D64" i="71"/>
  <c r="T64" i="71"/>
  <c r="C26" i="71"/>
  <c r="D26" i="71" s="1"/>
  <c r="D27" i="71"/>
  <c r="D36" i="71"/>
  <c r="T36" i="71"/>
  <c r="D44" i="71"/>
  <c r="T44" i="71"/>
  <c r="D52" i="71"/>
  <c r="T52" i="71"/>
  <c r="D32" i="71"/>
  <c r="T32" i="71"/>
  <c r="L36" i="43"/>
  <c r="P36" i="43" s="1"/>
  <c r="F24" i="83"/>
  <c r="C53" i="83"/>
  <c r="F48" i="68"/>
  <c r="C48" i="68"/>
  <c r="C30" i="68"/>
  <c r="C48" i="11"/>
  <c r="C30" i="11"/>
  <c r="N65" i="71"/>
  <c r="N66" i="71"/>
  <c r="E11" i="71"/>
  <c r="E10" i="71" s="1"/>
  <c r="E9" i="71" s="1"/>
  <c r="E8" i="71" s="1"/>
  <c r="E7" i="71" s="1"/>
  <c r="E6" i="71" s="1"/>
  <c r="E5" i="71" s="1"/>
  <c r="V12" i="71"/>
  <c r="C22" i="71"/>
  <c r="D23" i="71"/>
  <c r="B11" i="71"/>
  <c r="B10" i="71" s="1"/>
  <c r="B9" i="71" s="1"/>
  <c r="B8" i="71" s="1"/>
  <c r="B7" i="71" s="1"/>
  <c r="B6" i="71" s="1"/>
  <c r="B5" i="71" s="1"/>
  <c r="S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3" i="43"/>
  <c r="V13" i="43" s="1"/>
  <c r="T9" i="43"/>
  <c r="V9" i="43" s="1"/>
  <c r="T16" i="43"/>
  <c r="V16" i="43" s="1"/>
  <c r="T12" i="43"/>
  <c r="V12" i="43" s="1"/>
  <c r="T8" i="43"/>
  <c r="V8" i="43" s="1"/>
  <c r="T3" i="43"/>
  <c r="V3" i="43" s="1"/>
  <c r="T6" i="43"/>
  <c r="V6" i="43" s="1"/>
  <c r="C33" i="43"/>
  <c r="C37" i="43"/>
  <c r="K21" i="6"/>
  <c r="S8" i="1" s="1"/>
  <c r="E8" i="70" s="1"/>
  <c r="F45" i="68"/>
  <c r="C47" i="68"/>
  <c r="D45" i="68" s="1"/>
  <c r="C29" i="68"/>
  <c r="D27" i="68" s="1"/>
  <c r="K25" i="6"/>
  <c r="K20" i="6"/>
  <c r="K23" i="6"/>
  <c r="K22" i="6"/>
  <c r="E31" i="6"/>
  <c r="K24" i="6"/>
  <c r="K19" i="6"/>
  <c r="S6" i="1" s="1"/>
  <c r="O14" i="1"/>
  <c r="O16" i="1" s="1"/>
  <c r="M16" i="1"/>
  <c r="D3" i="21"/>
  <c r="M18" i="9"/>
  <c r="B118" i="9" s="1"/>
  <c r="B1" i="74" s="1"/>
  <c r="C39" i="43"/>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C17" i="83"/>
  <c r="C16" i="83"/>
  <c r="F41" i="67"/>
  <c r="M27" i="15"/>
  <c r="F41" i="15"/>
  <c r="F41" i="83"/>
  <c r="M27" i="83"/>
  <c r="M27" i="67"/>
  <c r="E3" i="6" l="1"/>
  <c r="AY6" i="3"/>
  <c r="J24" i="83"/>
  <c r="C31" i="83"/>
  <c r="Q60" i="83"/>
  <c r="Q73" i="83"/>
  <c r="C42" i="43"/>
  <c r="E42" i="43" s="1"/>
  <c r="D3" i="37"/>
  <c r="C17" i="4"/>
  <c r="B4" i="52" s="1"/>
  <c r="B43" i="72" s="1"/>
  <c r="D19" i="11"/>
  <c r="C19" i="11" s="1"/>
  <c r="C24" i="11" s="1"/>
  <c r="C41" i="43"/>
  <c r="C40" i="43"/>
  <c r="G40" i="43" s="1"/>
  <c r="I40" i="43" s="1"/>
  <c r="T5" i="43"/>
  <c r="V5" i="43" s="1"/>
  <c r="T2" i="43"/>
  <c r="V2" i="43" s="1"/>
  <c r="T4" i="43"/>
  <c r="V4" i="43" s="1"/>
  <c r="T10" i="43"/>
  <c r="V10" i="43" s="1"/>
  <c r="T14" i="43"/>
  <c r="V14" i="43" s="1"/>
  <c r="T7" i="43"/>
  <c r="V7" i="43" s="1"/>
  <c r="T11" i="43"/>
  <c r="V11" i="43" s="1"/>
  <c r="C49" i="83"/>
  <c r="C48" i="83" s="1"/>
  <c r="C66" i="83" s="1"/>
  <c r="F59" i="83"/>
  <c r="F1" i="83"/>
  <c r="Q52" i="83"/>
  <c r="Q66" i="83"/>
  <c r="Q57" i="83"/>
  <c r="Q74" i="83"/>
  <c r="Q61" i="83"/>
  <c r="J17" i="83"/>
  <c r="J19" i="83"/>
  <c r="J18" i="83"/>
  <c r="L37" i="43"/>
  <c r="P37" i="43" s="1"/>
  <c r="F69" i="83"/>
  <c r="J29" i="83"/>
  <c r="O36" i="43"/>
  <c r="N36" i="43"/>
  <c r="M36" i="43"/>
  <c r="Q36" i="43"/>
  <c r="C38" i="83"/>
  <c r="C24" i="83"/>
  <c r="F69" i="67"/>
  <c r="D116" i="43"/>
  <c r="C21" i="71"/>
  <c r="D22"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L16" i="1"/>
  <c r="G42" i="43"/>
  <c r="I42" i="43" s="1"/>
  <c r="H67" i="39"/>
  <c r="G69" i="39"/>
  <c r="E41" i="43"/>
  <c r="G41" i="43"/>
  <c r="I41" i="43" s="1"/>
  <c r="E37" i="43"/>
  <c r="G37" i="43"/>
  <c r="I37" i="43" s="1"/>
  <c r="G38" i="43"/>
  <c r="I38" i="43" s="1"/>
  <c r="E38" i="43"/>
  <c r="E40" i="43"/>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6" i="11"/>
  <c r="D22" i="11" s="1"/>
  <c r="C66" i="67"/>
  <c r="C60" i="67"/>
  <c r="C14" i="67"/>
  <c r="C17" i="67"/>
  <c r="D10" i="69"/>
  <c r="C14" i="83"/>
  <c r="C34" i="69"/>
  <c r="C17" i="15"/>
  <c r="AY83" i="3" l="1"/>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427"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87" i="3"/>
  <c r="AY144" i="3"/>
  <c r="AY152" i="3"/>
  <c r="AY253" i="3"/>
  <c r="AY303" i="3"/>
  <c r="AY74" i="3"/>
  <c r="AY363" i="3"/>
  <c r="AY409" i="3"/>
  <c r="AY228" i="3"/>
  <c r="AY465" i="3"/>
  <c r="BK6" i="3"/>
  <c r="AY108" i="3"/>
  <c r="AY28" i="3"/>
  <c r="AY138" i="3"/>
  <c r="AY294" i="3"/>
  <c r="AY214" i="3"/>
  <c r="AY554" i="3"/>
  <c r="AY24" i="3"/>
  <c r="AY290" i="3"/>
  <c r="AY349" i="3"/>
  <c r="AY488"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34" i="3"/>
  <c r="AY95" i="3"/>
  <c r="AY111" i="3"/>
  <c r="AY382" i="3"/>
  <c r="AY196" i="3"/>
  <c r="AY204" i="3"/>
  <c r="AY470" i="3"/>
  <c r="AY180" i="3"/>
  <c r="AY358" i="3"/>
  <c r="AY433" i="3"/>
  <c r="AY541" i="3"/>
  <c r="AY45" i="3"/>
  <c r="AY201" i="3"/>
  <c r="AY118" i="3"/>
  <c r="AY231" i="3"/>
  <c r="AY381" i="3"/>
  <c r="AY104" i="3"/>
  <c r="AY177" i="3"/>
  <c r="AY210" i="3"/>
  <c r="AY332" i="3"/>
  <c r="AY446"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443" i="3"/>
  <c r="BT6" i="3"/>
  <c r="AY307" i="3"/>
  <c r="AY521" i="3"/>
  <c r="C20" i="11"/>
  <c r="C28" i="11" s="1"/>
  <c r="C27" i="11" s="1"/>
  <c r="D37" i="11"/>
  <c r="D14" i="12"/>
  <c r="D17" i="12" s="1"/>
  <c r="C17" i="12" s="1"/>
  <c r="D3" i="34"/>
  <c r="E6" i="6"/>
  <c r="D3" i="33"/>
  <c r="C15" i="83"/>
  <c r="C18" i="83"/>
  <c r="C59" i="83"/>
  <c r="O37" i="43"/>
  <c r="M37" i="43"/>
  <c r="N37" i="43"/>
  <c r="Q37" i="43"/>
  <c r="H24" i="6"/>
  <c r="C25" i="11"/>
  <c r="C22" i="11" s="1"/>
  <c r="C31" i="11" s="1"/>
  <c r="C20" i="71"/>
  <c r="D21" i="71"/>
  <c r="C18" i="67"/>
  <c r="C15" i="67"/>
  <c r="H23" i="6"/>
  <c r="C30" i="43"/>
  <c r="B2" i="43" s="1"/>
  <c r="B3" i="43" s="1"/>
  <c r="C31" i="43"/>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D8" i="74"/>
  <c r="D7" i="74"/>
  <c r="C10" i="69"/>
  <c r="C8" i="69" s="1"/>
  <c r="C5" i="69" s="1"/>
  <c r="D19" i="69"/>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D25" i="6" l="1"/>
  <c r="D22" i="6"/>
  <c r="R22" i="6" s="1"/>
  <c r="R9" i="1" s="1"/>
  <c r="D24" i="6"/>
  <c r="R24" i="6" s="1"/>
  <c r="R11" i="1" s="1"/>
  <c r="D26" i="6"/>
  <c r="D14" i="6"/>
  <c r="D9" i="6"/>
  <c r="D29" i="6"/>
  <c r="D19" i="6"/>
  <c r="D23" i="6"/>
  <c r="R23" i="6" s="1"/>
  <c r="R10" i="1" s="1"/>
  <c r="D12" i="6"/>
  <c r="D13" i="6"/>
  <c r="E61" i="40"/>
  <c r="D15" i="6"/>
  <c r="D21" i="6"/>
  <c r="R21" i="6" s="1"/>
  <c r="R8" i="1" s="1"/>
  <c r="D20" i="6"/>
  <c r="D8" i="6"/>
  <c r="D6" i="6"/>
  <c r="D10" i="6"/>
  <c r="H21" i="6"/>
  <c r="C18" i="4"/>
  <c r="D5" i="6"/>
  <c r="D11" i="6"/>
  <c r="D28" i="6"/>
  <c r="D30" i="6" s="1"/>
  <c r="H26" i="6"/>
  <c r="H20" i="6"/>
  <c r="R20" i="6" s="1"/>
  <c r="R7" i="1" s="1"/>
  <c r="H25" i="6"/>
  <c r="H22" i="6"/>
  <c r="D10" i="11"/>
  <c r="C10" i="11" s="1"/>
  <c r="D20" i="12"/>
  <c r="C20" i="12" s="1"/>
  <c r="C18" i="12" s="1"/>
  <c r="D10" i="68"/>
  <c r="C19" i="83"/>
  <c r="C20" i="83" s="1"/>
  <c r="C19" i="71"/>
  <c r="T20" i="71"/>
  <c r="D20" i="71"/>
  <c r="U20" i="71" s="1"/>
  <c r="C19" i="67"/>
  <c r="C20" i="67" s="1"/>
  <c r="C26" i="67" s="1"/>
  <c r="T16" i="1"/>
  <c r="C18" i="15"/>
  <c r="C15" i="15"/>
  <c r="C38" i="68"/>
  <c r="C35" i="68"/>
  <c r="C36" i="11"/>
  <c r="C37" i="11"/>
  <c r="C34" i="11"/>
  <c r="C23" i="12"/>
  <c r="C14" i="12"/>
  <c r="C16" i="12" s="1"/>
  <c r="H19" i="6"/>
  <c r="L19" i="9" s="1"/>
  <c r="S19" i="6"/>
  <c r="S27" i="6" s="1"/>
  <c r="I27" i="6"/>
  <c r="C19" i="69"/>
  <c r="C24" i="69" s="1"/>
  <c r="D37" i="69"/>
  <c r="C37" i="69" s="1"/>
  <c r="C33" i="69" s="1"/>
  <c r="C23" i="69"/>
  <c r="E2" i="76"/>
  <c r="B2" i="76"/>
  <c r="I69" i="39"/>
  <c r="J67" i="39"/>
  <c r="I63" i="40"/>
  <c r="H65" i="40"/>
  <c r="I58" i="21"/>
  <c r="J58" i="21" s="1"/>
  <c r="K58" i="21" s="1"/>
  <c r="L58" i="21" s="1"/>
  <c r="M58" i="21" s="1"/>
  <c r="N58" i="21" s="1"/>
  <c r="O58" i="21" s="1"/>
  <c r="H7" i="21" s="1"/>
  <c r="J48" i="35"/>
  <c r="C21" i="12" l="1"/>
  <c r="C22" i="12" s="1"/>
  <c r="D19" i="68"/>
  <c r="C10" i="68"/>
  <c r="A10" i="51"/>
  <c r="B9" i="72" s="1"/>
  <c r="C4" i="52"/>
  <c r="B45" i="72" s="1"/>
  <c r="A7" i="51"/>
  <c r="B7" i="72" s="1"/>
  <c r="D16" i="6"/>
  <c r="M19" i="9"/>
  <c r="C118" i="9" s="1"/>
  <c r="B2" i="74" s="1"/>
  <c r="D27" i="6"/>
  <c r="D31" i="6" s="1"/>
  <c r="R26" i="6"/>
  <c r="R25" i="6"/>
  <c r="R12" i="1" s="1"/>
  <c r="C26" i="83"/>
  <c r="C23" i="83"/>
  <c r="F7" i="21"/>
  <c r="S7" i="21" s="1"/>
  <c r="J7" i="21"/>
  <c r="W7" i="21" s="1"/>
  <c r="C18" i="71"/>
  <c r="D19" i="71"/>
  <c r="C23" i="67"/>
  <c r="C29" i="67" s="1"/>
  <c r="J59" i="67" s="1"/>
  <c r="J60" i="67" s="1"/>
  <c r="Q48" i="67" s="1"/>
  <c r="C19" i="15"/>
  <c r="C20" i="15" s="1"/>
  <c r="C26" i="15" s="1"/>
  <c r="C38" i="11"/>
  <c r="C35" i="11"/>
  <c r="H27" i="6"/>
  <c r="R19" i="6"/>
  <c r="C20" i="69"/>
  <c r="C28" i="69" s="1"/>
  <c r="C27" i="69" s="1"/>
  <c r="C39" i="69"/>
  <c r="C43" i="69" s="1"/>
  <c r="C42" i="69"/>
  <c r="B3" i="76"/>
  <c r="J69" i="39"/>
  <c r="K67" i="39"/>
  <c r="U7" i="21"/>
  <c r="AB7" i="21"/>
  <c r="T48" i="21" s="1"/>
  <c r="G48" i="21" s="1"/>
  <c r="J63" i="40"/>
  <c r="I65" i="40"/>
  <c r="K48" i="35"/>
  <c r="L48" i="35" s="1"/>
  <c r="M48" i="35" s="1"/>
  <c r="N48" i="35" s="1"/>
  <c r="O48" i="35" s="1"/>
  <c r="H7" i="35" s="1"/>
  <c r="C27" i="12" l="1"/>
  <c r="C25" i="12" s="1"/>
  <c r="C30" i="12"/>
  <c r="C28" i="12" s="1"/>
  <c r="I5" i="6"/>
  <c r="I6" i="6"/>
  <c r="C19" i="68"/>
  <c r="D37" i="68"/>
  <c r="C37" i="68" s="1"/>
  <c r="C33" i="68" s="1"/>
  <c r="C39" i="68" s="1"/>
  <c r="C43" i="68" s="1"/>
  <c r="AA7" i="21"/>
  <c r="R48" i="21" s="1"/>
  <c r="E48" i="21" s="1"/>
  <c r="C29" i="83"/>
  <c r="AC7" i="21"/>
  <c r="V48" i="21" s="1"/>
  <c r="I48" i="21" s="1"/>
  <c r="G53" i="21" s="1"/>
  <c r="H53" i="21" s="1"/>
  <c r="J7" i="35"/>
  <c r="W7" i="35" s="1"/>
  <c r="C17" i="71"/>
  <c r="D18"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U7" i="35"/>
  <c r="AB7" i="35"/>
  <c r="T38" i="35" s="1"/>
  <c r="G38" i="35" s="1"/>
  <c r="G52" i="21"/>
  <c r="H52" i="21" s="1"/>
  <c r="F7" i="35"/>
  <c r="F35" i="83"/>
  <c r="F35" i="67"/>
  <c r="M21" i="15"/>
  <c r="F35" i="15"/>
  <c r="M21" i="67"/>
  <c r="M21" i="83"/>
  <c r="C32" i="12" l="1"/>
  <c r="B2" i="12" s="1"/>
  <c r="B3" i="12" s="1"/>
  <c r="C46" i="68"/>
  <c r="C45" i="68" s="1"/>
  <c r="C20" i="68"/>
  <c r="C24" i="68"/>
  <c r="AC7" i="35"/>
  <c r="V38" i="35" s="1"/>
  <c r="I38" i="35" s="1"/>
  <c r="C57" i="83"/>
  <c r="C64" i="83" s="1"/>
  <c r="J14" i="83"/>
  <c r="Q49" i="83"/>
  <c r="C36" i="83"/>
  <c r="C13" i="83"/>
  <c r="I52" i="21"/>
  <c r="J52" i="21" s="1"/>
  <c r="F63" i="83"/>
  <c r="J20" i="83"/>
  <c r="R49" i="21"/>
  <c r="C48" i="21" s="1"/>
  <c r="D17" i="71"/>
  <c r="C16" i="71"/>
  <c r="C56" i="67"/>
  <c r="C65" i="67" s="1"/>
  <c r="J22" i="67"/>
  <c r="C37" i="67"/>
  <c r="C75" i="67"/>
  <c r="C36" i="15"/>
  <c r="J59" i="15"/>
  <c r="J60" i="15" s="1"/>
  <c r="Q48" i="15" s="1"/>
  <c r="C46" i="11"/>
  <c r="C45" i="11" s="1"/>
  <c r="C43" i="11"/>
  <c r="C42" i="11"/>
  <c r="C34" i="67"/>
  <c r="C31" i="67" s="1"/>
  <c r="F63" i="67"/>
  <c r="C62" i="67" s="1"/>
  <c r="C59" i="67" s="1"/>
  <c r="J20" i="67"/>
  <c r="J17" i="67" s="1"/>
  <c r="J19" i="15"/>
  <c r="C41" i="68"/>
  <c r="Q49" i="15"/>
  <c r="C57" i="15"/>
  <c r="J14" i="15"/>
  <c r="J13" i="15" s="1"/>
  <c r="J23" i="15" s="1"/>
  <c r="C13" i="15"/>
  <c r="Q70" i="15" s="1"/>
  <c r="F63" i="15"/>
  <c r="C62" i="15" s="1"/>
  <c r="C34" i="15"/>
  <c r="J20" i="15"/>
  <c r="R16" i="1"/>
  <c r="C49" i="69"/>
  <c r="C51" i="69" s="1"/>
  <c r="C52" i="69" s="1"/>
  <c r="B2" i="69" s="1"/>
  <c r="L69" i="39"/>
  <c r="M67" i="39"/>
  <c r="S7" i="35"/>
  <c r="AA7" i="35"/>
  <c r="R38" i="35" s="1"/>
  <c r="E52" i="21"/>
  <c r="F52" i="21" s="1"/>
  <c r="E53" i="21"/>
  <c r="F53" i="21" s="1"/>
  <c r="G42" i="35"/>
  <c r="H42" i="35" s="1"/>
  <c r="G43" i="35"/>
  <c r="H43" i="35" s="1"/>
  <c r="I53" i="21"/>
  <c r="J53" i="21" s="1"/>
  <c r="K65" i="40"/>
  <c r="L63" i="40"/>
  <c r="I42" i="35"/>
  <c r="J42" i="35" s="1"/>
  <c r="B3" i="69"/>
  <c r="C49" i="68" l="1"/>
  <c r="C51" i="68" s="1"/>
  <c r="C28" i="68"/>
  <c r="C27" i="68" s="1"/>
  <c r="C25" i="68"/>
  <c r="C22" i="68" s="1"/>
  <c r="C49" i="21"/>
  <c r="J22" i="83"/>
  <c r="J13" i="83"/>
  <c r="J23" i="83" s="1"/>
  <c r="Q70" i="83"/>
  <c r="C37" i="83"/>
  <c r="C30" i="83" s="1"/>
  <c r="C39" i="83" s="1"/>
  <c r="C75" i="83"/>
  <c r="C56" i="83"/>
  <c r="C65" i="83" s="1"/>
  <c r="C58" i="83" s="1"/>
  <c r="C67" i="83" s="1"/>
  <c r="C68" i="83" s="1"/>
  <c r="C71" i="83" s="1"/>
  <c r="C15" i="71"/>
  <c r="T16" i="71"/>
  <c r="D16" i="71"/>
  <c r="U16"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3"/>
  <c r="C31" i="68" l="1"/>
  <c r="C52" i="68" s="1"/>
  <c r="B2" i="68" s="1"/>
  <c r="B3" i="68" s="1"/>
  <c r="J16" i="83"/>
  <c r="J25" i="83" s="1"/>
  <c r="Q67" i="83"/>
  <c r="L57" i="83"/>
  <c r="Q69" i="83"/>
  <c r="Q68" i="83" s="1"/>
  <c r="C40" i="83"/>
  <c r="C80" i="83"/>
  <c r="C79" i="83" s="1"/>
  <c r="D15" i="71"/>
  <c r="C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L51" i="67"/>
  <c r="D2" i="33"/>
  <c r="C57" i="68" l="1"/>
  <c r="C56" i="68" s="1"/>
  <c r="C46" i="83"/>
  <c r="Q65" i="83"/>
  <c r="Q75" i="83" s="1"/>
  <c r="B2" i="83"/>
  <c r="B3" i="83" s="1"/>
  <c r="C43" i="83"/>
  <c r="Q56" i="83"/>
  <c r="Q62" i="83" s="1"/>
  <c r="Q47" i="83"/>
  <c r="Q53" i="83" s="1"/>
  <c r="C83" i="83"/>
  <c r="C82" i="83" s="1"/>
  <c r="C102" i="9"/>
  <c r="C21" i="9"/>
  <c r="B3" i="21"/>
  <c r="D14" i="71"/>
  <c r="C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C20" i="9"/>
  <c r="D2" i="34"/>
  <c r="D2" i="37"/>
  <c r="D2" i="36"/>
  <c r="C103" i="9" l="1"/>
  <c r="C12" i="71"/>
  <c r="D13"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AO6" i="1"/>
  <c r="D19" i="9"/>
  <c r="AO9" i="1"/>
  <c r="AO12" i="1"/>
  <c r="AO7" i="1"/>
  <c r="AO10" i="1"/>
  <c r="AO8" i="1"/>
  <c r="F6" i="84" l="1"/>
  <c r="G6" i="84" s="1"/>
  <c r="G19" i="9"/>
  <c r="D22" i="9"/>
  <c r="D102" i="9"/>
  <c r="D21" i="9"/>
  <c r="C11" i="71"/>
  <c r="T12" i="71"/>
  <c r="D12" i="71"/>
  <c r="U12" i="71"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03" i="9"/>
  <c r="G20" i="9"/>
  <c r="C10" i="71"/>
  <c r="D11"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G7" i="84" l="1"/>
  <c r="G8" i="84" s="1"/>
  <c r="G10" i="84" s="1"/>
  <c r="G22" i="9"/>
  <c r="G12" i="84" s="1"/>
  <c r="D14" i="74"/>
  <c r="C32" i="9"/>
  <c r="C35" i="9" s="1"/>
  <c r="C34" i="9" s="1"/>
  <c r="D10" i="71"/>
  <c r="C9" i="71"/>
  <c r="C42" i="40"/>
  <c r="C43" i="40"/>
  <c r="E47" i="40"/>
  <c r="F47" i="40" s="1"/>
  <c r="E46" i="40"/>
  <c r="F46" i="40" s="1"/>
  <c r="I47" i="40"/>
  <c r="J47" i="40" s="1"/>
  <c r="G13" i="84" l="1"/>
  <c r="G14" i="84"/>
  <c r="G9" i="84"/>
  <c r="C8" i="71"/>
  <c r="D9" i="71"/>
  <c r="B58" i="40"/>
  <c r="F58" i="40" s="1"/>
  <c r="B54" i="40"/>
  <c r="F54" i="40" s="1"/>
  <c r="B53" i="40"/>
  <c r="F53" i="40" s="1"/>
  <c r="B59" i="40"/>
  <c r="F59" i="40" s="1"/>
  <c r="B52" i="40"/>
  <c r="F52" i="40" s="1"/>
  <c r="B56" i="40"/>
  <c r="F56" i="40" s="1"/>
  <c r="B60" i="40"/>
  <c r="F60" i="40" s="1"/>
  <c r="B57" i="40"/>
  <c r="F57" i="40" s="1"/>
  <c r="B51" i="40"/>
  <c r="F51" i="40" s="1"/>
  <c r="F61" i="40"/>
  <c r="B2" i="40" s="1"/>
  <c r="B3" i="40" s="1"/>
  <c r="C7" i="71" l="1"/>
  <c r="D8" i="71"/>
  <c r="E14" i="74"/>
  <c r="F14" i="74"/>
  <c r="B5" i="74"/>
  <c r="D5" i="74" s="1"/>
  <c r="D7" i="71" l="1"/>
  <c r="C6" i="71"/>
  <c r="B6" i="74"/>
  <c r="D6" i="74" s="1"/>
  <c r="C5" i="71" l="1"/>
  <c r="D5" i="71" s="1"/>
  <c r="D6" i="71"/>
  <c r="M24" i="43" l="1"/>
  <c r="D9" i="52" l="1"/>
  <c r="D123" i="9"/>
  <c r="H5" i="52"/>
  <c r="H119" i="9"/>
  <c r="B32" i="72"/>
  <c r="D14" i="53"/>
  <c r="B31" i="72"/>
  <c r="D15" i="53"/>
  <c r="B49" i="72"/>
  <c r="D5" i="52"/>
  <c r="D119" i="9"/>
  <c r="B48" i="72"/>
  <c r="E4" i="52"/>
  <c r="B21" i="72"/>
  <c r="D7" i="53"/>
  <c r="B47" i="72"/>
  <c r="E118" i="9"/>
  <c r="D118" i="9"/>
  <c r="D4" i="52"/>
  <c r="C73" i="9"/>
  <c r="C78" i="9"/>
  <c r="B20" i="72"/>
  <c r="D122" i="9"/>
  <c r="D8" i="52"/>
  <c r="B52" i="72"/>
  <c r="G4" i="52"/>
  <c r="B53" i="72"/>
  <c r="F119" i="9"/>
  <c r="F5" i="52"/>
  <c r="M54" i="9"/>
  <c r="C97" i="9"/>
  <c r="D58" i="9"/>
  <c r="D56" i="9"/>
  <c r="N60" i="9"/>
  <c r="N59" i="9"/>
  <c r="N61" i="9"/>
  <c r="D5" i="53"/>
  <c r="D6" i="53"/>
  <c r="B22" i="72"/>
  <c r="C80" i="9"/>
  <c r="E80" i="9"/>
  <c r="E81" i="9"/>
  <c r="C72" i="9"/>
  <c r="C79" i="9"/>
  <c r="C81" i="9"/>
  <c r="M48" i="9"/>
  <c r="P57" i="9"/>
  <c r="D55" i="9"/>
  <c r="M53" i="9"/>
  <c r="N57" i="9"/>
  <c r="N58" i="9"/>
  <c r="D59" i="9"/>
  <c r="M55" i="9"/>
  <c r="I4" i="52"/>
  <c r="C105" i="9"/>
  <c r="G118" i="9"/>
  <c r="F118" i="9"/>
  <c r="F4" i="52"/>
  <c r="B51" i="72"/>
  <c r="C104" i="9"/>
  <c r="H4" i="52"/>
  <c r="D13" i="53"/>
  <c r="B30" i="72"/>
  <c r="H107" i="9"/>
  <c r="H108" i="9"/>
  <c r="C6" i="74"/>
  <c r="H102" i="9"/>
  <c r="C5" i="74"/>
  <c r="D52" i="9"/>
  <c r="D53" i="9"/>
  <c r="C85" i="9"/>
  <c r="C95" i="9"/>
  <c r="C96" i="9"/>
  <c r="E96" i="9"/>
  <c r="E97" i="9"/>
  <c r="C64" i="9"/>
  <c r="C63" i="9"/>
  <c r="C67" i="9"/>
  <c r="C68" i="9"/>
  <c r="D54" i="9"/>
  <c r="I118" i="9"/>
  <c r="H118" i="9"/>
  <c r="H101" i="9"/>
  <c r="D45" i="9"/>
  <c r="C93" i="9"/>
  <c r="C8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B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3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C16" authorId="1" shapeId="0" xr:uid="{00000000-0006-0000-2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700-000004000000}">
      <text>
        <r>
          <rPr>
            <sz val="12"/>
            <color indexed="81"/>
            <rFont val="宋体"/>
            <family val="3"/>
            <charset val="134"/>
          </rPr>
          <t>1.05~1.1</t>
        </r>
        <r>
          <rPr>
            <sz val="9"/>
            <color indexed="81"/>
            <rFont val="宋体"/>
            <family val="3"/>
            <charset val="134"/>
          </rPr>
          <t xml:space="preserve">
</t>
        </r>
      </text>
    </comment>
    <comment ref="E16" authorId="1" shapeId="0" xr:uid="{00000000-0006-0000-2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color indexed="81"/>
            <rFont val="宋体"/>
            <family val="3"/>
            <charset val="134"/>
          </rPr>
          <t xml:space="preserve">需在此处填写剩余土地年限
</t>
        </r>
      </text>
    </comment>
    <comment ref="C111"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0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0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0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0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<sst xmlns="http://schemas.openxmlformats.org/spreadsheetml/2006/main" count="8406" uniqueCount="3516">
  <si>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</si>
  <si>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</si>
  <si>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</si>
  <si>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</si>
  <si>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</si>
  <si>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</si>
  <si>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</si>
  <si>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</si>
  <si>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</si>
  <si>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</si>
  <si>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</si>
  <si>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</si>
  <si>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</si>
  <si>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</si>
  <si>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</si>
  <si>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</si>
  <si>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</si>
  <si>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</si>
  <si>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</si>
  <si>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</si>
  <si>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</si>
  <si>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</si>
  <si>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</si>
  <si>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</si>
  <si>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</si>
  <si>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</si>
  <si>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</si>
  <si>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</si>
  <si>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</si>
  <si>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</si>
  <si>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</si>
  <si>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</si>
  <si>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</si>
  <si>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</si>
  <si>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</si>
  <si>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</si>
  <si>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</si>
  <si>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</si>
  <si>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</si>
  <si>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</si>
  <si>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</si>
  <si>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</si>
  <si>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</si>
  <si>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</si>
  <si>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</si>
  <si>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</si>
  <si>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</si>
  <si>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</si>
  <si>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</si>
  <si>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</si>
  <si>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</si>
  <si>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</si>
  <si>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</si>
  <si>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</si>
  <si>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</si>
  <si>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</si>
  <si>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</si>
  <si>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</si>
  <si>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</si>
  <si>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</si>
  <si>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</si>
  <si>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</si>
  <si>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</si>
  <si>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</si>
  <si>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</si>
  <si>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</si>
  <si>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</si>
  <si>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</si>
  <si>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</si>
  <si>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</si>
  <si>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</si>
  <si>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</si>
  <si>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</si>
  <si>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</si>
  <si>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</si>
  <si>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</si>
  <si>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</si>
  <si>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</si>
  <si>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</si>
  <si>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</si>
  <si>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</si>
  <si>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</si>
  <si>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</si>
  <si>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</si>
  <si>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</si>
  <si>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</si>
  <si>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</si>
  <si>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</si>
  <si>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</si>
  <si>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</si>
  <si>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</si>
  <si>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</si>
  <si>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</si>
  <si>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</si>
  <si>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</si>
  <si>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</si>
  <si>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</si>
  <si>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</si>
  <si>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</si>
  <si>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</si>
  <si>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</si>
  <si>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</si>
  <si>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</si>
  <si>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</si>
  <si>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</si>
  <si>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</si>
  <si>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</si>
  <si>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</si>
  <si>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</si>
  <si>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</si>
  <si>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</si>
  <si>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</si>
  <si>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</si>
  <si>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</si>
  <si>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</si>
  <si>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</si>
  <si>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</si>
  <si>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</si>
  <si>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</si>
  <si>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</si>
  <si>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</si>
  <si>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</si>
  <si>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</si>
  <si>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</si>
  <si>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</si>
  <si>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</si>
  <si>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</si>
  <si>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</si>
  <si>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</si>
  <si>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</si>
  <si>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</si>
  <si>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</si>
  <si>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</si>
  <si>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</si>
  <si>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</si>
  <si>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</si>
  <si>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</si>
  <si>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</si>
  <si>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</si>
  <si>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</si>
  <si>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</si>
  <si>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</si>
  <si>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</si>
  <si>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</si>
  <si>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</si>
  <si>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</si>
  <si>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</si>
  <si>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</si>
  <si>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</si>
  <si>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</si>
  <si>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</si>
  <si>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</si>
  <si>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</si>
  <si>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</si>
  <si>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</si>
  <si>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</si>
  <si>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</si>
  <si>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</si>
  <si>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</si>
  <si>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</si>
  <si>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</si>
  <si>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</si>
  <si>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</si>
  <si>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</si>
  <si>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</si>
  <si>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</si>
  <si>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</si>
  <si>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</si>
  <si>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</si>
  <si>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</si>
  <si>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</si>
  <si>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</si>
  <si>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</si>
  <si>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</si>
  <si>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</si>
  <si>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</si>
  <si>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</si>
  <si>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</si>
  <si>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</si>
  <si>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</si>
  <si>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</si>
  <si>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</si>
  <si>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</si>
  <si>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</si>
  <si>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</si>
  <si>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</si>
  <si>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</si>
  <si>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</si>
  <si>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</si>
  <si>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</si>
  <si>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</si>
  <si>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</si>
  <si>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</si>
  <si>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</si>
  <si>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</si>
  <si>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</si>
  <si>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</si>
  <si>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</si>
  <si>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</si>
  <si>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</si>
  <si>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</si>
  <si>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</si>
  <si>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</si>
  <si>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</si>
  <si>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</si>
  <si>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</si>
  <si>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</si>
  <si>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</si>
  <si>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</si>
  <si>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</si>
  <si>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</si>
  <si>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</si>
  <si>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</si>
  <si>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</si>
  <si>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</si>
  <si>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</si>
  <si>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</si>
  <si>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</si>
  <si>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</si>
  <si>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</si>
  <si>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</si>
  <si>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</si>
  <si>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</si>
  <si>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</si>
  <si>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</si>
  <si>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</si>
  <si>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</si>
  <si>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</si>
  <si>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</si>
  <si>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</si>
  <si>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</si>
  <si>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</si>
  <si>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</si>
  <si>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</si>
  <si>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</si>
  <si>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</si>
  <si>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</si>
  <si>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</si>
  <si>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</si>
  <si>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</si>
  <si>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</si>
  <si>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</si>
  <si>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</si>
  <si>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</si>
  <si>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</si>
  <si>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</si>
  <si>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</si>
  <si>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</si>
  <si>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</si>
  <si>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</si>
  <si>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</si>
  <si>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</si>
  <si>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</si>
  <si>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</si>
  <si>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</si>
  <si>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</si>
  <si>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</si>
  <si>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</si>
  <si>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</si>
  <si>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</si>
  <si>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</si>
  <si>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</si>
  <si>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</si>
  <si>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</si>
  <si>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</si>
  <si>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</si>
  <si>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</si>
  <si>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</si>
  <si>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</si>
  <si>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</si>
  <si>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</si>
  <si>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</si>
  <si>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</si>
  <si>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</si>
  <si>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</si>
  <si>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</si>
  <si>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</si>
  <si>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</si>
  <si>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</si>
  <si>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</si>
  <si>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</si>
  <si>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</si>
  <si>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</si>
  <si>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</si>
  <si>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</si>
  <si>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</si>
  <si>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</si>
  <si>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</si>
  <si>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</si>
  <si>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</si>
  <si>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</si>
  <si>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</si>
  <si>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</si>
  <si>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</si>
  <si>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</si>
  <si>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</si>
  <si>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</si>
  <si>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</si>
  <si>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</si>
  <si>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</si>
  <si>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</si>
  <si>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</si>
  <si>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</si>
  <si>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</si>
  <si>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</si>
  <si>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</si>
  <si>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</si>
  <si>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</si>
  <si>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</si>
  <si>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</si>
  <si>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</si>
  <si>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</si>
  <si>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</si>
  <si>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</si>
  <si>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</si>
  <si>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</si>
  <si>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</si>
  <si>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</si>
  <si>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</si>
  <si>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</si>
  <si>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</si>
  <si>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</si>
  <si>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</si>
  <si>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</si>
  <si>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</si>
  <si>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</si>
  <si>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</si>
  <si>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</si>
  <si>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</si>
  <si>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</si>
  <si>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</si>
  <si>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</si>
  <si>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</si>
  <si>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</si>
  <si>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</si>
  <si>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</si>
  <si>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</si>
  <si>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</si>
  <si>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</si>
  <si>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</si>
  <si>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</si>
  <si>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</si>
  <si>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</si>
  <si>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</si>
  <si>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</si>
  <si>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</si>
  <si>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</si>
  <si>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</si>
  <si>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</si>
  <si>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</si>
  <si>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</si>
  <si>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</si>
  <si>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</si>
  <si>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</si>
  <si>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</si>
  <si>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</si>
  <si>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</si>
  <si>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</si>
  <si>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</si>
  <si>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</si>
  <si>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</si>
  <si>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</si>
  <si>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</si>
  <si>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</si>
  <si>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</si>
  <si>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</si>
  <si>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</si>
  <si>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</si>
  <si>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</si>
  <si>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</si>
  <si>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</si>
  <si>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</si>
  <si>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</si>
  <si>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</si>
  <si>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</si>
  <si>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</si>
  <si>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</si>
  <si>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</si>
  <si>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</si>
  <si>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</si>
  <si>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</si>
  <si>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</si>
  <si>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</si>
  <si>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</si>
  <si>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</si>
  <si>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</si>
  <si>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</si>
  <si>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</si>
  <si>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</si>
  <si>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</si>
  <si>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</si>
  <si>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</si>
  <si>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</si>
  <si>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</si>
  <si>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</si>
  <si>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</si>
  <si>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</si>
  <si>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</si>
  <si>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</si>
  <si>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</si>
  <si>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</si>
  <si>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</si>
  <si>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</si>
  <si>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</si>
  <si>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</si>
  <si>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</si>
  <si>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</si>
  <si>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</si>
  <si>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</si>
  <si>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</si>
  <si>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</si>
  <si>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</si>
  <si>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</si>
  <si>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</si>
  <si>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</si>
  <si>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</si>
  <si>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</si>
  <si>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</si>
  <si>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</si>
  <si>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</si>
  <si>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</si>
  <si>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</si>
  <si>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</si>
  <si>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</si>
  <si>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</si>
  <si>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</si>
  <si>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</si>
  <si>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</si>
  <si>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</si>
  <si>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</si>
  <si>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</si>
  <si>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</si>
  <si>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</si>
  <si>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</si>
  <si>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</si>
  <si>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</si>
  <si>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</si>
  <si>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</si>
  <si>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</si>
  <si>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</si>
  <si>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</si>
  <si>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</si>
  <si>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</si>
  <si>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</si>
  <si>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</si>
  <si>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</si>
  <si>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</si>
  <si>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</si>
  <si>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</si>
  <si>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</si>
  <si>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</si>
  <si>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</si>
  <si>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</si>
  <si>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</si>
  <si>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</si>
  <si>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</si>
  <si>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</si>
  <si>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</si>
  <si>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</si>
  <si>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</si>
  <si>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</si>
  <si>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</si>
  <si>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</si>
  <si>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</si>
  <si>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</si>
  <si>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</si>
  <si>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</si>
  <si>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</si>
  <si>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</si>
  <si>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</si>
  <si>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</si>
  <si>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</si>
  <si>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</si>
  <si>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</si>
  <si>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</si>
  <si>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</si>
  <si>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</si>
  <si>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</si>
  <si>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</si>
  <si>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</si>
  <si>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</si>
  <si>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</si>
  <si>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</si>
  <si>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</si>
  <si>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</si>
  <si>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</si>
  <si>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</si>
  <si>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</si>
  <si>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</si>
  <si>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</si>
  <si>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</si>
  <si>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</si>
  <si>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</si>
  <si>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</si>
  <si>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</si>
  <si>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</si>
  <si>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</si>
  <si>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</si>
  <si>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</si>
  <si>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</si>
  <si>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</si>
  <si>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</si>
  <si>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</si>
  <si>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</si>
  <si>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</si>
  <si>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</si>
  <si>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</si>
  <si>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</si>
  <si>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</si>
  <si>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</si>
  <si>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</si>
  <si>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</si>
  <si>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</si>
  <si>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</si>
  <si>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</si>
  <si>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</si>
  <si>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</si>
  <si>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</si>
  <si>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</si>
  <si>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</si>
  <si>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</si>
  <si>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</si>
  <si>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</si>
  <si>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</si>
  <si>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</si>
  <si>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</si>
  <si>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</si>
  <si>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</si>
  <si>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</si>
  <si>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</si>
  <si>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</si>
  <si>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</si>
  <si>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</si>
  <si>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</si>
  <si>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</si>
  <si>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</si>
  <si>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</si>
  <si>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</si>
  <si>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</si>
  <si>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</si>
  <si>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</si>
  <si>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</si>
  <si>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</si>
  <si>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</si>
  <si>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</si>
  <si>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</si>
  <si>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</si>
  <si>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</si>
  <si>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</si>
  <si>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</si>
  <si>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</si>
  <si>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</si>
  <si>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</si>
  <si>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</si>
  <si>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</si>
  <si>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</si>
  <si>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</si>
  <si>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</si>
  <si>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</si>
  <si>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</si>
  <si>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</si>
  <si>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</si>
  <si>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</si>
  <si>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</si>
  <si>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</si>
  <si>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</si>
  <si>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</si>
  <si>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</si>
  <si>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</si>
  <si>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</si>
  <si>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</si>
  <si>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</si>
  <si>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</si>
  <si>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</si>
  <si>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</si>
  <si>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</si>
  <si>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</si>
  <si>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</si>
  <si>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</si>
  <si>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</si>
  <si>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</si>
  <si>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</si>
  <si>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</si>
  <si>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</si>
  <si>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</si>
  <si>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</si>
  <si>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</si>
  <si>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</si>
  <si>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</si>
  <si>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</si>
  <si>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</si>
  <si>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</si>
  <si>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</si>
  <si>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</si>
  <si>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</si>
  <si>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</si>
  <si>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</si>
  <si>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</si>
  <si>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</si>
  <si>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</si>
  <si>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</si>
  <si>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</si>
  <si>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</si>
  <si>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</si>
  <si>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</si>
  <si>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</si>
  <si>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</si>
  <si>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</si>
  <si>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</si>
  <si>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</si>
  <si>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</si>
  <si>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</si>
  <si>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</si>
  <si>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</si>
  <si>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</si>
  <si>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</si>
  <si>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</si>
  <si>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</si>
  <si>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</si>
  <si>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</si>
  <si>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</si>
  <si>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</si>
  <si>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</si>
  <si>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</si>
  <si>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</si>
  <si>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</si>
  <si>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</si>
  <si>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</si>
  <si>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</si>
  <si>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</si>
  <si>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</si>
  <si>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</si>
  <si>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</si>
  <si>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</si>
  <si>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</si>
  <si>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</si>
  <si>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</si>
  <si>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</si>
  <si>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</si>
  <si>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</si>
  <si>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</si>
  <si>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</si>
  <si>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</si>
  <si>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</si>
  <si>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</si>
  <si>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</si>
  <si>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</si>
  <si>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</si>
  <si>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</si>
  <si>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</si>
  <si>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</si>
  <si>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</si>
  <si>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</si>
  <si>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</si>
  <si>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</si>
  <si>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</si>
  <si>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</si>
  <si>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</si>
  <si>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</si>
  <si>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</si>
  <si>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</si>
  <si>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</si>
  <si>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</si>
  <si>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</si>
  <si>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</si>
  <si>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</si>
  <si>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</si>
  <si>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</si>
  <si>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</si>
  <si>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</si>
  <si>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</si>
  <si>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</si>
  <si>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</si>
  <si>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</si>
  <si>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</si>
  <si>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</si>
  <si>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</si>
  <si>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</si>
  <si>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</si>
  <si>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</si>
  <si>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</si>
  <si>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</si>
  <si>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</si>
  <si>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</si>
  <si>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</si>
  <si>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</si>
  <si>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</si>
  <si>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</si>
  <si>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</si>
  <si>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</si>
  <si>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</si>
  <si>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</si>
  <si>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</si>
  <si>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</si>
  <si>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</si>
  <si>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</si>
  <si>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</si>
  <si>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</si>
  <si>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</si>
  <si>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</si>
  <si>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</si>
  <si>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</si>
  <si>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</si>
  <si>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</si>
  <si>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</si>
  <si>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</si>
  <si>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</si>
  <si>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</si>
  <si>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</si>
  <si>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</si>
  <si>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</si>
  <si>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</si>
  <si>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</si>
  <si>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</si>
  <si>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</si>
  <si>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</si>
  <si>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</si>
  <si>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</si>
  <si>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</si>
  <si>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</si>
  <si>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</si>
  <si>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</si>
  <si>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</si>
  <si>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</si>
  <si>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</si>
  <si>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</si>
  <si>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</si>
  <si>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</si>
  <si>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</si>
  <si>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</si>
  <si>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</si>
  <si>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</si>
  <si>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</si>
  <si>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</si>
  <si>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</si>
  <si>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</si>
  <si>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</si>
  <si>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</si>
  <si>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</si>
  <si>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</si>
  <si>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</si>
  <si>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</si>
  <si>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</si>
  <si>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</si>
  <si>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</si>
  <si>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</si>
  <si>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</si>
  <si>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</si>
  <si>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</si>
  <si>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</si>
  <si>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</si>
  <si>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</si>
  <si>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</si>
  <si>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</si>
  <si>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</si>
  <si>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</si>
  <si>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</si>
  <si>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</si>
  <si>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</si>
  <si>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</si>
  <si>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</si>
  <si>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</si>
  <si>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</si>
  <si>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</si>
  <si>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</si>
  <si>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</si>
  <si>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</si>
  <si>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</si>
  <si>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</si>
  <si>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</si>
  <si>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</si>
  <si>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</si>
  <si>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</si>
  <si>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</si>
  <si>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</si>
  <si>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</si>
  <si>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</si>
  <si>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</si>
  <si>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</si>
  <si>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</si>
  <si>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</si>
  <si>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</si>
  <si>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</si>
  <si>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</si>
  <si>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</si>
  <si>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</si>
  <si>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</si>
  <si>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</si>
  <si>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</si>
  <si>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</si>
  <si>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</si>
  <si>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</si>
  <si>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</si>
  <si>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</si>
  <si>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</si>
  <si>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</si>
  <si>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</si>
  <si>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</si>
  <si>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</si>
  <si>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</si>
  <si>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</si>
  <si>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</si>
  <si>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</si>
  <si>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</si>
  <si>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</si>
  <si>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</si>
  <si>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</si>
  <si>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</si>
  <si>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</si>
  <si>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</si>
  <si>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</si>
  <si>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</si>
  <si>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</si>
  <si>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</si>
  <si>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</si>
  <si>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</si>
  <si>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</si>
  <si>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</si>
  <si>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</si>
  <si>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</si>
  <si>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</si>
  <si>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</si>
  <si>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</si>
  <si>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</si>
  <si>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</si>
  <si>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</si>
  <si>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</si>
  <si>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</si>
  <si>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</si>
  <si>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</si>
  <si>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</si>
  <si>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</si>
  <si>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</si>
  <si>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</si>
  <si>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</si>
  <si>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</si>
  <si>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</si>
  <si>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</si>
  <si>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</si>
  <si>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</si>
  <si>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</si>
  <si>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</si>
  <si>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</si>
  <si>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</si>
  <si>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</si>
  <si>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</si>
  <si>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</si>
  <si>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</si>
  <si>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</si>
  <si>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</si>
  <si>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</si>
  <si>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</si>
  <si>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</si>
  <si>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</si>
  <si>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</si>
  <si>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</si>
  <si>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</si>
  <si>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</si>
  <si>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</si>
  <si>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</si>
  <si>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</si>
  <si>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</si>
  <si>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</si>
  <si>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</si>
  <si>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</si>
  <si>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</si>
  <si>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</si>
  <si>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</si>
  <si>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</si>
  <si>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</si>
  <si>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</si>
  <si>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</si>
  <si>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</si>
  <si>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</si>
  <si>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</si>
  <si>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</si>
  <si>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</si>
  <si>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</si>
  <si>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</si>
  <si>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</si>
  <si>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</si>
  <si>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</si>
  <si>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</si>
  <si>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</si>
  <si>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</si>
  <si>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</si>
  <si>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</si>
  <si>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</si>
  <si>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</si>
  <si>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</si>
  <si>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</si>
  <si>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</si>
  <si>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</si>
  <si>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</si>
  <si>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</si>
  <si>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</si>
  <si>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</si>
  <si>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</si>
  <si>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</si>
  <si>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</si>
  <si>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</si>
  <si>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</si>
  <si>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</si>
  <si>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</si>
  <si>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</si>
  <si>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</si>
  <si>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</si>
  <si>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</si>
  <si>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</si>
  <si>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</si>
  <si>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</si>
  <si>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</si>
  <si>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</si>
  <si>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</si>
  <si>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</si>
  <si>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</si>
  <si>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</si>
  <si>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</si>
  <si>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</si>
  <si>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</si>
  <si>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</si>
  <si>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</si>
  <si>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</si>
  <si>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</si>
  <si>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</si>
  <si>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</si>
  <si>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</si>
  <si>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</si>
  <si>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</si>
  <si>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</si>
  <si>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</si>
  <si>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</si>
  <si>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</si>
  <si>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</si>
  <si>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</si>
  <si>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</si>
  <si>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</si>
  <si>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</si>
  <si>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</si>
  <si>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</si>
  <si>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</si>
  <si>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</si>
  <si>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</si>
  <si>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</si>
  <si>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</si>
  <si>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</si>
  <si>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</si>
  <si>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</si>
  <si>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</si>
  <si>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</si>
  <si>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</si>
  <si>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</si>
  <si>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</si>
  <si>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</si>
  <si>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</si>
  <si>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</si>
  <si>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</si>
  <si>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</si>
  <si>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</si>
  <si>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</si>
  <si>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</si>
  <si>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</si>
  <si>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</si>
  <si>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</si>
  <si>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</si>
  <si>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</si>
  <si>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</si>
  <si>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</si>
  <si>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</si>
  <si>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</si>
  <si>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</si>
  <si>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</si>
  <si>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</si>
  <si>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</si>
  <si>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</si>
  <si>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</si>
  <si>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</si>
  <si>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</si>
  <si>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</si>
  <si>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</si>
  <si>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</si>
  <si>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</si>
  <si>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</si>
  <si>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</si>
  <si>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</si>
  <si>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</si>
  <si>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</si>
  <si>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</si>
  <si>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</si>
  <si>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</si>
  <si>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</si>
  <si>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</si>
  <si>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</si>
  <si>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</si>
  <si>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</si>
  <si>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</si>
  <si>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</si>
  <si>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</si>
  <si>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</si>
  <si>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</si>
  <si>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</si>
  <si>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</si>
  <si>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</si>
  <si>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</si>
  <si>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</si>
  <si>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</si>
  <si>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</si>
  <si>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</si>
  <si>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</si>
  <si>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</si>
  <si>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</si>
  <si>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</si>
  <si>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</si>
  <si>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</si>
  <si>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</si>
  <si>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</si>
  <si>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</si>
  <si>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</si>
  <si>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</si>
  <si>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</si>
  <si>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</si>
  <si>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</si>
  <si>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</si>
  <si>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</si>
  <si>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</si>
  <si>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</si>
  <si>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</si>
  <si>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</si>
  <si>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</si>
  <si>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</si>
  <si>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</si>
  <si>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</si>
  <si>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</si>
  <si>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</si>
  <si>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</si>
  <si>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</si>
  <si>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</si>
  <si>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</si>
  <si>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</si>
  <si>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</si>
  <si>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</si>
  <si>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</si>
  <si>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</si>
  <si>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</si>
  <si>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</si>
  <si>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</si>
  <si>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</si>
  <si>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</si>
  <si>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</si>
  <si>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</si>
  <si>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</si>
  <si>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</si>
  <si>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</si>
  <si>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</si>
  <si>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</si>
  <si>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</si>
  <si>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</si>
  <si>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</si>
  <si>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</si>
  <si>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</si>
  <si>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</si>
  <si>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</si>
  <si>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</si>
  <si>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</si>
  <si>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</si>
  <si>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</si>
  <si>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</si>
  <si>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</si>
  <si>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</si>
  <si>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</si>
  <si>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</si>
  <si>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</si>
  <si>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</si>
  <si>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</si>
  <si>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</si>
  <si>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</si>
  <si>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</si>
  <si>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</si>
  <si>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</si>
  <si>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</si>
  <si>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</si>
  <si>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</si>
  <si>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</si>
  <si>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</si>
  <si>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</si>
  <si>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</si>
  <si>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</si>
  <si>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</si>
  <si>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</si>
  <si>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</si>
  <si>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</si>
  <si>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</si>
  <si>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</si>
  <si>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</si>
  <si>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</si>
  <si>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</si>
  <si>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</si>
  <si>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</si>
  <si>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</si>
  <si>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</si>
  <si>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</si>
  <si>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</si>
  <si>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</si>
  <si>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</si>
  <si>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</si>
  <si>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</si>
  <si>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</si>
  <si>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</si>
  <si>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</si>
  <si>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</si>
  <si>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</si>
  <si>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</si>
  <si>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</si>
  <si>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</si>
  <si>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</si>
  <si>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</si>
  <si>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</si>
  <si>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</si>
  <si>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</si>
  <si>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</si>
  <si>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</si>
  <si>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</si>
  <si>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</si>
  <si>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</si>
  <si>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</si>
  <si>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</si>
  <si>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</si>
  <si>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</si>
  <si>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</si>
  <si>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</si>
  <si>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</si>
  <si>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</si>
  <si>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</si>
  <si>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</si>
  <si>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</si>
  <si>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</si>
  <si>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</si>
  <si>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</si>
  <si>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</si>
  <si>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</si>
  <si>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</si>
  <si>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</si>
  <si>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</si>
  <si>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</si>
  <si>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</si>
  <si>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</si>
  <si>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</si>
  <si>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</si>
  <si>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</si>
  <si>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</si>
  <si>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</si>
  <si>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</si>
  <si>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</si>
  <si>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</si>
  <si>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</si>
  <si>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</si>
  <si>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</si>
  <si>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</si>
  <si>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</si>
  <si>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</si>
  <si>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</si>
  <si>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</si>
  <si>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</si>
  <si>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</si>
  <si>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</si>
  <si>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</si>
  <si>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</si>
  <si>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</si>
  <si>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</si>
  <si>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</si>
  <si>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</si>
  <si>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</si>
  <si>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</si>
  <si>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</si>
  <si>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</si>
  <si>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</si>
  <si>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</si>
  <si>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</si>
  <si>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</si>
  <si>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</si>
  <si>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</si>
  <si>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</si>
  <si>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</si>
  <si>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</si>
  <si>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</si>
  <si>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</si>
  <si>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</si>
  <si>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</si>
  <si>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</si>
  <si>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</si>
  <si>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</si>
  <si>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</si>
  <si>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</si>
  <si>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</si>
  <si>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</si>
  <si>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</si>
  <si>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</si>
  <si>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</si>
  <si>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</si>
  <si>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</si>
  <si>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</si>
  <si>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</si>
  <si>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</si>
  <si>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</si>
  <si>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</si>
  <si>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</si>
  <si>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</si>
  <si>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</si>
  <si>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</si>
  <si>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</si>
  <si>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</si>
  <si>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</si>
  <si>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</si>
  <si>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</si>
  <si>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</si>
  <si>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</si>
  <si>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</si>
  <si>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</si>
  <si>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</si>
  <si>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</si>
  <si>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</si>
  <si>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</si>
  <si>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</si>
  <si>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</si>
  <si>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</si>
  <si>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</si>
  <si>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</si>
  <si>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</si>
  <si>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</si>
  <si>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</si>
  <si>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</si>
  <si>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</si>
  <si>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</si>
  <si>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</si>
  <si>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</si>
  <si>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</si>
  <si>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</si>
  <si>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</si>
  <si>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</si>
  <si>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</si>
  <si>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</si>
  <si>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</si>
  <si>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</si>
  <si>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</si>
  <si>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</si>
  <si>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</si>
  <si>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</si>
  <si>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</si>
  <si>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</si>
  <si>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</si>
  <si>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</si>
  <si>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</si>
  <si>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</si>
  <si>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</si>
  <si>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</si>
  <si>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</si>
  <si>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</si>
  <si>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</si>
  <si>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</si>
  <si>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</si>
  <si>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</si>
  <si>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</si>
  <si>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</si>
  <si>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</si>
  <si>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</si>
  <si>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</si>
  <si>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</si>
  <si>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</si>
  <si>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</si>
  <si>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</si>
  <si>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</si>
  <si>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</si>
  <si>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</si>
  <si>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</si>
  <si>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</si>
  <si>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</si>
  <si>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</si>
  <si>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</si>
  <si>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</si>
  <si>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</si>
  <si>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</si>
  <si>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</si>
  <si>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</si>
  <si>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</si>
  <si>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</si>
  <si>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</si>
  <si>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</si>
  <si>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</si>
  <si>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</si>
  <si>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</si>
  <si>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</si>
  <si>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</si>
  <si>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</si>
  <si>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</si>
  <si>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</si>
  <si>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</si>
  <si>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</si>
  <si>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</si>
  <si>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</si>
  <si>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</si>
  <si>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</si>
  <si>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</si>
  <si>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</si>
  <si>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</si>
  <si>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</si>
  <si>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</si>
  <si>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</si>
  <si>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</si>
  <si>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</si>
  <si>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</si>
  <si>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</si>
  <si>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</si>
  <si>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</si>
  <si>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</si>
  <si>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</si>
  <si>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</si>
  <si>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</si>
  <si>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</si>
  <si>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</si>
  <si>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</si>
  <si>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</si>
  <si>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</si>
  <si>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</si>
  <si>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</si>
  <si>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</si>
  <si>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</si>
  <si>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</si>
  <si>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</si>
  <si>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</si>
  <si>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</si>
  <si>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</si>
  <si>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</si>
  <si>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</si>
  <si>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</si>
  <si>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</si>
  <si>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</si>
  <si>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</si>
  <si>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</si>
  <si>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</si>
  <si>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</si>
  <si>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</si>
  <si>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</si>
  <si>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</si>
  <si>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</si>
  <si>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</si>
  <si>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</si>
  <si>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</si>
  <si>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</si>
  <si>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</si>
  <si>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</si>
  <si>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</si>
  <si>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</si>
  <si>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</si>
  <si>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</si>
  <si>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</si>
  <si>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</si>
  <si>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</si>
  <si>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</si>
  <si>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</si>
  <si>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</si>
  <si>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</si>
  <si>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</si>
  <si>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</si>
  <si>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</si>
  <si>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</si>
  <si>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</si>
  <si>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</si>
  <si>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</si>
  <si>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</si>
  <si>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</si>
  <si>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</si>
  <si>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</si>
  <si>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</si>
  <si>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</si>
  <si>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</si>
  <si>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</si>
  <si>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</si>
  <si>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</si>
  <si>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</si>
  <si>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</si>
  <si>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</si>
  <si>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</si>
  <si>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</si>
  <si>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</si>
  <si>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</si>
  <si>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</si>
  <si>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</si>
  <si>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</si>
  <si>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</si>
  <si>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</si>
  <si>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</si>
  <si>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</si>
  <si>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</si>
  <si>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</si>
  <si>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</si>
  <si>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</si>
  <si>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</si>
  <si>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</si>
  <si>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</si>
  <si>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</si>
  <si>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</si>
  <si>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</si>
  <si>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</si>
  <si>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</si>
  <si>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</si>
  <si>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</si>
  <si>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</si>
  <si>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</si>
  <si>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</si>
  <si>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</si>
  <si>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</si>
  <si>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</si>
  <si>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</si>
  <si>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</si>
  <si>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</si>
  <si>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</si>
  <si>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</si>
  <si>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</si>
  <si>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</si>
  <si>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</si>
  <si>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</si>
  <si>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</si>
  <si>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</si>
  <si>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</si>
  <si>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</si>
  <si>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</si>
  <si>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</si>
  <si>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</si>
  <si>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</si>
  <si>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</si>
  <si>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</si>
  <si>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</si>
  <si>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</si>
  <si>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</si>
  <si>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</si>
  <si>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</si>
  <si>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</si>
  <si>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</si>
  <si>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</si>
  <si>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</si>
  <si>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</si>
  <si>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</si>
  <si>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</si>
  <si>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</si>
  <si>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</si>
  <si>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</si>
  <si>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</si>
  <si>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</si>
  <si>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</si>
  <si>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</si>
  <si>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</si>
  <si>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</si>
  <si>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</si>
  <si>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</si>
  <si>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</si>
  <si>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</si>
  <si>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</si>
  <si>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</si>
  <si>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</si>
  <si>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</si>
  <si>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</si>
  <si>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</si>
  <si>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</si>
  <si>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</si>
  <si>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</si>
  <si>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</si>
  <si>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</si>
  <si>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</si>
  <si>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</si>
  <si>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</si>
  <si>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</si>
  <si>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</si>
  <si>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</si>
  <si>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</si>
  <si>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</si>
  <si>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</si>
  <si>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</si>
  <si>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</si>
  <si>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</si>
  <si>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</si>
  <si>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</si>
  <si>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</si>
  <si>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</si>
  <si>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</si>
  <si>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</si>
  <si>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</si>
  <si>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</si>
  <si>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</si>
  <si>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</si>
  <si>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</si>
  <si>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</si>
  <si>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</si>
  <si>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</si>
  <si>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</si>
  <si>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</si>
  <si>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</si>
  <si>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</si>
  <si>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</si>
  <si>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</si>
  <si>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</si>
  <si>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</si>
  <si>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</si>
  <si>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</si>
  <si>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</si>
  <si>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</si>
  <si>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</si>
  <si>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</si>
  <si>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</si>
  <si>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</si>
  <si>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</si>
  <si>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</si>
  <si>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</si>
  <si>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</si>
  <si>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</si>
  <si>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</si>
  <si>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</si>
  <si>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</si>
  <si>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</si>
  <si>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</si>
  <si>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</si>
  <si>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</si>
  <si>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</si>
  <si>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</si>
  <si>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</si>
  <si>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</si>
  <si>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</si>
  <si>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</si>
  <si>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</si>
  <si>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</si>
  <si>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</si>
  <si>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</si>
  <si>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</si>
  <si>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</si>
  <si>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</si>
  <si>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</si>
  <si>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</si>
  <si>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</si>
  <si>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</si>
  <si>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</si>
  <si>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</si>
  <si>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</si>
  <si>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</si>
  <si>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</si>
  <si>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</si>
  <si>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</si>
  <si>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</si>
  <si>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</si>
  <si>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</si>
  <si>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</si>
  <si>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</si>
  <si>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</si>
  <si>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</si>
  <si>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</si>
  <si>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</si>
  <si>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</si>
  <si>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</si>
  <si>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</si>
  <si>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</si>
  <si>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</si>
  <si>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</si>
  <si>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</si>
  <si>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</si>
  <si>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</si>
  <si>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</si>
  <si>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</si>
  <si>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</si>
  <si>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</si>
  <si>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</si>
  <si>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</si>
  <si>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</si>
  <si>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</si>
  <si>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</si>
  <si>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</si>
  <si>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</si>
  <si>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</si>
  <si>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</si>
  <si>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</si>
  <si>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</si>
  <si>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</si>
  <si>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</si>
  <si>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</si>
  <si>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</si>
  <si>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</si>
  <si>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</si>
  <si>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</si>
  <si>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</si>
  <si>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</si>
  <si>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</si>
  <si>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</si>
  <si>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</si>
  <si>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</si>
  <si>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</si>
  <si>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</si>
  <si>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</si>
  <si>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</si>
  <si>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</si>
  <si>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</si>
  <si>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</si>
  <si>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</si>
  <si>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</si>
  <si>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</si>
  <si>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</si>
  <si>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</si>
  <si>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</si>
  <si>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</si>
  <si>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</si>
  <si>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</si>
  <si>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</si>
  <si>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</si>
  <si>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</si>
  <si>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</si>
  <si>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</si>
  <si>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</si>
  <si>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</si>
  <si>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</si>
  <si>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</si>
  <si>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</si>
  <si>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</si>
  <si>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</si>
  <si>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</si>
  <si>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</si>
  <si>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</si>
  <si>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</si>
  <si>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</si>
  <si>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</si>
  <si>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</si>
  <si>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</si>
  <si>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</si>
  <si>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</si>
  <si>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</si>
  <si>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</si>
  <si>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</si>
  <si>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</si>
  <si>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</si>
  <si>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</si>
  <si>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</si>
  <si>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</si>
  <si>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</si>
  <si>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</si>
  <si>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</si>
  <si>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</si>
  <si>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</si>
  <si>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</si>
  <si>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</si>
  <si>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</si>
  <si>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</si>
  <si>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</si>
  <si>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</si>
  <si>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</si>
  <si>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</si>
  <si>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</si>
  <si>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</si>
  <si>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</si>
  <si>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</si>
  <si>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</si>
  <si>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</si>
  <si>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</si>
  <si>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</si>
  <si>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</si>
  <si>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</si>
  <si>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</si>
  <si>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</si>
  <si>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</si>
  <si>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</si>
  <si>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</si>
  <si>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</si>
  <si>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</si>
  <si>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</si>
  <si>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</si>
  <si>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</si>
  <si>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</si>
  <si>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</si>
  <si>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</si>
  <si>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</si>
  <si>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</si>
  <si>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</si>
  <si>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</si>
  <si>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</si>
  <si>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</si>
  <si>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</si>
  <si>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</si>
  <si>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</si>
  <si>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</si>
  <si>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</si>
  <si>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</si>
  <si>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</si>
  <si>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</si>
  <si>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</si>
  <si>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</si>
  <si>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</si>
  <si>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</si>
  <si>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</si>
  <si>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</si>
  <si>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</si>
  <si>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</si>
  <si>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</si>
  <si>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</si>
  <si>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</si>
  <si>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</si>
  <si>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</si>
  <si>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</si>
  <si>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</si>
  <si>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</si>
  <si>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</si>
  <si>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</si>
  <si>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</si>
  <si>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</si>
  <si>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</si>
  <si>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</si>
  <si>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</si>
  <si>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</si>
  <si>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</si>
  <si>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</si>
  <si>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</si>
  <si>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</si>
  <si>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</si>
  <si>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</si>
  <si>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</si>
  <si>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</si>
  <si>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</si>
  <si>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</si>
  <si>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</si>
  <si>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</si>
  <si>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</si>
  <si>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</si>
  <si>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</si>
  <si>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</si>
  <si>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</si>
  <si>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</si>
  <si>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</si>
  <si>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</si>
  <si>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</si>
  <si>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</si>
  <si>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</si>
  <si>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</si>
  <si>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</si>
  <si>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</si>
  <si>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</si>
  <si>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</si>
  <si>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</si>
  <si>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</si>
  <si>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</si>
  <si>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</si>
  <si>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</si>
  <si>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</si>
  <si>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</si>
  <si>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</si>
  <si>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</si>
  <si>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</si>
  <si>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</si>
  <si>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</si>
  <si>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</si>
  <si>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</si>
  <si>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</si>
  <si>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</si>
  <si>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</si>
  <si>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</si>
  <si>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</si>
  <si>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</si>
  <si>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</si>
  <si>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</si>
  <si>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</si>
  <si>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</si>
  <si>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</si>
  <si>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</si>
  <si>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</si>
  <si>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</si>
  <si>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</si>
  <si>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</si>
  <si>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</si>
  <si>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</si>
  <si>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</si>
  <si>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</si>
  <si>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</si>
  <si>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</si>
  <si>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</si>
  <si>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</si>
  <si>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</si>
  <si>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</si>
  <si>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</si>
  <si>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</si>
  <si>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</si>
  <si>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</si>
  <si>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</si>
  <si>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</si>
  <si>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</si>
  <si>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</si>
  <si>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</si>
  <si>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</si>
  <si>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</si>
  <si>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</si>
  <si>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</si>
  <si>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</si>
  <si>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</si>
  <si>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</si>
  <si>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</si>
  <si>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</si>
  <si>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</si>
  <si>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</si>
  <si>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</si>
  <si>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</si>
  <si>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</si>
  <si>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</si>
  <si>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</si>
  <si>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</si>
  <si>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</si>
  <si>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</si>
  <si>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</si>
  <si>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</si>
  <si>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</si>
  <si>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</si>
  <si>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</si>
  <si>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</si>
  <si>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</si>
  <si>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</si>
  <si>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</si>
  <si>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</si>
  <si>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</si>
  <si>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</si>
  <si>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</si>
  <si>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</si>
  <si>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</si>
  <si>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</si>
  <si>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</si>
  <si>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</si>
  <si>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</si>
  <si>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</si>
  <si>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</si>
  <si>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</si>
  <si>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</si>
  <si>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</si>
  <si>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</si>
  <si>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</si>
  <si>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</si>
  <si>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</si>
  <si>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</si>
  <si>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</si>
  <si>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</si>
  <si>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</si>
  <si>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</si>
  <si>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</si>
  <si>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</si>
  <si>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</si>
  <si>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</si>
  <si>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</si>
  <si>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</si>
  <si>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</si>
  <si>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</si>
  <si>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</si>
  <si>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</si>
  <si>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</si>
  <si>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</si>
  <si>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</si>
  <si>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</si>
  <si>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</si>
  <si>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</si>
  <si>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</si>
  <si>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</si>
  <si>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</si>
  <si>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</si>
  <si>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</si>
  <si>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</si>
  <si>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</si>
  <si>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</si>
  <si>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</si>
  <si>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</si>
  <si>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</si>
  <si>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</si>
  <si>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</si>
  <si>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</si>
  <si>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</si>
  <si>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</si>
  <si>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</si>
  <si>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</si>
  <si>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</si>
  <si>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</si>
  <si>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</si>
  <si>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</si>
  <si>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</si>
  <si>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</si>
  <si>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</si>
  <si>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</si>
  <si>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</si>
  <si>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</si>
  <si>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</si>
  <si>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</si>
  <si>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</si>
  <si>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</si>
  <si>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</si>
  <si>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</si>
  <si>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</si>
  <si>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</si>
  <si>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</si>
  <si>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</si>
  <si>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</si>
  <si>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</si>
  <si>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</si>
  <si>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</si>
  <si>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</si>
  <si>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</si>
  <si>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</si>
  <si>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</si>
  <si>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</si>
  <si>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</si>
  <si>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</si>
  <si>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</si>
  <si>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</si>
  <si>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</si>
  <si>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</si>
  <si>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</si>
  <si>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</si>
  <si>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</si>
  <si>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</si>
  <si>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</si>
  <si>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</si>
  <si>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</si>
  <si>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</si>
  <si>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</si>
  <si>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</si>
  <si>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</si>
  <si>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</si>
  <si>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</si>
  <si>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</si>
  <si>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</si>
  <si>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</si>
  <si>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</si>
  <si>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</si>
  <si>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</si>
  <si>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</si>
  <si>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</si>
  <si>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</si>
  <si>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</si>
  <si>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</si>
  <si>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</si>
  <si>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</si>
  <si>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</si>
  <si>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</si>
  <si>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</si>
  <si>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</si>
  <si>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</si>
  <si>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</si>
  <si>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</si>
  <si>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</si>
  <si>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</si>
  <si>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</si>
  <si>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</si>
  <si>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</si>
  <si>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</si>
  <si>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</si>
  <si>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</si>
  <si>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</si>
  <si>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</si>
  <si>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</si>
  <si>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</si>
  <si>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</si>
  <si>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</si>
  <si>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</si>
  <si>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</si>
  <si>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</si>
  <si>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</si>
  <si>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</si>
  <si>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</si>
  <si>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</si>
  <si>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</si>
  <si>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</si>
  <si>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</si>
  <si>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</si>
  <si>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</si>
  <si>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</si>
  <si>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</si>
  <si>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</si>
  <si>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</si>
  <si>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</si>
  <si>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</si>
  <si>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</si>
  <si>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</si>
  <si>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</si>
  <si>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</si>
  <si>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</si>
  <si>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</si>
  <si>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</si>
  <si>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</si>
  <si>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</si>
  <si>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</si>
  <si>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</si>
  <si>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</si>
  <si>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</si>
  <si>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</si>
  <si>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</si>
  <si>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</si>
  <si>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</si>
  <si>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</si>
  <si>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</si>
  <si>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</si>
  <si>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</si>
  <si>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</si>
  <si>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</si>
  <si>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</si>
  <si>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</si>
  <si>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</si>
  <si>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</si>
  <si>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</si>
  <si>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</si>
  <si>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</si>
  <si>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</si>
  <si>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</si>
  <si>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</si>
  <si>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</si>
  <si>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</si>
  <si>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</si>
  <si>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</si>
  <si>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</si>
  <si>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</si>
  <si>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</si>
  <si>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</si>
  <si>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</si>
  <si>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</si>
  <si>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</si>
  <si>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</si>
  <si>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</si>
  <si>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</si>
  <si>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</si>
  <si>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</si>
  <si>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</si>
  <si>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</si>
  <si>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</si>
  <si>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</si>
  <si>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</si>
  <si>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</si>
  <si>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</si>
  <si>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</si>
  <si>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</si>
  <si>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</si>
  <si>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</si>
  <si>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</si>
  <si>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</si>
  <si>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</si>
  <si>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</si>
  <si>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</si>
  <si>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</si>
  <si>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</si>
  <si>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</si>
  <si>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</si>
  <si>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</si>
  <si>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</si>
  <si>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</si>
  <si>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</si>
  <si>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</si>
  <si>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</si>
  <si>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</si>
  <si>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</si>
  <si>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</si>
  <si>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</si>
  <si>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</si>
  <si>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</si>
  <si>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</si>
  <si>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</si>
  <si>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</si>
  <si>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</si>
  <si>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</si>
  <si>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</si>
  <si>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</si>
  <si>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</si>
  <si>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</si>
  <si>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</si>
  <si>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</si>
  <si>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</si>
  <si>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</si>
  <si>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</si>
  <si>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</si>
  <si>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</si>
  <si>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</si>
  <si>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</si>
  <si>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</si>
  <si>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</si>
  <si>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</si>
  <si>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</si>
  <si>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</si>
  <si>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</si>
  <si>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</si>
  <si>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</si>
  <si>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</si>
  <si>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</si>
  <si>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</si>
  <si>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</si>
  <si>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</si>
  <si>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</si>
  <si>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</si>
  <si>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</si>
  <si>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</si>
  <si>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</si>
  <si>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</si>
  <si>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</si>
  <si>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</si>
  <si>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</si>
  <si>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</si>
  <si>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</si>
  <si>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</si>
  <si>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</si>
  <si>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</si>
  <si>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</si>
  <si>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</si>
  <si>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</si>
  <si>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</si>
  <si>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</si>
  <si>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</si>
  <si>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</si>
  <si>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</si>
  <si>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</si>
  <si>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</si>
  <si>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</si>
  <si>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</si>
  <si>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</si>
  <si>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</si>
  <si>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</si>
  <si>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</si>
  <si>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</si>
  <si>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</si>
  <si>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</si>
  <si>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</si>
  <si>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</si>
  <si>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</si>
  <si>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</si>
  <si>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</si>
  <si>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</si>
  <si>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</si>
  <si>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</si>
  <si>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</si>
  <si>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</si>
  <si>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</si>
  <si>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</si>
  <si>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</si>
  <si>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</si>
  <si>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</si>
  <si>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</si>
  <si>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</si>
  <si>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</si>
  <si>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</si>
  <si>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</si>
  <si>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</si>
  <si>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</si>
  <si>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</si>
  <si>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</si>
  <si>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</si>
  <si>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</si>
  <si>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</si>
  <si>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</si>
  <si>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</si>
  <si>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</si>
  <si>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</si>
  <si>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</si>
  <si>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</si>
  <si>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</si>
  <si>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</si>
  <si>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</si>
  <si>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</si>
  <si>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</si>
  <si>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</si>
  <si>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</si>
  <si>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</si>
  <si>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</si>
  <si>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</si>
  <si>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</si>
  <si>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</si>
  <si>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</si>
  <si>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</si>
  <si>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</si>
  <si>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</si>
  <si>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</si>
  <si>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</si>
  <si>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</si>
  <si>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</si>
  <si>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</si>
  <si>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</si>
  <si>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</si>
  <si>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</si>
  <si>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</si>
  <si>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</si>
  <si>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</si>
  <si>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</si>
  <si>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</si>
  <si>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</si>
  <si>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</si>
  <si>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</si>
  <si>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</si>
  <si>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</si>
  <si>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</si>
  <si>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</si>
  <si>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</si>
  <si>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</si>
  <si>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</si>
  <si>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</si>
  <si>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</si>
  <si>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</si>
  <si>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</si>
  <si>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</si>
  <si>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</si>
  <si>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</si>
  <si>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</si>
  <si>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</si>
  <si>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</si>
  <si>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</si>
  <si>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</si>
  <si>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</si>
  <si>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</si>
  <si>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</si>
  <si>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</si>
  <si>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</si>
  <si>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</si>
  <si>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</si>
  <si>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</si>
  <si>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</si>
  <si>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</si>
  <si>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</si>
  <si>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</si>
  <si>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</si>
  <si>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</si>
  <si>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</si>
  <si>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</si>
  <si>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</si>
  <si>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</si>
  <si>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</si>
  <si>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</si>
  <si>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</si>
  <si>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</si>
  <si>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</si>
  <si>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</si>
  <si>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</si>
  <si>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</si>
  <si>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</si>
  <si>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</si>
  <si>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</si>
  <si>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</si>
  <si>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</si>
  <si>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</si>
  <si>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</si>
  <si>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</si>
  <si>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</si>
  <si>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</si>
  <si>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</si>
  <si>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</si>
  <si>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</si>
  <si>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</si>
  <si>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</si>
  <si>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</si>
  <si>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</si>
  <si>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</si>
  <si>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</si>
  <si>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</si>
  <si>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</si>
  <si>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</si>
  <si>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</si>
  <si>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</si>
  <si>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</si>
  <si>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</si>
  <si>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</si>
  <si>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</si>
  <si>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</si>
  <si>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</si>
  <si>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</si>
  <si>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</si>
  <si>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</si>
  <si>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</si>
  <si>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</si>
  <si>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</si>
  <si>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</si>
  <si>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</si>
  <si>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</si>
  <si>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</si>
  <si>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</si>
  <si>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</si>
  <si>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</si>
  <si>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</si>
  <si>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</si>
  <si>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</si>
  <si>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</si>
  <si>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</si>
  <si>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</si>
  <si>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</si>
  <si>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</si>
  <si>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</si>
  <si>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</si>
  <si>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</si>
  <si>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</si>
  <si>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</si>
  <si>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</si>
  <si>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</si>
  <si>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</si>
  <si>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</si>
  <si>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</si>
  <si>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</si>
  <si>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</si>
  <si>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</si>
  <si>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</si>
  <si>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</si>
  <si>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</si>
  <si>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</si>
  <si>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</si>
  <si>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</si>
  <si>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</si>
  <si>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</si>
  <si>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</si>
  <si>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</si>
  <si>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</si>
  <si>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</si>
  <si>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</si>
  <si>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</si>
  <si>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</si>
  <si>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</si>
  <si>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</si>
  <si>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</si>
  <si>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</si>
  <si>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</si>
  <si>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</si>
  <si>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</si>
  <si>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</si>
  <si>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</si>
  <si>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</si>
  <si>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</si>
  <si>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</si>
  <si>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</si>
  <si>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</si>
  <si>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</si>
  <si>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</si>
  <si>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</si>
  <si>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</si>
  <si>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</si>
  <si>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</si>
  <si>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</si>
  <si>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</si>
  <si>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</si>
  <si>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</si>
  <si>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</si>
  <si>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</si>
  <si>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</si>
  <si>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</si>
  <si>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</si>
  <si>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</si>
  <si>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</si>
  <si>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</si>
  <si>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</si>
  <si>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</si>
  <si>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</si>
  <si>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</si>
  <si>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</si>
  <si>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</si>
  <si>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</si>
  <si>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</si>
  <si>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</si>
  <si>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</si>
  <si>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</si>
  <si>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</si>
  <si>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</si>
  <si>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</si>
  <si>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</si>
  <si>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</si>
  <si>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</si>
  <si>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</si>
  <si>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</si>
  <si>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</si>
  <si>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</si>
  <si>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</si>
  <si>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</si>
  <si>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</si>
  <si>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</si>
  <si>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</si>
  <si>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</si>
  <si>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</si>
  <si>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</si>
  <si>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</si>
  <si>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</si>
  <si>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</si>
  <si>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</si>
  <si>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</si>
  <si>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</si>
  <si>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</si>
  <si>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</si>
  <si>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</si>
  <si>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</si>
  <si>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</si>
  <si>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</si>
  <si>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</si>
  <si>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</si>
  <si>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</si>
  <si>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</si>
  <si>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</si>
  <si>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</si>
  <si>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</si>
  <si>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</si>
  <si>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</si>
  <si>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</si>
  <si>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</si>
  <si>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</si>
  <si>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</si>
  <si>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</si>
  <si>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</si>
  <si>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</si>
  <si>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</si>
  <si>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</si>
  <si>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</si>
  <si>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</si>
  <si>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</si>
  <si>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</si>
  <si>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</si>
  <si>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</si>
  <si>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</si>
  <si>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</si>
  <si>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</si>
  <si>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</si>
  <si>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</si>
  <si>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</si>
  <si>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</si>
  <si>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</si>
  <si>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</si>
  <si>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</si>
  <si>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</si>
  <si>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</si>
  <si>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</si>
  <si>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</si>
  <si>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</si>
  <si>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</si>
  <si>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</si>
  <si>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</si>
  <si>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</si>
  <si>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</si>
  <si>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</si>
  <si>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</si>
  <si>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</si>
  <si>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</si>
  <si>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</si>
  <si>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</si>
  <si>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</si>
  <si>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</si>
  <si>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</si>
  <si>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</si>
  <si>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</si>
  <si>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</si>
  <si>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</si>
  <si>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</si>
  <si>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</si>
  <si>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</si>
  <si>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</si>
  <si>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</si>
  <si>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</si>
  <si>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</si>
  <si>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</si>
  <si>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</si>
  <si>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</si>
  <si>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</si>
  <si>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</si>
  <si>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</si>
  <si>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</si>
  <si>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</si>
  <si>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</si>
  <si>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</si>
  <si>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</si>
  <si>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</si>
  <si>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</si>
  <si>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</si>
  <si>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</si>
  <si>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</si>
  <si>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</si>
  <si>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</si>
  <si>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</si>
  <si>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</si>
  <si>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</si>
  <si>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</si>
  <si>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</si>
  <si>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</si>
  <si>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</si>
  <si>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</si>
  <si>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</si>
  <si>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</si>
  <si>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</si>
  <si>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</si>
  <si>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</si>
  <si>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</si>
  <si>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</si>
  <si>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</si>
  <si>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</si>
  <si>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</si>
  <si>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</si>
  <si>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</si>
  <si>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</si>
  <si>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</si>
  <si>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</si>
  <si>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</si>
  <si>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</si>
  <si>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</si>
  <si>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</si>
  <si>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</si>
  <si>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</si>
  <si>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</si>
  <si>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</si>
  <si>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</si>
  <si>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</si>
  <si>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</si>
  <si>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</si>
  <si>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</si>
  <si>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</si>
  <si>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</si>
  <si>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</si>
  <si>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</si>
  <si>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</si>
  <si>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</si>
  <si>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</si>
  <si>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</si>
  <si>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</si>
  <si>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</si>
  <si>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</si>
  <si>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</si>
  <si>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</si>
  <si>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</si>
  <si>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</si>
  <si>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</si>
  <si>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</si>
  <si>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</si>
  <si>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</si>
  <si>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</si>
  <si>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</si>
  <si>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</si>
  <si>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</si>
  <si>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</si>
  <si>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</si>
  <si>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</si>
  <si>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</si>
  <si>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</si>
  <si>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</si>
  <si>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</si>
  <si>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</si>
  <si>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</si>
  <si>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</si>
  <si>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</si>
  <si>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</si>
  <si>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</si>
  <si>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</si>
  <si>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</si>
  <si>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</si>
  <si>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</si>
  <si>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</si>
  <si>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</si>
  <si>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</si>
  <si>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</si>
  <si>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</si>
  <si>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</si>
  <si>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</si>
  <si>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</si>
  <si>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</si>
  <si>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</si>
  <si>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</si>
  <si>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</si>
  <si>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</si>
  <si>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</si>
  <si>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</si>
  <si>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</si>
  <si>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</si>
  <si>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</si>
  <si>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</si>
  <si>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</si>
  <si>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</si>
  <si>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</si>
  <si>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</si>
  <si>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</si>
  <si>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</si>
  <si>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</si>
  <si>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</si>
  <si>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</si>
  <si>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</si>
  <si>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</si>
  <si>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</si>
  <si>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</si>
  <si>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</si>
  <si>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</si>
  <si>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</si>
  <si>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</si>
  <si>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</si>
  <si>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</si>
  <si>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</si>
  <si>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</si>
  <si>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</si>
  <si>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</si>
  <si>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</si>
  <si>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</si>
  <si>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</si>
  <si>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</si>
  <si>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</si>
  <si>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</si>
  <si>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</si>
  <si>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</si>
  <si>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</si>
  <si>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</si>
  <si>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</si>
  <si>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</si>
  <si>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</si>
  <si>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</si>
  <si>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</si>
  <si>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</si>
  <si>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</si>
  <si>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</si>
  <si>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</si>
  <si>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</si>
  <si>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</si>
  <si>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</si>
  <si>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</si>
  <si>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</si>
  <si>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</si>
  <si>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</si>
  <si>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</si>
  <si>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</si>
  <si>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</si>
  <si>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</si>
  <si>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</si>
  <si>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</si>
  <si>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</si>
  <si>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</si>
  <si>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</si>
  <si>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</si>
  <si>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</si>
  <si>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</si>
  <si>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</si>
  <si>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</si>
  <si>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</si>
  <si>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</si>
  <si>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</si>
  <si>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</si>
  <si>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</si>
  <si>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</si>
  <si>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</si>
  <si>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</si>
  <si>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</si>
  <si>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</si>
  <si>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</si>
  <si>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</si>
  <si>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</si>
  <si>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</si>
  <si>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</si>
  <si>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</si>
  <si>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</si>
  <si>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</si>
  <si>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</si>
  <si>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</si>
  <si>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</si>
  <si>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</si>
  <si>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</si>
  <si>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</si>
  <si>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</si>
  <si>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</si>
  <si>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</si>
  <si>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</si>
  <si>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</si>
  <si>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</si>
  <si>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</si>
  <si>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</si>
  <si>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</si>
  <si>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</si>
  <si>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</si>
  <si>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</si>
  <si>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</si>
  <si>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</si>
  <si>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</si>
  <si>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</si>
  <si>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</si>
  <si>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</si>
  <si>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</si>
  <si>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</si>
  <si>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</si>
  <si>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</si>
  <si>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</si>
  <si>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</si>
  <si>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</si>
  <si>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</si>
  <si>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</si>
  <si>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</si>
  <si>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</si>
  <si>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</si>
  <si>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</si>
  <si>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</si>
  <si>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</si>
  <si>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</si>
  <si>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</si>
  <si>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</si>
  <si>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</si>
  <si>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</si>
  <si>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</si>
  <si>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</si>
  <si>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</si>
  <si>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</si>
  <si>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</si>
  <si>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</si>
  <si>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</si>
  <si>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</si>
  <si>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</si>
  <si>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</si>
  <si>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</si>
  <si>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</si>
  <si>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</si>
  <si>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</si>
  <si>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</si>
  <si>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</si>
  <si>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</si>
  <si>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</si>
  <si>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</si>
  <si>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</si>
  <si>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</si>
  <si>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</si>
  <si>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</si>
  <si>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</si>
  <si>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</si>
  <si>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</si>
  <si>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</si>
  <si>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</si>
  <si>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</si>
  <si>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</si>
  <si>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</si>
  <si>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</si>
  <si>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</si>
  <si>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</si>
  <si>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</si>
  <si>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</si>
  <si>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</si>
  <si>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</si>
  <si>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</si>
  <si>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</si>
  <si>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</si>
  <si>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</si>
  <si>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</si>
  <si>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</si>
  <si>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</si>
  <si>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</si>
  <si>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</si>
  <si>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</si>
  <si>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</si>
  <si>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</si>
  <si>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</si>
  <si>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</si>
  <si>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</si>
  <si>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</si>
  <si>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</si>
  <si>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</si>
  <si>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</si>
  <si>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</si>
  <si>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</si>
  <si>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</si>
  <si>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</si>
  <si>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</si>
  <si>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</si>
  <si>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</si>
  <si>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</si>
  <si>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</si>
  <si>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</si>
  <si>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</si>
  <si>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</si>
  <si>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</si>
  <si>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</si>
  <si>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</si>
  <si>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</si>
  <si>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</si>
  <si>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</si>
  <si>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</si>
  <si>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</si>
  <si>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</si>
  <si>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</si>
  <si>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</si>
  <si>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</si>
  <si>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</si>
  <si>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</si>
  <si>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</si>
  <si>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</si>
  <si>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</si>
  <si>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</si>
  <si>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</si>
  <si>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</si>
  <si>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</si>
  <si>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</si>
  <si>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</si>
  <si>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</si>
  <si>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</si>
  <si>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</si>
  <si>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</si>
  <si>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</si>
  <si>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</si>
  <si>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</si>
  <si>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</si>
  <si>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</si>
  <si>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</si>
  <si>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</si>
  <si>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</si>
  <si>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</si>
  <si>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</si>
  <si>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</si>
  <si>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</si>
  <si>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</si>
  <si>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</si>
  <si>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</si>
  <si>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</si>
  <si>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</si>
  <si>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</si>
  <si>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</si>
  <si>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</si>
  <si>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</si>
  <si>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</si>
  <si>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</si>
  <si>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</si>
  <si>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</si>
  <si>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</si>
  <si>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</si>
  <si>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</si>
  <si>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</si>
  <si>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</si>
  <si>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</si>
  <si>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</si>
  <si>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</si>
  <si>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</si>
  <si>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</si>
  <si>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</si>
  <si>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</si>
  <si>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</si>
  <si>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</si>
  <si>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</si>
  <si>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</si>
  <si>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</si>
  <si>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</si>
  <si>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</si>
  <si>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</si>
  <si>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</si>
  <si>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</si>
  <si>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</si>
  <si>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</si>
  <si>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</si>
  <si>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</si>
  <si>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</si>
  <si>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</si>
  <si>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</si>
  <si>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</si>
  <si>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</si>
  <si>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</si>
  <si>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</si>
  <si>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</si>
  <si>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</si>
  <si>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</si>
  <si>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</si>
  <si>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</si>
  <si>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</si>
  <si>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</si>
  <si>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</si>
  <si>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</si>
  <si>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</si>
  <si>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</si>
  <si>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</si>
  <si>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</si>
  <si>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</si>
  <si>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</si>
  <si>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</si>
  <si>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</si>
  <si>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</si>
  <si>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</si>
  <si>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</si>
  <si>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</si>
  <si>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</si>
  <si>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</si>
  <si>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</si>
  <si>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</si>
  <si>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</si>
  <si>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</si>
  <si>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</si>
  <si>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</si>
  <si>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</si>
  <si>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</si>
  <si>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</si>
  <si>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</si>
  <si>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</si>
  <si>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</si>
  <si>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</si>
  <si>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</si>
  <si>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</si>
  <si>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</si>
  <si>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</si>
  <si>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</si>
  <si>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</si>
  <si>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</si>
  <si>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</si>
  <si>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</si>
  <si>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</si>
  <si>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</si>
  <si>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</si>
  <si>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</si>
  <si>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</si>
  <si>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</si>
  <si>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</si>
  <si>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</si>
  <si>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</si>
  <si>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</si>
  <si>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</si>
  <si>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</si>
  <si>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</si>
  <si>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</si>
  <si>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</si>
  <si>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</si>
  <si>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</si>
  <si>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</si>
  <si>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</si>
  <si>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</si>
  <si>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</si>
  <si>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</si>
  <si>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</si>
  <si>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</si>
  <si>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</si>
  <si>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</si>
  <si>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</si>
  <si>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</si>
  <si>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</si>
  <si>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</si>
  <si>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</si>
  <si>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</si>
  <si>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</si>
  <si>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</si>
  <si>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</si>
  <si>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</si>
  <si>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</si>
  <si>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</si>
  <si>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</si>
  <si>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</si>
  <si>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</si>
  <si>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</si>
  <si>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</si>
  <si>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</si>
  <si>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</si>
  <si>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</si>
  <si>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</si>
  <si>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</si>
  <si>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</si>
  <si>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</si>
  <si>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</si>
  <si>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</si>
  <si>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</si>
  <si>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</si>
  <si>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</si>
  <si>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</si>
  <si>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</si>
  <si>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</si>
  <si>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</si>
  <si>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</si>
  <si>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</si>
  <si>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</si>
  <si>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</si>
  <si>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</si>
  <si>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</si>
  <si>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</si>
  <si>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</si>
  <si>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</si>
  <si>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</si>
  <si>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</si>
  <si>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</si>
  <si>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</si>
  <si>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</si>
  <si>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</si>
  <si>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</si>
  <si>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</si>
  <si>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</si>
  <si>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</si>
  <si>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</si>
  <si>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</si>
  <si>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</si>
  <si>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</si>
  <si>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</si>
  <si>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</si>
  <si>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</si>
  <si>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</si>
  <si>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</si>
  <si>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</si>
  <si>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</si>
  <si>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</si>
  <si>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</si>
  <si>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</si>
  <si>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</si>
  <si>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</si>
  <si>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</si>
  <si>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</si>
  <si>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</si>
  <si>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</si>
  <si>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</si>
  <si>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</si>
  <si>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</si>
  <si>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</si>
  <si>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</si>
  <si>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</si>
  <si>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</si>
  <si>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</si>
  <si>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</si>
  <si>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</si>
  <si>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</si>
  <si>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</si>
  <si>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</si>
  <si>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</si>
  <si>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</si>
  <si>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</si>
  <si>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</si>
  <si>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</si>
  <si>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</si>
  <si>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</si>
  <si>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</si>
  <si>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</si>
  <si>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</si>
  <si>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</si>
  <si>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</si>
  <si>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</si>
  <si>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</si>
  <si>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</si>
  <si>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</si>
  <si>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</si>
  <si>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</si>
  <si>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</si>
  <si>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</si>
  <si>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</si>
  <si>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</si>
  <si>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</si>
  <si>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</si>
  <si>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</si>
  <si>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</si>
  <si>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</si>
  <si>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</si>
  <si>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</si>
  <si>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</si>
  <si>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</si>
  <si>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</si>
  <si>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</si>
  <si>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</si>
  <si>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</si>
  <si>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</si>
  <si>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</si>
  <si>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</si>
  <si>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</si>
  <si>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</si>
  <si>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</si>
  <si>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</si>
  <si>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</si>
  <si>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</si>
  <si>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</si>
  <si>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</si>
  <si>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</si>
  <si>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</si>
  <si>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</si>
  <si>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</si>
  <si>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</si>
  <si>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</si>
  <si>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</si>
  <si>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</si>
  <si>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</si>
  <si>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</si>
  <si>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</si>
  <si>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</si>
  <si>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</si>
  <si>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</si>
  <si>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</si>
  <si>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</si>
  <si>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</si>
  <si>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</si>
  <si>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</si>
  <si>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</si>
  <si>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</si>
  <si>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</si>
  <si>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</si>
  <si>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</si>
  <si>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</si>
  <si>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</si>
  <si>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</si>
  <si>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</si>
  <si>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</si>
  <si>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</si>
  <si>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</si>
  <si>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</si>
  <si>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</si>
  <si>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</si>
  <si>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</si>
  <si>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</si>
  <si>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</si>
  <si>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</si>
  <si>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</si>
  <si>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</si>
  <si>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</si>
  <si>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</si>
  <si>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</si>
  <si>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</si>
  <si>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</si>
  <si>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</si>
  <si>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</si>
  <si>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</si>
  <si>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</si>
  <si>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</si>
  <si>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</si>
  <si>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</si>
  <si>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</si>
  <si>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</si>
  <si>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</si>
  <si>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</si>
  <si>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</si>
  <si>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</si>
  <si>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</si>
  <si>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</si>
  <si>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</si>
  <si>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</si>
  <si>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</si>
  <si>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</si>
  <si>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</si>
  <si>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</si>
  <si>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</si>
  <si>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</si>
  <si>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</si>
  <si>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</si>
  <si>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</si>
  <si>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</si>
  <si>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</si>
  <si>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</si>
  <si>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</si>
  <si>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</si>
  <si>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</si>
  <si>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</si>
  <si>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</si>
  <si>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</si>
  <si>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</si>
  <si>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</si>
  <si>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</si>
  <si>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</si>
  <si>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</si>
  <si>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</si>
  <si>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</si>
  <si>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</si>
  <si>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</si>
  <si>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</si>
  <si>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</si>
  <si>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</si>
  <si>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</si>
  <si>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</si>
  <si>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</si>
  <si>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</si>
  <si>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</si>
  <si>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</si>
  <si>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</si>
  <si>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</si>
  <si>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</si>
  <si>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</si>
  <si>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</si>
  <si>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</si>
  <si>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</si>
  <si>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</si>
  <si>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</si>
  <si>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</si>
  <si>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</si>
  <si>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</si>
  <si>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</si>
  <si>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</si>
  <si>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</si>
  <si>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</si>
  <si>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</si>
  <si>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</si>
  <si>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</si>
  <si>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</si>
  <si>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</si>
  <si>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</si>
  <si>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</si>
  <si>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</si>
  <si>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</si>
  <si>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</si>
  <si>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</si>
  <si>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</si>
  <si>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</si>
  <si>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</si>
  <si>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</si>
  <si>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</si>
  <si>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</si>
  <si>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</si>
  <si>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</si>
  <si>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</si>
  <si>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</si>
  <si>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</si>
  <si>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</si>
  <si>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</si>
  <si>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</si>
  <si>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</si>
  <si>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</si>
  <si>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</si>
  <si>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</si>
  <si>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</si>
  <si>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</si>
  <si>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</si>
  <si>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</si>
  <si>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</si>
  <si>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</si>
  <si>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</si>
  <si>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</si>
  <si>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</si>
  <si>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</si>
  <si>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</si>
  <si>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</si>
  <si>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</si>
  <si>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</si>
  <si>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</si>
  <si>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</si>
  <si>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</si>
  <si>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</si>
  <si>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</si>
  <si>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</si>
  <si>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</si>
  <si>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</si>
  <si>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</si>
  <si>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</si>
  <si>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</si>
  <si>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</si>
  <si>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</si>
  <si>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</si>
  <si>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</si>
  <si>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</si>
  <si>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</si>
  <si>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</si>
  <si>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</si>
  <si>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</si>
  <si>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</si>
  <si>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</si>
  <si>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</si>
  <si>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</si>
  <si>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</si>
  <si>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</si>
  <si>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</si>
  <si>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</si>
  <si>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</si>
  <si>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</si>
  <si>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</si>
  <si>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</si>
  <si>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</si>
  <si>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</si>
  <si>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</si>
  <si>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</si>
  <si>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</si>
  <si>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</si>
  <si>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</si>
  <si>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</si>
  <si>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</si>
  <si>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</si>
  <si>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</si>
  <si>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</si>
  <si>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</si>
  <si>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</si>
  <si>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</si>
  <si>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</si>
  <si>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</si>
  <si>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</si>
  <si>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</si>
  <si>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</si>
  <si>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</si>
  <si>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</si>
  <si>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</si>
  <si>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</si>
  <si>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</si>
  <si>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</si>
  <si>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</si>
  <si>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</si>
  <si>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</si>
  <si>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</si>
  <si>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</si>
  <si>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</si>
  <si>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</si>
  <si>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</si>
  <si>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</si>
  <si>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</si>
  <si>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</si>
  <si>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</si>
  <si>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</si>
  <si>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</si>
  <si>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</si>
  <si>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</si>
  <si>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</si>
  <si>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</si>
  <si>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</si>
  <si>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</si>
  <si>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</si>
  <si>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</si>
  <si>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</si>
  <si>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</si>
  <si>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</si>
  <si>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</si>
  <si>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</si>
  <si>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</si>
  <si>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</si>
  <si>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</si>
  <si>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</si>
  <si>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</si>
  <si>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</si>
  <si>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</si>
  <si>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</si>
  <si>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</si>
  <si>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</si>
  <si>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</si>
  <si>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</si>
  <si>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</si>
  <si>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</si>
  <si>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</si>
  <si>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</si>
  <si>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</si>
  <si>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</si>
  <si>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</si>
  <si>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</si>
  <si>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</si>
  <si>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</si>
  <si>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</si>
  <si>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</si>
  <si>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</si>
  <si>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</si>
  <si>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</si>
  <si>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</si>
  <si>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</si>
  <si>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</si>
  <si>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</si>
  <si>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</si>
  <si>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</si>
  <si>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</si>
  <si>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</si>
  <si>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</si>
  <si>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</si>
  <si>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</si>
  <si>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</si>
  <si>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</si>
  <si>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</si>
  <si>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</si>
  <si>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</si>
  <si>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</si>
  <si>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</si>
  <si>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</si>
  <si>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</si>
  <si>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</si>
  <si>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</si>
  <si>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</si>
  <si>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</si>
  <si>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</si>
  <si>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</si>
  <si>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</si>
  <si>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</si>
  <si>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</si>
  <si>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</si>
  <si>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</si>
  <si>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</si>
  <si>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</si>
  <si>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</si>
  <si>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</si>
  <si>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</si>
  <si>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</si>
  <si>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</si>
  <si>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</si>
  <si>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</si>
  <si>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</si>
  <si>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</si>
  <si>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</si>
  <si>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</si>
  <si>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</si>
  <si>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</si>
  <si>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</si>
  <si>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</si>
  <si>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</si>
  <si>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</si>
  <si>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</si>
  <si>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</si>
  <si>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</si>
  <si>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</si>
  <si>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</si>
  <si>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</si>
  <si>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</si>
  <si>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</si>
  <si>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</si>
  <si>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</si>
  <si>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</si>
  <si>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</si>
  <si>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</si>
  <si>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</si>
  <si>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</si>
  <si>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</si>
  <si>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</si>
  <si>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</si>
  <si>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</si>
  <si>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</si>
  <si>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</si>
  <si>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核定资产</t>
  </si>
  <si>
    <t>北京市</t>
  </si>
  <si>
    <t>自然人</t>
  </si>
  <si>
    <t>地上</t>
  </si>
  <si>
    <t>住宅</t>
  </si>
  <si>
    <t>住宅</t>
    <phoneticPr fontId="7" type="noConversion"/>
  </si>
  <si>
    <t>是</t>
  </si>
  <si>
    <t>成新度</t>
  </si>
  <si>
    <t>利息：取LPR加浮动点数</t>
  </si>
  <si>
    <t>现房</t>
  </si>
  <si>
    <t>比较法-住宅</t>
  </si>
  <si>
    <t>序号</t>
    <phoneticPr fontId="134" type="noConversion"/>
  </si>
  <si>
    <t>房屋坐落</t>
  </si>
  <si>
    <t>物业名称</t>
  </si>
  <si>
    <t>产权性质</t>
  </si>
  <si>
    <t>建筑面积</t>
  </si>
  <si>
    <t>房屋用途</t>
  </si>
  <si>
    <t>总层数</t>
  </si>
  <si>
    <t>所在楼层</t>
  </si>
  <si>
    <t>朝向</t>
    <phoneticPr fontId="134" type="noConversion"/>
  </si>
  <si>
    <t>装修</t>
    <phoneticPr fontId="134" type="noConversion"/>
  </si>
  <si>
    <t>基础设施</t>
    <phoneticPr fontId="134" type="noConversion"/>
  </si>
  <si>
    <t>产权年代</t>
  </si>
  <si>
    <t>成交单价</t>
  </si>
  <si>
    <t>评估单价</t>
  </si>
  <si>
    <t>评估总价</t>
  </si>
  <si>
    <t>估价时点</t>
  </si>
  <si>
    <t>户型</t>
    <phoneticPr fontId="134" type="noConversion"/>
  </si>
  <si>
    <t>南</t>
    <phoneticPr fontId="134" type="noConversion"/>
  </si>
  <si>
    <t>南北</t>
    <phoneticPr fontId="134" type="noConversion"/>
  </si>
  <si>
    <t>北</t>
    <phoneticPr fontId="134" type="noConversion"/>
  </si>
  <si>
    <t>南</t>
  </si>
  <si>
    <t>东</t>
    <phoneticPr fontId="134" type="noConversion"/>
  </si>
  <si>
    <t>正常</t>
  </si>
  <si>
    <t>住宅</t>
    <phoneticPr fontId="24" type="noConversion"/>
  </si>
  <si>
    <t>较好</t>
  </si>
  <si>
    <t>七通</t>
  </si>
  <si>
    <t>建成年份</t>
    <phoneticPr fontId="24" type="noConversion"/>
  </si>
  <si>
    <t>东南</t>
    <phoneticPr fontId="134" type="noConversion"/>
  </si>
  <si>
    <t>西南</t>
    <phoneticPr fontId="134" type="noConversion"/>
  </si>
  <si>
    <t>东西</t>
    <phoneticPr fontId="134" type="noConversion"/>
  </si>
  <si>
    <t>西</t>
    <phoneticPr fontId="134" type="noConversion"/>
  </si>
  <si>
    <t>东北</t>
    <phoneticPr fontId="134" type="noConversion"/>
  </si>
  <si>
    <t>西北</t>
    <phoneticPr fontId="134" type="noConversion"/>
  </si>
  <si>
    <t>高速路</t>
  </si>
  <si>
    <t>快速路</t>
  </si>
  <si>
    <t>城市主干道</t>
  </si>
  <si>
    <t>城市次干道</t>
  </si>
  <si>
    <t>支路</t>
  </si>
  <si>
    <t>道路级别</t>
    <phoneticPr fontId="24" type="noConversion"/>
  </si>
  <si>
    <t>多层板楼</t>
  </si>
  <si>
    <t>高层板楼</t>
  </si>
  <si>
    <t>超高层板楼</t>
  </si>
  <si>
    <t>板塔结合</t>
  </si>
  <si>
    <t>塔楼</t>
  </si>
  <si>
    <t>钢结构</t>
  </si>
  <si>
    <t>钢混</t>
  </si>
  <si>
    <t>砖混</t>
  </si>
  <si>
    <t>混合</t>
  </si>
  <si>
    <t>框架</t>
  </si>
  <si>
    <t>精装修</t>
  </si>
  <si>
    <t>普通装修</t>
  </si>
  <si>
    <t>简单装修</t>
    <phoneticPr fontId="3" type="noConversion"/>
  </si>
  <si>
    <t>毛坯</t>
  </si>
  <si>
    <t>较好</t>
    <phoneticPr fontId="24" type="noConversion"/>
  </si>
  <si>
    <t>专业</t>
  </si>
  <si>
    <t>普通</t>
  </si>
  <si>
    <t>单位自管</t>
  </si>
  <si>
    <t>居委会</t>
  </si>
  <si>
    <t>六通</t>
  </si>
  <si>
    <t>五通</t>
  </si>
  <si>
    <t>四通</t>
  </si>
  <si>
    <t>三通</t>
  </si>
  <si>
    <t>复式</t>
  </si>
  <si>
    <t>平层</t>
  </si>
  <si>
    <t>楼层</t>
    <phoneticPr fontId="24" type="noConversion"/>
  </si>
  <si>
    <t>售价</t>
  </si>
  <si>
    <t>收益法</t>
  </si>
  <si>
    <t>押一</t>
  </si>
  <si>
    <t>非生产用房</t>
  </si>
  <si>
    <t>否</t>
  </si>
  <si>
    <t>成交单价</t>
    <phoneticPr fontId="134" type="noConversion"/>
  </si>
  <si>
    <t>评估单价</t>
    <phoneticPr fontId="134" type="noConversion"/>
  </si>
  <si>
    <t>成交日期</t>
    <phoneticPr fontId="134" type="noConversion"/>
  </si>
  <si>
    <t>城镇住宅用地</t>
  </si>
  <si>
    <t>自定义容积率</t>
  </si>
  <si>
    <t>不临65条商业街</t>
  </si>
  <si>
    <t>比例</t>
    <phoneticPr fontId="134" type="noConversion"/>
  </si>
  <si>
    <t>建筑面积</t>
    <phoneticPr fontId="134" type="noConversion"/>
  </si>
  <si>
    <t>套内建面</t>
    <phoneticPr fontId="134" type="noConversion"/>
  </si>
  <si>
    <r>
      <t>2</t>
    </r>
    <r>
      <rPr>
        <sz val="11"/>
        <color theme="1"/>
        <rFont val="宋体"/>
        <family val="3"/>
        <charset val="134"/>
        <scheme val="minor"/>
      </rPr>
      <t>019判决</t>
    </r>
    <phoneticPr fontId="134" type="noConversion"/>
  </si>
  <si>
    <t>房本</t>
    <phoneticPr fontId="134" type="noConversion"/>
  </si>
  <si>
    <t>现场测量</t>
    <phoneticPr fontId="134" type="noConversion"/>
  </si>
  <si>
    <t>宽</t>
    <phoneticPr fontId="134" type="noConversion"/>
  </si>
  <si>
    <t>长</t>
    <phoneticPr fontId="134" type="noConversion"/>
  </si>
  <si>
    <t>面积</t>
    <phoneticPr fontId="134" type="noConversion"/>
  </si>
  <si>
    <t>使用面积</t>
    <phoneticPr fontId="134" type="noConversion"/>
  </si>
  <si>
    <t>收益法单价</t>
    <phoneticPr fontId="134" type="noConversion"/>
  </si>
  <si>
    <t>总价（万元）</t>
    <phoneticPr fontId="134" type="noConversion"/>
  </si>
  <si>
    <t>使用率</t>
    <phoneticPr fontId="134" type="noConversion"/>
  </si>
  <si>
    <t>陈颖</t>
  </si>
  <si>
    <t>梁津</t>
  </si>
  <si>
    <t>采光</t>
    <phoneticPr fontId="24" type="noConversion"/>
  </si>
  <si>
    <t>较差</t>
    <phoneticPr fontId="24" type="noConversion"/>
  </si>
  <si>
    <t>一般</t>
  </si>
  <si>
    <t>一般</t>
    <phoneticPr fontId="24" type="noConversion"/>
  </si>
  <si>
    <t>好</t>
    <phoneticPr fontId="24" type="noConversion"/>
  </si>
  <si>
    <t>较好</t>
    <phoneticPr fontId="24" type="noConversion"/>
  </si>
  <si>
    <t>小高层板楼</t>
    <phoneticPr fontId="24" type="noConversion"/>
  </si>
  <si>
    <t>华展国际公寓</t>
    <phoneticPr fontId="3" type="noConversion"/>
  </si>
  <si>
    <t>裕民路12号院5号楼8层2单元905</t>
    <phoneticPr fontId="134" type="noConversion"/>
  </si>
  <si>
    <t>品元</t>
    <phoneticPr fontId="134" type="noConversion"/>
  </si>
  <si>
    <t>商品房</t>
    <phoneticPr fontId="134" type="noConversion"/>
  </si>
  <si>
    <t>住宅</t>
    <phoneticPr fontId="134" type="noConversion"/>
  </si>
  <si>
    <t>17（-2）</t>
    <phoneticPr fontId="134" type="noConversion"/>
  </si>
  <si>
    <t>裕民东里</t>
    <phoneticPr fontId="134" type="noConversion"/>
  </si>
  <si>
    <t>裕民东里4号楼203号</t>
    <phoneticPr fontId="134" type="noConversion"/>
  </si>
  <si>
    <t>裕民路12号院2号楼14层C1401</t>
    <phoneticPr fontId="134" type="noConversion"/>
  </si>
  <si>
    <t>华展国际公寓</t>
    <phoneticPr fontId="134" type="noConversion"/>
  </si>
  <si>
    <t>16（-1）</t>
    <phoneticPr fontId="134" type="noConversion"/>
  </si>
  <si>
    <t>房改房（成本价）</t>
    <phoneticPr fontId="134" type="noConversion"/>
  </si>
  <si>
    <t>裕民东里6号楼3层9门303</t>
    <phoneticPr fontId="134" type="noConversion"/>
  </si>
  <si>
    <t>南北</t>
  </si>
  <si>
    <t>南北</t>
    <phoneticPr fontId="134" type="noConversion"/>
  </si>
  <si>
    <t>普通装修</t>
    <phoneticPr fontId="134" type="noConversion"/>
  </si>
  <si>
    <t>七通</t>
    <phoneticPr fontId="134" type="noConversion"/>
  </si>
  <si>
    <t>精装修</t>
    <phoneticPr fontId="134" type="noConversion"/>
  </si>
  <si>
    <t>2室1厅1卫1厨无储藏间无花园无露台无车库其他无</t>
    <phoneticPr fontId="134" type="noConversion"/>
  </si>
  <si>
    <t>南</t>
    <phoneticPr fontId="134" type="noConversion"/>
  </si>
  <si>
    <t>5室2厅4卫1厨4储藏间无花园无露台无车库其他无</t>
    <phoneticPr fontId="134" type="noConversion"/>
  </si>
  <si>
    <t xml:space="preserve"> 4室1厅2卫1厨无储藏间无花园无露台无车库其他无</t>
    <phoneticPr fontId="134" type="noConversion"/>
  </si>
  <si>
    <t>东南</t>
    <phoneticPr fontId="134" type="noConversion"/>
  </si>
  <si>
    <r>
      <t>15/17</t>
    </r>
    <r>
      <rPr>
        <sz val="11"/>
        <rFont val="宋体"/>
        <family val="3"/>
        <charset val="134"/>
      </rPr>
      <t>（高楼层）</t>
    </r>
    <phoneticPr fontId="24" type="noConversion"/>
  </si>
  <si>
    <r>
      <t>8/17</t>
    </r>
    <r>
      <rPr>
        <sz val="11"/>
        <rFont val="宋体"/>
        <family val="3"/>
        <charset val="134"/>
      </rPr>
      <t>（中楼层）</t>
    </r>
    <phoneticPr fontId="24" type="noConversion"/>
  </si>
  <si>
    <r>
      <t>2/18</t>
    </r>
    <r>
      <rPr>
        <sz val="11"/>
        <rFont val="宋体"/>
        <family val="3"/>
        <charset val="134"/>
      </rPr>
      <t>（低楼层）</t>
    </r>
    <phoneticPr fontId="24" type="noConversion"/>
  </si>
  <si>
    <r>
      <t>3/6</t>
    </r>
    <r>
      <rPr>
        <sz val="11"/>
        <rFont val="宋体"/>
        <family val="3"/>
        <charset val="134"/>
      </rPr>
      <t>（中楼层）</t>
    </r>
    <phoneticPr fontId="24" type="noConversion"/>
  </si>
  <si>
    <r>
      <rPr>
        <sz val="11"/>
        <color indexed="8"/>
        <rFont val="宋体"/>
        <family val="3"/>
        <charset val="134"/>
      </rPr>
      <t>城市支路</t>
    </r>
    <r>
      <rPr>
        <sz val="11"/>
        <color indexed="8"/>
        <rFont val="Arial"/>
        <family val="2"/>
      </rPr>
      <t>-</t>
    </r>
    <r>
      <rPr>
        <sz val="11"/>
        <color indexed="8"/>
        <rFont val="宋体"/>
        <family val="3"/>
        <charset val="134"/>
      </rPr>
      <t>裕民路</t>
    </r>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</si>
</sst>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8"/>
      <name val="Microsoft YaHei"/>
      <family val="2"/>
      <charset val="134"/>
    </font>
    <font>
      <sz val="8"/>
      <color theme="1"/>
      <name val="宋体"/>
      <family val="3"/>
      <charset val="134"/>
      <scheme val="minor"/>
    </font>
    <font>
      <sz val="8"/>
      <name val="宋体"/>
      <family val="3"/>
      <charset val="134"/>
      <scheme val="minor"/>
    </font>
    <font>
      <sz val="11"/>
      <color rgb="FF000000"/>
      <name val="宋体"/>
      <family val="3"/>
      <charset val="134"/>
    </font>
    <font>
      <sz val="11"/>
      <name val="楷体_GB2312"/>
      <family val="3"/>
      <charset val="134"/>
    </font>
    <font>
      <sz val="11"/>
      <color indexed="8"/>
      <name val="Arial"/>
      <family val="3"/>
      <charset val="134"/>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0" fontId="269" fillId="7" borderId="1" xfId="0" applyFont="1" applyFill="1" applyBorder="1" applyAlignment="1">
      <alignment horizontal="center" vertical="center" wrapText="1"/>
    </xf>
    <xf numFmtId="0" fontId="269" fillId="7" borderId="15" xfId="0" applyFont="1" applyFill="1" applyBorder="1" applyAlignment="1">
      <alignment horizontal="center" vertical="center" wrapText="1"/>
    </xf>
    <xf numFmtId="0" fontId="270" fillId="0" borderId="0" xfId="0" applyFont="1">
      <alignment vertical="center"/>
    </xf>
    <xf numFmtId="31" fontId="269" fillId="7" borderId="1" xfId="0" applyNumberFormat="1" applyFont="1" applyFill="1" applyBorder="1" applyAlignment="1">
      <alignment horizontal="center" vertical="center" wrapText="1"/>
    </xf>
    <xf numFmtId="0" fontId="271" fillId="0" borderId="0" xfId="0" applyFont="1">
      <alignment vertical="center"/>
    </xf>
    <xf numFmtId="0" fontId="271" fillId="7" borderId="0" xfId="0" applyFont="1" applyFill="1">
      <alignment vertical="center"/>
    </xf>
    <xf numFmtId="0" fontId="269" fillId="10" borderId="1" xfId="0" applyFont="1" applyFill="1" applyBorder="1" applyAlignment="1">
      <alignment horizontal="center" vertical="center" wrapText="1"/>
    </xf>
    <xf numFmtId="31" fontId="269" fillId="10" borderId="1" xfId="0" applyNumberFormat="1" applyFont="1" applyFill="1" applyBorder="1" applyAlignment="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0" fillId="10" borderId="0" xfId="0" applyFill="1">
      <alignment vertical="center"/>
    </xf>
    <xf numFmtId="0" fontId="128" fillId="0" borderId="5" xfId="0" applyFont="1" applyFill="1" applyBorder="1" applyAlignment="1" applyProtection="1">
      <alignment horizontal="center" vertical="center" wrapText="1"/>
      <protection locked="0"/>
    </xf>
    <xf numFmtId="0" fontId="272"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22" fillId="0" borderId="44" xfId="0"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273" fillId="0" borderId="9" xfId="0" applyFont="1" applyBorder="1" applyAlignment="1" applyProtection="1">
      <alignment horizontal="center" vertical="center" wrapText="1"/>
      <protection locked="0"/>
    </xf>
    <xf numFmtId="0" fontId="273" fillId="0" borderId="30" xfId="0" applyFont="1" applyBorder="1" applyAlignment="1" applyProtection="1">
      <alignment horizontal="center" vertical="center" wrapText="1"/>
      <protection locked="0"/>
    </xf>
    <xf numFmtId="0" fontId="94" fillId="0" borderId="0" xfId="0" applyFont="1" applyAlignment="1" applyProtection="1">
      <alignment horizontal="left" vertical="center"/>
      <protection locked="0"/>
    </xf>
    <xf numFmtId="0" fontId="94" fillId="0" borderId="30"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44" xfId="0" applyFont="1" applyBorder="1" applyAlignment="1" applyProtection="1">
      <alignment horizontal="left" vertical="center" wrapText="1"/>
      <protection locked="0"/>
    </xf>
    <xf numFmtId="0" fontId="44" fillId="0" borderId="44" xfId="0" applyFont="1" applyBorder="1" applyAlignment="1" applyProtection="1">
      <alignment horizontal="center" vertical="center" wrapText="1"/>
      <protection locked="0"/>
    </xf>
    <xf numFmtId="0" fontId="274" fillId="0" borderId="41" xfId="0" applyNumberFormat="1" applyFont="1" applyFill="1" applyBorder="1" applyAlignment="1" applyProtection="1">
      <alignment horizontal="center" vertical="center" wrapText="1"/>
      <protection locked="0"/>
    </xf>
    <xf numFmtId="14" fontId="0" fillId="0" borderId="0" xfId="0" applyNumberFormat="1">
      <alignment vertical="center"/>
    </xf>
    <xf numFmtId="177" fontId="0" fillId="0" borderId="0" xfId="0" applyNumberFormat="1">
      <alignment vertical="center"/>
    </xf>
    <xf numFmtId="179" fontId="0" fillId="0" borderId="0" xfId="0" applyNumberFormat="1">
      <alignment vertical="center"/>
    </xf>
    <xf numFmtId="14" fontId="275" fillId="0" borderId="0" xfId="0" applyNumberFormat="1" applyFont="1">
      <alignment vertical="center"/>
    </xf>
    <xf numFmtId="177" fontId="275" fillId="0" borderId="0" xfId="0" applyNumberFormat="1" applyFont="1">
      <alignment vertical="center"/>
    </xf>
    <xf numFmtId="179" fontId="275" fillId="0" borderId="0" xfId="0" applyNumberFormat="1" applyFont="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pplyAlignment="1">
      <alignment horizontal="center" vertical="center"/>
    </xf>
    <xf numFmtId="0" fontId="0" fillId="0" borderId="0" xfId="0" applyAlignment="1">
      <alignment horizontal="center" vertical="center"/>
    </xf>
    <xf numFmtId="181" fontId="52" fillId="15" borderId="24" xfId="0" applyNumberFormat="1" applyFont="1" applyFill="1" applyBorder="1" applyAlignment="1" applyProtection="1">
      <alignment horizontal="center" vertical="center"/>
    </xf>
    <xf numFmtId="0" fontId="52" fillId="15" borderId="24" xfId="0" applyFont="1" applyFill="1" applyBorder="1" applyAlignment="1" applyProtection="1">
      <alignment horizontal="center" vertical="center"/>
    </xf>
    <xf numFmtId="180" fontId="52" fillId="15" borderId="49" xfId="0" applyNumberFormat="1" applyFont="1" applyFill="1" applyBorder="1" applyAlignment="1" applyProtection="1">
      <alignment horizontal="center" vertical="center"/>
    </xf>
    <xf numFmtId="0" fontId="95" fillId="15" borderId="0" xfId="0" applyFont="1" applyFill="1" applyAlignment="1">
      <alignment horizontal="center" vertical="center"/>
    </xf>
    <xf numFmtId="0" fontId="94" fillId="0" borderId="37" xfId="0" applyNumberFormat="1"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189" fontId="44" fillId="6"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drawing4.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23.png"/><Relationship Id="rId7" Type="http://schemas.openxmlformats.org/officeDocument/2006/relationships/image" Target="../media/image27.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11" Type="http://schemas.openxmlformats.org/officeDocument/2006/relationships/image" Target="../media/image31.png"/><Relationship Id="rId5" Type="http://schemas.openxmlformats.org/officeDocument/2006/relationships/image" Target="../media/image25.png"/><Relationship Id="rId10" Type="http://schemas.openxmlformats.org/officeDocument/2006/relationships/image" Target="../media/image30.png"/><Relationship Id="rId4" Type="http://schemas.openxmlformats.org/officeDocument/2006/relationships/image" Target="../media/image24.png"/><Relationship Id="rId9" Type="http://schemas.openxmlformats.org/officeDocument/2006/relationships/image" Target="../media/image29.png"/></Relationships>
</file>

<file path=xl/drawings/_rels/drawing5.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247650</xdr:colOff>
      <xdr:row>0</xdr:row>
      <xdr:rowOff>38100</xdr:rowOff>
    </xdr:from>
    <xdr:to>
      <xdr:col>11</xdr:col>
      <xdr:colOff>332421</xdr:colOff>
      <xdr:row>25</xdr:row>
      <xdr:rowOff>132802</xdr:rowOff>
    </xdr:to>
    <xdr:pic>
      <xdr:nvPicPr>
        <xdr:cNvPr id="2" name="图片 1">
          <a:extLst>
            <a:ext uri="{FF2B5EF4-FFF2-40B4-BE49-F238E27FC236}">
              <a16:creationId xmlns:a16="http://schemas.microsoft.com/office/drawing/2014/main" id="{54DC4C27-123C-430C-B38C-3296BFCE8FA8}"/>
            </a:ext>
          </a:extLst>
        </xdr:cNvPr>
        <xdr:cNvPicPr>
          <a:picLocks noChangeAspect="1"/>
        </xdr:cNvPicPr>
      </xdr:nvPicPr>
      <xdr:blipFill>
        <a:blip xmlns:r="http://schemas.openxmlformats.org/officeDocument/2006/relationships" r:embed="rId1"/>
        <a:stretch>
          <a:fillRect/>
        </a:stretch>
      </xdr:blipFill>
      <xdr:spPr>
        <a:xfrm>
          <a:off x="247650" y="38100"/>
          <a:ext cx="7628571" cy="4380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18</xdr:col>
      <xdr:colOff>323850</xdr:colOff>
      <xdr:row>36</xdr:row>
      <xdr:rowOff>66675</xdr:rowOff>
    </xdr:from>
    <xdr:to>
      <xdr:col>22</xdr:col>
      <xdr:colOff>237793</xdr:colOff>
      <xdr:row>52</xdr:row>
      <xdr:rowOff>47284</xdr:rowOff>
    </xdr:to>
    <xdr:pic>
      <xdr:nvPicPr>
        <xdr:cNvPr id="8" name="图片 7">
          <a:extLst>
            <a:ext uri="{FF2B5EF4-FFF2-40B4-BE49-F238E27FC236}">
              <a16:creationId xmlns:a16="http://schemas.microsoft.com/office/drawing/2014/main" id="{D821C830-9B64-44C6-97E3-7AC92D90ECDB}"/>
            </a:ext>
          </a:extLst>
        </xdr:cNvPr>
        <xdr:cNvPicPr>
          <a:picLocks noChangeAspect="1"/>
        </xdr:cNvPicPr>
      </xdr:nvPicPr>
      <xdr:blipFill>
        <a:blip xmlns:r="http://schemas.openxmlformats.org/officeDocument/2006/relationships" r:embed="rId1"/>
        <a:stretch>
          <a:fillRect/>
        </a:stretch>
      </xdr:blipFill>
      <xdr:spPr>
        <a:xfrm>
          <a:off x="12668250" y="4695825"/>
          <a:ext cx="2657143" cy="2723809"/>
        </a:xfrm>
        <a:prstGeom prst="rect">
          <a:avLst/>
        </a:prstGeom>
      </xdr:spPr>
    </xdr:pic>
    <xdr:clientData/>
  </xdr:twoCellAnchor>
  <xdr:twoCellAnchor editAs="oneCell">
    <xdr:from>
      <xdr:col>0</xdr:col>
      <xdr:colOff>0</xdr:colOff>
      <xdr:row>84</xdr:row>
      <xdr:rowOff>9525</xdr:rowOff>
    </xdr:from>
    <xdr:to>
      <xdr:col>9</xdr:col>
      <xdr:colOff>256295</xdr:colOff>
      <xdr:row>104</xdr:row>
      <xdr:rowOff>56715</xdr:rowOff>
    </xdr:to>
    <xdr:pic>
      <xdr:nvPicPr>
        <xdr:cNvPr id="12" name="图片 11">
          <a:extLst>
            <a:ext uri="{FF2B5EF4-FFF2-40B4-BE49-F238E27FC236}">
              <a16:creationId xmlns:a16="http://schemas.microsoft.com/office/drawing/2014/main" id="{58C9297C-507C-48F6-AA2A-B2E5696C492A}"/>
            </a:ext>
          </a:extLst>
        </xdr:cNvPr>
        <xdr:cNvPicPr>
          <a:picLocks noChangeAspect="1"/>
        </xdr:cNvPicPr>
      </xdr:nvPicPr>
      <xdr:blipFill>
        <a:blip xmlns:r="http://schemas.openxmlformats.org/officeDocument/2006/relationships" r:embed="rId2"/>
        <a:stretch>
          <a:fillRect/>
        </a:stretch>
      </xdr:blipFill>
      <xdr:spPr>
        <a:xfrm>
          <a:off x="0" y="14420850"/>
          <a:ext cx="7038095" cy="3476190"/>
        </a:xfrm>
        <a:prstGeom prst="rect">
          <a:avLst/>
        </a:prstGeom>
      </xdr:spPr>
    </xdr:pic>
    <xdr:clientData/>
  </xdr:twoCellAnchor>
  <xdr:twoCellAnchor editAs="oneCell">
    <xdr:from>
      <xdr:col>9</xdr:col>
      <xdr:colOff>142875</xdr:colOff>
      <xdr:row>84</xdr:row>
      <xdr:rowOff>47625</xdr:rowOff>
    </xdr:from>
    <xdr:to>
      <xdr:col>18</xdr:col>
      <xdr:colOff>399246</xdr:colOff>
      <xdr:row>92</xdr:row>
      <xdr:rowOff>37930</xdr:rowOff>
    </xdr:to>
    <xdr:pic>
      <xdr:nvPicPr>
        <xdr:cNvPr id="13" name="图片 12">
          <a:extLst>
            <a:ext uri="{FF2B5EF4-FFF2-40B4-BE49-F238E27FC236}">
              <a16:creationId xmlns:a16="http://schemas.microsoft.com/office/drawing/2014/main" id="{6C318C7E-0CB8-4A7B-A3C7-03BE420E1763}"/>
            </a:ext>
          </a:extLst>
        </xdr:cNvPr>
        <xdr:cNvPicPr>
          <a:picLocks noChangeAspect="1"/>
        </xdr:cNvPicPr>
      </xdr:nvPicPr>
      <xdr:blipFill>
        <a:blip xmlns:r="http://schemas.openxmlformats.org/officeDocument/2006/relationships" r:embed="rId3"/>
        <a:stretch>
          <a:fillRect/>
        </a:stretch>
      </xdr:blipFill>
      <xdr:spPr>
        <a:xfrm>
          <a:off x="6924675" y="14458950"/>
          <a:ext cx="6428571" cy="1361905"/>
        </a:xfrm>
        <a:prstGeom prst="rect">
          <a:avLst/>
        </a:prstGeom>
      </xdr:spPr>
    </xdr:pic>
    <xdr:clientData/>
  </xdr:twoCellAnchor>
  <xdr:twoCellAnchor editAs="oneCell">
    <xdr:from>
      <xdr:col>0</xdr:col>
      <xdr:colOff>0</xdr:colOff>
      <xdr:row>108</xdr:row>
      <xdr:rowOff>19050</xdr:rowOff>
    </xdr:from>
    <xdr:to>
      <xdr:col>9</xdr:col>
      <xdr:colOff>284867</xdr:colOff>
      <xdr:row>127</xdr:row>
      <xdr:rowOff>104357</xdr:rowOff>
    </xdr:to>
    <xdr:pic>
      <xdr:nvPicPr>
        <xdr:cNvPr id="14" name="图片 13">
          <a:extLst>
            <a:ext uri="{FF2B5EF4-FFF2-40B4-BE49-F238E27FC236}">
              <a16:creationId xmlns:a16="http://schemas.microsoft.com/office/drawing/2014/main" id="{92B5C7D0-E6FC-411E-B435-9F5AB74A6916}"/>
            </a:ext>
          </a:extLst>
        </xdr:cNvPr>
        <xdr:cNvPicPr>
          <a:picLocks noChangeAspect="1"/>
        </xdr:cNvPicPr>
      </xdr:nvPicPr>
      <xdr:blipFill>
        <a:blip xmlns:r="http://schemas.openxmlformats.org/officeDocument/2006/relationships" r:embed="rId4"/>
        <a:stretch>
          <a:fillRect/>
        </a:stretch>
      </xdr:blipFill>
      <xdr:spPr>
        <a:xfrm>
          <a:off x="0" y="18545175"/>
          <a:ext cx="7066667" cy="3342857"/>
        </a:xfrm>
        <a:prstGeom prst="rect">
          <a:avLst/>
        </a:prstGeom>
      </xdr:spPr>
    </xdr:pic>
    <xdr:clientData/>
  </xdr:twoCellAnchor>
  <xdr:twoCellAnchor editAs="oneCell">
    <xdr:from>
      <xdr:col>9</xdr:col>
      <xdr:colOff>438150</xdr:colOff>
      <xdr:row>107</xdr:row>
      <xdr:rowOff>9525</xdr:rowOff>
    </xdr:from>
    <xdr:to>
      <xdr:col>17</xdr:col>
      <xdr:colOff>427940</xdr:colOff>
      <xdr:row>118</xdr:row>
      <xdr:rowOff>28337</xdr:rowOff>
    </xdr:to>
    <xdr:pic>
      <xdr:nvPicPr>
        <xdr:cNvPr id="15" name="图片 14">
          <a:extLst>
            <a:ext uri="{FF2B5EF4-FFF2-40B4-BE49-F238E27FC236}">
              <a16:creationId xmlns:a16="http://schemas.microsoft.com/office/drawing/2014/main" id="{D774A6FE-A39C-4C70-88EF-203DC4771F24}"/>
            </a:ext>
          </a:extLst>
        </xdr:cNvPr>
        <xdr:cNvPicPr>
          <a:picLocks noChangeAspect="1"/>
        </xdr:cNvPicPr>
      </xdr:nvPicPr>
      <xdr:blipFill>
        <a:blip xmlns:r="http://schemas.openxmlformats.org/officeDocument/2006/relationships" r:embed="rId5"/>
        <a:stretch>
          <a:fillRect/>
        </a:stretch>
      </xdr:blipFill>
      <xdr:spPr>
        <a:xfrm>
          <a:off x="7219950" y="18364200"/>
          <a:ext cx="5476190" cy="1904762"/>
        </a:xfrm>
        <a:prstGeom prst="rect">
          <a:avLst/>
        </a:prstGeom>
      </xdr:spPr>
    </xdr:pic>
    <xdr:clientData/>
  </xdr:twoCellAnchor>
  <xdr:twoCellAnchor editAs="oneCell">
    <xdr:from>
      <xdr:col>9</xdr:col>
      <xdr:colOff>342900</xdr:colOff>
      <xdr:row>118</xdr:row>
      <xdr:rowOff>76200</xdr:rowOff>
    </xdr:from>
    <xdr:to>
      <xdr:col>17</xdr:col>
      <xdr:colOff>399357</xdr:colOff>
      <xdr:row>133</xdr:row>
      <xdr:rowOff>47307</xdr:rowOff>
    </xdr:to>
    <xdr:pic>
      <xdr:nvPicPr>
        <xdr:cNvPr id="16" name="图片 15">
          <a:extLst>
            <a:ext uri="{FF2B5EF4-FFF2-40B4-BE49-F238E27FC236}">
              <a16:creationId xmlns:a16="http://schemas.microsoft.com/office/drawing/2014/main" id="{ECEC6F9B-E7FD-4C0C-A6CE-33D728F341AC}"/>
            </a:ext>
          </a:extLst>
        </xdr:cNvPr>
        <xdr:cNvPicPr>
          <a:picLocks noChangeAspect="1"/>
        </xdr:cNvPicPr>
      </xdr:nvPicPr>
      <xdr:blipFill>
        <a:blip xmlns:r="http://schemas.openxmlformats.org/officeDocument/2006/relationships" r:embed="rId6"/>
        <a:stretch>
          <a:fillRect/>
        </a:stretch>
      </xdr:blipFill>
      <xdr:spPr>
        <a:xfrm>
          <a:off x="7124700" y="20316825"/>
          <a:ext cx="5542857" cy="2542857"/>
        </a:xfrm>
        <a:prstGeom prst="rect">
          <a:avLst/>
        </a:prstGeom>
      </xdr:spPr>
    </xdr:pic>
    <xdr:clientData/>
  </xdr:twoCellAnchor>
  <xdr:twoCellAnchor editAs="oneCell">
    <xdr:from>
      <xdr:col>0</xdr:col>
      <xdr:colOff>0</xdr:colOff>
      <xdr:row>137</xdr:row>
      <xdr:rowOff>104775</xdr:rowOff>
    </xdr:from>
    <xdr:to>
      <xdr:col>9</xdr:col>
      <xdr:colOff>237248</xdr:colOff>
      <xdr:row>155</xdr:row>
      <xdr:rowOff>37723</xdr:rowOff>
    </xdr:to>
    <xdr:pic>
      <xdr:nvPicPr>
        <xdr:cNvPr id="17" name="图片 16">
          <a:extLst>
            <a:ext uri="{FF2B5EF4-FFF2-40B4-BE49-F238E27FC236}">
              <a16:creationId xmlns:a16="http://schemas.microsoft.com/office/drawing/2014/main" id="{F81F3BC7-AF65-4578-8065-79829CE6D4A8}"/>
            </a:ext>
          </a:extLst>
        </xdr:cNvPr>
        <xdr:cNvPicPr>
          <a:picLocks noChangeAspect="1"/>
        </xdr:cNvPicPr>
      </xdr:nvPicPr>
      <xdr:blipFill>
        <a:blip xmlns:r="http://schemas.openxmlformats.org/officeDocument/2006/relationships" r:embed="rId7"/>
        <a:stretch>
          <a:fillRect/>
        </a:stretch>
      </xdr:blipFill>
      <xdr:spPr>
        <a:xfrm>
          <a:off x="0" y="23602950"/>
          <a:ext cx="7019048" cy="3019048"/>
        </a:xfrm>
        <a:prstGeom prst="rect">
          <a:avLst/>
        </a:prstGeom>
      </xdr:spPr>
    </xdr:pic>
    <xdr:clientData/>
  </xdr:twoCellAnchor>
  <xdr:twoCellAnchor editAs="oneCell">
    <xdr:from>
      <xdr:col>9</xdr:col>
      <xdr:colOff>200025</xdr:colOff>
      <xdr:row>139</xdr:row>
      <xdr:rowOff>95250</xdr:rowOff>
    </xdr:from>
    <xdr:to>
      <xdr:col>19</xdr:col>
      <xdr:colOff>113453</xdr:colOff>
      <xdr:row>152</xdr:row>
      <xdr:rowOff>152114</xdr:rowOff>
    </xdr:to>
    <xdr:pic>
      <xdr:nvPicPr>
        <xdr:cNvPr id="18" name="图片 17">
          <a:extLst>
            <a:ext uri="{FF2B5EF4-FFF2-40B4-BE49-F238E27FC236}">
              <a16:creationId xmlns:a16="http://schemas.microsoft.com/office/drawing/2014/main" id="{DE202A1D-8919-4D3D-9E55-5A1A7D1C514D}"/>
            </a:ext>
          </a:extLst>
        </xdr:cNvPr>
        <xdr:cNvPicPr>
          <a:picLocks noChangeAspect="1"/>
        </xdr:cNvPicPr>
      </xdr:nvPicPr>
      <xdr:blipFill>
        <a:blip xmlns:r="http://schemas.openxmlformats.org/officeDocument/2006/relationships" r:embed="rId8"/>
        <a:stretch>
          <a:fillRect/>
        </a:stretch>
      </xdr:blipFill>
      <xdr:spPr>
        <a:xfrm>
          <a:off x="6981825" y="23936325"/>
          <a:ext cx="6771428" cy="2285714"/>
        </a:xfrm>
        <a:prstGeom prst="rect">
          <a:avLst/>
        </a:prstGeom>
      </xdr:spPr>
    </xdr:pic>
    <xdr:clientData/>
  </xdr:twoCellAnchor>
  <xdr:twoCellAnchor editAs="oneCell">
    <xdr:from>
      <xdr:col>0</xdr:col>
      <xdr:colOff>0</xdr:colOff>
      <xdr:row>159</xdr:row>
      <xdr:rowOff>38100</xdr:rowOff>
    </xdr:from>
    <xdr:to>
      <xdr:col>9</xdr:col>
      <xdr:colOff>265819</xdr:colOff>
      <xdr:row>179</xdr:row>
      <xdr:rowOff>18624</xdr:rowOff>
    </xdr:to>
    <xdr:pic>
      <xdr:nvPicPr>
        <xdr:cNvPr id="19" name="图片 18">
          <a:extLst>
            <a:ext uri="{FF2B5EF4-FFF2-40B4-BE49-F238E27FC236}">
              <a16:creationId xmlns:a16="http://schemas.microsoft.com/office/drawing/2014/main" id="{329D46C1-A15A-41C8-9EBC-870ACEB7156B}"/>
            </a:ext>
          </a:extLst>
        </xdr:cNvPr>
        <xdr:cNvPicPr>
          <a:picLocks noChangeAspect="1"/>
        </xdr:cNvPicPr>
      </xdr:nvPicPr>
      <xdr:blipFill>
        <a:blip xmlns:r="http://schemas.openxmlformats.org/officeDocument/2006/relationships" r:embed="rId9"/>
        <a:stretch>
          <a:fillRect/>
        </a:stretch>
      </xdr:blipFill>
      <xdr:spPr>
        <a:xfrm>
          <a:off x="0" y="27308175"/>
          <a:ext cx="7047619" cy="3409524"/>
        </a:xfrm>
        <a:prstGeom prst="rect">
          <a:avLst/>
        </a:prstGeom>
      </xdr:spPr>
    </xdr:pic>
    <xdr:clientData/>
  </xdr:twoCellAnchor>
  <xdr:twoCellAnchor editAs="oneCell">
    <xdr:from>
      <xdr:col>8</xdr:col>
      <xdr:colOff>628650</xdr:colOff>
      <xdr:row>161</xdr:row>
      <xdr:rowOff>76200</xdr:rowOff>
    </xdr:from>
    <xdr:to>
      <xdr:col>18</xdr:col>
      <xdr:colOff>656364</xdr:colOff>
      <xdr:row>174</xdr:row>
      <xdr:rowOff>56874</xdr:rowOff>
    </xdr:to>
    <xdr:pic>
      <xdr:nvPicPr>
        <xdr:cNvPr id="20" name="图片 19">
          <a:extLst>
            <a:ext uri="{FF2B5EF4-FFF2-40B4-BE49-F238E27FC236}">
              <a16:creationId xmlns:a16="http://schemas.microsoft.com/office/drawing/2014/main" id="{CEB6A57A-797E-4D79-8CD0-1DB394E63337}"/>
            </a:ext>
          </a:extLst>
        </xdr:cNvPr>
        <xdr:cNvPicPr>
          <a:picLocks noChangeAspect="1"/>
        </xdr:cNvPicPr>
      </xdr:nvPicPr>
      <xdr:blipFill>
        <a:blip xmlns:r="http://schemas.openxmlformats.org/officeDocument/2006/relationships" r:embed="rId10"/>
        <a:stretch>
          <a:fillRect/>
        </a:stretch>
      </xdr:blipFill>
      <xdr:spPr>
        <a:xfrm>
          <a:off x="6724650" y="27689175"/>
          <a:ext cx="6885714" cy="2209524"/>
        </a:xfrm>
        <a:prstGeom prst="rect">
          <a:avLst/>
        </a:prstGeom>
      </xdr:spPr>
    </xdr:pic>
    <xdr:clientData/>
  </xdr:twoCellAnchor>
  <xdr:twoCellAnchor editAs="oneCell">
    <xdr:from>
      <xdr:col>0</xdr:col>
      <xdr:colOff>0</xdr:colOff>
      <xdr:row>0</xdr:row>
      <xdr:rowOff>0</xdr:rowOff>
    </xdr:from>
    <xdr:to>
      <xdr:col>10</xdr:col>
      <xdr:colOff>275080</xdr:colOff>
      <xdr:row>24</xdr:row>
      <xdr:rowOff>8924</xdr:rowOff>
    </xdr:to>
    <xdr:pic>
      <xdr:nvPicPr>
        <xdr:cNvPr id="21" name="图片 20">
          <a:extLst>
            <a:ext uri="{FF2B5EF4-FFF2-40B4-BE49-F238E27FC236}">
              <a16:creationId xmlns:a16="http://schemas.microsoft.com/office/drawing/2014/main" id="{8B07A651-FCEC-443E-90D8-6E22FA8E8161}"/>
            </a:ext>
          </a:extLst>
        </xdr:cNvPr>
        <xdr:cNvPicPr>
          <a:picLocks noChangeAspect="1"/>
        </xdr:cNvPicPr>
      </xdr:nvPicPr>
      <xdr:blipFill>
        <a:blip xmlns:r="http://schemas.openxmlformats.org/officeDocument/2006/relationships" r:embed="rId11"/>
        <a:stretch>
          <a:fillRect/>
        </a:stretch>
      </xdr:blipFill>
      <xdr:spPr>
        <a:xfrm>
          <a:off x="0" y="0"/>
          <a:ext cx="7742680" cy="41332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656371</xdr:colOff>
      <xdr:row>8</xdr:row>
      <xdr:rowOff>171257</xdr:rowOff>
    </xdr:to>
    <xdr:pic>
      <xdr:nvPicPr>
        <xdr:cNvPr id="2" name="图片 1">
          <a:extLst>
            <a:ext uri="{FF2B5EF4-FFF2-40B4-BE49-F238E27FC236}">
              <a16:creationId xmlns:a16="http://schemas.microsoft.com/office/drawing/2014/main" id="{381E1E39-FFC2-4888-A935-EA8C39059CDB}"/>
            </a:ext>
          </a:extLst>
        </xdr:cNvPr>
        <xdr:cNvPicPr>
          <a:picLocks noChangeAspect="1"/>
        </xdr:cNvPicPr>
      </xdr:nvPicPr>
      <xdr:blipFill>
        <a:blip xmlns:r="http://schemas.openxmlformats.org/officeDocument/2006/relationships" r:embed="rId1"/>
        <a:stretch>
          <a:fillRect/>
        </a:stretch>
      </xdr:blipFill>
      <xdr:spPr>
        <a:xfrm>
          <a:off x="0" y="0"/>
          <a:ext cx="6828571" cy="1542857"/>
        </a:xfrm>
        <a:prstGeom prst="rect">
          <a:avLst/>
        </a:prstGeom>
      </xdr:spPr>
    </xdr:pic>
    <xdr:clientData/>
  </xdr:twoCellAnchor>
  <xdr:twoCellAnchor editAs="oneCell">
    <xdr:from>
      <xdr:col>0</xdr:col>
      <xdr:colOff>0</xdr:colOff>
      <xdr:row>9</xdr:row>
      <xdr:rowOff>0</xdr:rowOff>
    </xdr:from>
    <xdr:to>
      <xdr:col>9</xdr:col>
      <xdr:colOff>542086</xdr:colOff>
      <xdr:row>28</xdr:row>
      <xdr:rowOff>104355</xdr:rowOff>
    </xdr:to>
    <xdr:pic>
      <xdr:nvPicPr>
        <xdr:cNvPr id="3" name="图片 2">
          <a:extLst>
            <a:ext uri="{FF2B5EF4-FFF2-40B4-BE49-F238E27FC236}">
              <a16:creationId xmlns:a16="http://schemas.microsoft.com/office/drawing/2014/main" id="{EB5EEEA2-F695-4B92-9B7E-314609AF0E36}"/>
            </a:ext>
          </a:extLst>
        </xdr:cNvPr>
        <xdr:cNvPicPr>
          <a:picLocks noChangeAspect="1"/>
        </xdr:cNvPicPr>
      </xdr:nvPicPr>
      <xdr:blipFill>
        <a:blip xmlns:r="http://schemas.openxmlformats.org/officeDocument/2006/relationships" r:embed="rId2"/>
        <a:stretch>
          <a:fillRect/>
        </a:stretch>
      </xdr:blipFill>
      <xdr:spPr>
        <a:xfrm>
          <a:off x="0" y="1543050"/>
          <a:ext cx="6714286" cy="3361905"/>
        </a:xfrm>
        <a:prstGeom prst="rect">
          <a:avLst/>
        </a:prstGeom>
      </xdr:spPr>
    </xdr:pic>
    <xdr:clientData/>
  </xdr:twoCellAnchor>
  <xdr:twoCellAnchor editAs="oneCell">
    <xdr:from>
      <xdr:col>0</xdr:col>
      <xdr:colOff>0</xdr:colOff>
      <xdr:row>29</xdr:row>
      <xdr:rowOff>0</xdr:rowOff>
    </xdr:from>
    <xdr:to>
      <xdr:col>10</xdr:col>
      <xdr:colOff>84857</xdr:colOff>
      <xdr:row>37</xdr:row>
      <xdr:rowOff>142686</xdr:rowOff>
    </xdr:to>
    <xdr:pic>
      <xdr:nvPicPr>
        <xdr:cNvPr id="4" name="图片 3">
          <a:extLst>
            <a:ext uri="{FF2B5EF4-FFF2-40B4-BE49-F238E27FC236}">
              <a16:creationId xmlns:a16="http://schemas.microsoft.com/office/drawing/2014/main" id="{389951F4-4538-4EB5-B5A1-57030A553455}"/>
            </a:ext>
          </a:extLst>
        </xdr:cNvPr>
        <xdr:cNvPicPr>
          <a:picLocks noChangeAspect="1"/>
        </xdr:cNvPicPr>
      </xdr:nvPicPr>
      <xdr:blipFill>
        <a:blip xmlns:r="http://schemas.openxmlformats.org/officeDocument/2006/relationships" r:embed="rId3"/>
        <a:stretch>
          <a:fillRect/>
        </a:stretch>
      </xdr:blipFill>
      <xdr:spPr>
        <a:xfrm>
          <a:off x="0" y="4972050"/>
          <a:ext cx="6942857" cy="1514286"/>
        </a:xfrm>
        <a:prstGeom prst="rect">
          <a:avLst/>
        </a:prstGeom>
      </xdr:spPr>
    </xdr:pic>
    <xdr:clientData/>
  </xdr:twoCellAnchor>
  <xdr:twoCellAnchor editAs="oneCell">
    <xdr:from>
      <xdr:col>0</xdr:col>
      <xdr:colOff>0</xdr:colOff>
      <xdr:row>38</xdr:row>
      <xdr:rowOff>0</xdr:rowOff>
    </xdr:from>
    <xdr:to>
      <xdr:col>10</xdr:col>
      <xdr:colOff>294381</xdr:colOff>
      <xdr:row>56</xdr:row>
      <xdr:rowOff>171043</xdr:rowOff>
    </xdr:to>
    <xdr:pic>
      <xdr:nvPicPr>
        <xdr:cNvPr id="5" name="图片 4">
          <a:extLst>
            <a:ext uri="{FF2B5EF4-FFF2-40B4-BE49-F238E27FC236}">
              <a16:creationId xmlns:a16="http://schemas.microsoft.com/office/drawing/2014/main" id="{664A5B42-2116-4ACD-9436-E002E975A81F}"/>
            </a:ext>
          </a:extLst>
        </xdr:cNvPr>
        <xdr:cNvPicPr>
          <a:picLocks noChangeAspect="1"/>
        </xdr:cNvPicPr>
      </xdr:nvPicPr>
      <xdr:blipFill>
        <a:blip xmlns:r="http://schemas.openxmlformats.org/officeDocument/2006/relationships" r:embed="rId4"/>
        <a:stretch>
          <a:fillRect/>
        </a:stretch>
      </xdr:blipFill>
      <xdr:spPr>
        <a:xfrm>
          <a:off x="0" y="6515100"/>
          <a:ext cx="7152381" cy="3257143"/>
        </a:xfrm>
        <a:prstGeom prst="rect">
          <a:avLst/>
        </a:prstGeom>
      </xdr:spPr>
    </xdr:pic>
    <xdr:clientData/>
  </xdr:twoCellAnchor>
  <xdr:twoCellAnchor editAs="oneCell">
    <xdr:from>
      <xdr:col>0</xdr:col>
      <xdr:colOff>0</xdr:colOff>
      <xdr:row>58</xdr:row>
      <xdr:rowOff>0</xdr:rowOff>
    </xdr:from>
    <xdr:to>
      <xdr:col>10</xdr:col>
      <xdr:colOff>103905</xdr:colOff>
      <xdr:row>76</xdr:row>
      <xdr:rowOff>113900</xdr:rowOff>
    </xdr:to>
    <xdr:pic>
      <xdr:nvPicPr>
        <xdr:cNvPr id="6" name="图片 5">
          <a:extLst>
            <a:ext uri="{FF2B5EF4-FFF2-40B4-BE49-F238E27FC236}">
              <a16:creationId xmlns:a16="http://schemas.microsoft.com/office/drawing/2014/main" id="{1F2EA8A0-2DD5-44AB-8B06-A772564EEA75}"/>
            </a:ext>
          </a:extLst>
        </xdr:cNvPr>
        <xdr:cNvPicPr>
          <a:picLocks noChangeAspect="1"/>
        </xdr:cNvPicPr>
      </xdr:nvPicPr>
      <xdr:blipFill>
        <a:blip xmlns:r="http://schemas.openxmlformats.org/officeDocument/2006/relationships" r:embed="rId5"/>
        <a:stretch>
          <a:fillRect/>
        </a:stretch>
      </xdr:blipFill>
      <xdr:spPr>
        <a:xfrm>
          <a:off x="0" y="9944100"/>
          <a:ext cx="6961905" cy="3200000"/>
        </a:xfrm>
        <a:prstGeom prst="rect">
          <a:avLst/>
        </a:prstGeom>
      </xdr:spPr>
    </xdr:pic>
    <xdr:clientData/>
  </xdr:twoCellAnchor>
  <xdr:twoCellAnchor editAs="oneCell">
    <xdr:from>
      <xdr:col>0</xdr:col>
      <xdr:colOff>0</xdr:colOff>
      <xdr:row>77</xdr:row>
      <xdr:rowOff>0</xdr:rowOff>
    </xdr:from>
    <xdr:to>
      <xdr:col>10</xdr:col>
      <xdr:colOff>56286</xdr:colOff>
      <xdr:row>86</xdr:row>
      <xdr:rowOff>152188</xdr:rowOff>
    </xdr:to>
    <xdr:pic>
      <xdr:nvPicPr>
        <xdr:cNvPr id="7" name="图片 6">
          <a:extLst>
            <a:ext uri="{FF2B5EF4-FFF2-40B4-BE49-F238E27FC236}">
              <a16:creationId xmlns:a16="http://schemas.microsoft.com/office/drawing/2014/main" id="{71215940-87B9-4DA3-8E64-EBAD335F0F7B}"/>
            </a:ext>
          </a:extLst>
        </xdr:cNvPr>
        <xdr:cNvPicPr>
          <a:picLocks noChangeAspect="1"/>
        </xdr:cNvPicPr>
      </xdr:nvPicPr>
      <xdr:blipFill>
        <a:blip xmlns:r="http://schemas.openxmlformats.org/officeDocument/2006/relationships" r:embed="rId6"/>
        <a:stretch>
          <a:fillRect/>
        </a:stretch>
      </xdr:blipFill>
      <xdr:spPr>
        <a:xfrm>
          <a:off x="0" y="13201650"/>
          <a:ext cx="6914286" cy="16952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45</xdr:row>
      <xdr:rowOff>9525</xdr:rowOff>
    </xdr:from>
    <xdr:to>
      <xdr:col>16</xdr:col>
      <xdr:colOff>284403</xdr:colOff>
      <xdr:row>57</xdr:row>
      <xdr:rowOff>47249</xdr:rowOff>
    </xdr:to>
    <xdr:pic>
      <xdr:nvPicPr>
        <xdr:cNvPr id="3" name="图片 2">
          <a:extLst>
            <a:ext uri="{FF2B5EF4-FFF2-40B4-BE49-F238E27FC236}">
              <a16:creationId xmlns:a16="http://schemas.microsoft.com/office/drawing/2014/main" id="{E7776A29-8A00-480D-B840-25EFDAF87659}"/>
            </a:ext>
          </a:extLst>
        </xdr:cNvPr>
        <xdr:cNvPicPr>
          <a:picLocks noChangeAspect="1"/>
        </xdr:cNvPicPr>
      </xdr:nvPicPr>
      <xdr:blipFill>
        <a:blip xmlns:r="http://schemas.openxmlformats.org/officeDocument/2006/relationships" r:embed="rId1"/>
        <a:stretch>
          <a:fillRect/>
        </a:stretch>
      </xdr:blipFill>
      <xdr:spPr>
        <a:xfrm>
          <a:off x="0" y="11153775"/>
          <a:ext cx="10771428" cy="3009524"/>
        </a:xfrm>
        <a:prstGeom prst="rect">
          <a:avLst/>
        </a:prstGeom>
      </xdr:spPr>
    </xdr:pic>
    <xdr:clientData/>
  </xdr:twoCellAnchor>
  <xdr:twoCellAnchor editAs="oneCell">
    <xdr:from>
      <xdr:col>0</xdr:col>
      <xdr:colOff>0</xdr:colOff>
      <xdr:row>37</xdr:row>
      <xdr:rowOff>0</xdr:rowOff>
    </xdr:from>
    <xdr:to>
      <xdr:col>16</xdr:col>
      <xdr:colOff>265356</xdr:colOff>
      <xdr:row>44</xdr:row>
      <xdr:rowOff>123593</xdr:rowOff>
    </xdr:to>
    <xdr:pic>
      <xdr:nvPicPr>
        <xdr:cNvPr id="5" name="图片 4">
          <a:extLst>
            <a:ext uri="{FF2B5EF4-FFF2-40B4-BE49-F238E27FC236}">
              <a16:creationId xmlns:a16="http://schemas.microsoft.com/office/drawing/2014/main" id="{14C55466-3E4D-4B35-B3A0-16D19C8BBD36}"/>
            </a:ext>
          </a:extLst>
        </xdr:cNvPr>
        <xdr:cNvPicPr>
          <a:picLocks noChangeAspect="1"/>
        </xdr:cNvPicPr>
      </xdr:nvPicPr>
      <xdr:blipFill>
        <a:blip xmlns:r="http://schemas.openxmlformats.org/officeDocument/2006/relationships" r:embed="rId2"/>
        <a:stretch>
          <a:fillRect/>
        </a:stretch>
      </xdr:blipFill>
      <xdr:spPr>
        <a:xfrm>
          <a:off x="0" y="9163050"/>
          <a:ext cx="10752381" cy="1857143"/>
        </a:xfrm>
        <a:prstGeom prst="rect">
          <a:avLst/>
        </a:prstGeom>
      </xdr:spPr>
    </xdr:pic>
    <xdr:clientData/>
  </xdr:twoCellAnchor>
  <xdr:twoCellAnchor editAs="oneCell">
    <xdr:from>
      <xdr:col>0</xdr:col>
      <xdr:colOff>0</xdr:colOff>
      <xdr:row>57</xdr:row>
      <xdr:rowOff>219075</xdr:rowOff>
    </xdr:from>
    <xdr:to>
      <xdr:col>16</xdr:col>
      <xdr:colOff>55832</xdr:colOff>
      <xdr:row>70</xdr:row>
      <xdr:rowOff>66292</xdr:rowOff>
    </xdr:to>
    <xdr:pic>
      <xdr:nvPicPr>
        <xdr:cNvPr id="6" name="图片 5">
          <a:extLst>
            <a:ext uri="{FF2B5EF4-FFF2-40B4-BE49-F238E27FC236}">
              <a16:creationId xmlns:a16="http://schemas.microsoft.com/office/drawing/2014/main" id="{64C02100-E515-41AE-BBB0-C6813E86E382}"/>
            </a:ext>
          </a:extLst>
        </xdr:cNvPr>
        <xdr:cNvPicPr>
          <a:picLocks noChangeAspect="1"/>
        </xdr:cNvPicPr>
      </xdr:nvPicPr>
      <xdr:blipFill>
        <a:blip xmlns:r="http://schemas.openxmlformats.org/officeDocument/2006/relationships" r:embed="rId3"/>
        <a:stretch>
          <a:fillRect/>
        </a:stretch>
      </xdr:blipFill>
      <xdr:spPr>
        <a:xfrm>
          <a:off x="0" y="14335125"/>
          <a:ext cx="10542857" cy="3066667"/>
        </a:xfrm>
        <a:prstGeom prst="rect">
          <a:avLst/>
        </a:prstGeom>
      </xdr:spPr>
    </xdr:pic>
    <xdr:clientData/>
  </xdr:twoCellAnchor>
  <xdr:twoCellAnchor editAs="oneCell">
    <xdr:from>
      <xdr:col>0</xdr:col>
      <xdr:colOff>0</xdr:colOff>
      <xdr:row>70</xdr:row>
      <xdr:rowOff>19050</xdr:rowOff>
    </xdr:from>
    <xdr:to>
      <xdr:col>16</xdr:col>
      <xdr:colOff>446308</xdr:colOff>
      <xdr:row>73</xdr:row>
      <xdr:rowOff>238005</xdr:rowOff>
    </xdr:to>
    <xdr:pic>
      <xdr:nvPicPr>
        <xdr:cNvPr id="10" name="图片 9">
          <a:extLst>
            <a:ext uri="{FF2B5EF4-FFF2-40B4-BE49-F238E27FC236}">
              <a16:creationId xmlns:a16="http://schemas.microsoft.com/office/drawing/2014/main" id="{C06182D6-6AE0-4DD6-B8A4-EA7DDBE42BCA}"/>
            </a:ext>
          </a:extLst>
        </xdr:cNvPr>
        <xdr:cNvPicPr>
          <a:picLocks noChangeAspect="1"/>
        </xdr:cNvPicPr>
      </xdr:nvPicPr>
      <xdr:blipFill>
        <a:blip xmlns:r="http://schemas.openxmlformats.org/officeDocument/2006/relationships" r:embed="rId4"/>
        <a:stretch>
          <a:fillRect/>
        </a:stretch>
      </xdr:blipFill>
      <xdr:spPr>
        <a:xfrm>
          <a:off x="0" y="17354550"/>
          <a:ext cx="10933333" cy="961905"/>
        </a:xfrm>
        <a:prstGeom prst="rect">
          <a:avLst/>
        </a:prstGeom>
      </xdr:spPr>
    </xdr:pic>
    <xdr:clientData/>
  </xdr:twoCellAnchor>
  <xdr:twoCellAnchor editAs="oneCell">
    <xdr:from>
      <xdr:col>0</xdr:col>
      <xdr:colOff>0</xdr:colOff>
      <xdr:row>74</xdr:row>
      <xdr:rowOff>57150</xdr:rowOff>
    </xdr:from>
    <xdr:to>
      <xdr:col>16</xdr:col>
      <xdr:colOff>512975</xdr:colOff>
      <xdr:row>85</xdr:row>
      <xdr:rowOff>113952</xdr:rowOff>
    </xdr:to>
    <xdr:pic>
      <xdr:nvPicPr>
        <xdr:cNvPr id="11" name="图片 10">
          <a:extLst>
            <a:ext uri="{FF2B5EF4-FFF2-40B4-BE49-F238E27FC236}">
              <a16:creationId xmlns:a16="http://schemas.microsoft.com/office/drawing/2014/main" id="{BADA9DE0-EA56-4765-8519-D28CFB16B4DB}"/>
            </a:ext>
          </a:extLst>
        </xdr:cNvPr>
        <xdr:cNvPicPr>
          <a:picLocks noChangeAspect="1"/>
        </xdr:cNvPicPr>
      </xdr:nvPicPr>
      <xdr:blipFill>
        <a:blip xmlns:r="http://schemas.openxmlformats.org/officeDocument/2006/relationships" r:embed="rId5"/>
        <a:stretch>
          <a:fillRect/>
        </a:stretch>
      </xdr:blipFill>
      <xdr:spPr>
        <a:xfrm>
          <a:off x="0" y="18383250"/>
          <a:ext cx="11000000" cy="2780952"/>
        </a:xfrm>
        <a:prstGeom prst="rect">
          <a:avLst/>
        </a:prstGeom>
      </xdr:spPr>
    </xdr:pic>
    <xdr:clientData/>
  </xdr:twoCellAnchor>
  <xdr:twoCellAnchor editAs="oneCell">
    <xdr:from>
      <xdr:col>0</xdr:col>
      <xdr:colOff>0</xdr:colOff>
      <xdr:row>9</xdr:row>
      <xdr:rowOff>161925</xdr:rowOff>
    </xdr:from>
    <xdr:to>
      <xdr:col>15</xdr:col>
      <xdr:colOff>398793</xdr:colOff>
      <xdr:row>18</xdr:row>
      <xdr:rowOff>85456</xdr:rowOff>
    </xdr:to>
    <xdr:pic>
      <xdr:nvPicPr>
        <xdr:cNvPr id="17" name="图片 16">
          <a:extLst>
            <a:ext uri="{FF2B5EF4-FFF2-40B4-BE49-F238E27FC236}">
              <a16:creationId xmlns:a16="http://schemas.microsoft.com/office/drawing/2014/main" id="{1AB1AF2B-14CA-41B2-B634-BFF46BB27B58}"/>
            </a:ext>
          </a:extLst>
        </xdr:cNvPr>
        <xdr:cNvPicPr>
          <a:picLocks noChangeAspect="1"/>
        </xdr:cNvPicPr>
      </xdr:nvPicPr>
      <xdr:blipFill>
        <a:blip xmlns:r="http://schemas.openxmlformats.org/officeDocument/2006/relationships" r:embed="rId6"/>
        <a:stretch>
          <a:fillRect/>
        </a:stretch>
      </xdr:blipFill>
      <xdr:spPr>
        <a:xfrm>
          <a:off x="0" y="2390775"/>
          <a:ext cx="10057143" cy="2152381"/>
        </a:xfrm>
        <a:prstGeom prst="rect">
          <a:avLst/>
        </a:prstGeom>
      </xdr:spPr>
    </xdr:pic>
    <xdr:clientData/>
  </xdr:twoCellAnchor>
  <xdr:twoCellAnchor editAs="oneCell">
    <xdr:from>
      <xdr:col>0</xdr:col>
      <xdr:colOff>0</xdr:colOff>
      <xdr:row>22</xdr:row>
      <xdr:rowOff>76200</xdr:rowOff>
    </xdr:from>
    <xdr:to>
      <xdr:col>16</xdr:col>
      <xdr:colOff>579642</xdr:colOff>
      <xdr:row>33</xdr:row>
      <xdr:rowOff>66336</xdr:rowOff>
    </xdr:to>
    <xdr:pic>
      <xdr:nvPicPr>
        <xdr:cNvPr id="18" name="图片 17">
          <a:extLst>
            <a:ext uri="{FF2B5EF4-FFF2-40B4-BE49-F238E27FC236}">
              <a16:creationId xmlns:a16="http://schemas.microsoft.com/office/drawing/2014/main" id="{296738E2-F0EE-410C-B5D7-27D78218A0BE}"/>
            </a:ext>
          </a:extLst>
        </xdr:cNvPr>
        <xdr:cNvPicPr>
          <a:picLocks noChangeAspect="1"/>
        </xdr:cNvPicPr>
      </xdr:nvPicPr>
      <xdr:blipFill>
        <a:blip xmlns:r="http://schemas.openxmlformats.org/officeDocument/2006/relationships" r:embed="rId7"/>
        <a:stretch>
          <a:fillRect/>
        </a:stretch>
      </xdr:blipFill>
      <xdr:spPr>
        <a:xfrm>
          <a:off x="0" y="5524500"/>
          <a:ext cx="11066667" cy="2714286"/>
        </a:xfrm>
        <a:prstGeom prst="rect">
          <a:avLst/>
        </a:prstGeom>
      </xdr:spPr>
    </xdr:pic>
    <xdr:clientData/>
  </xdr:twoCellAnchor>
  <xdr:twoCellAnchor editAs="oneCell">
    <xdr:from>
      <xdr:col>0</xdr:col>
      <xdr:colOff>0</xdr:colOff>
      <xdr:row>33</xdr:row>
      <xdr:rowOff>57150</xdr:rowOff>
    </xdr:from>
    <xdr:to>
      <xdr:col>16</xdr:col>
      <xdr:colOff>512975</xdr:colOff>
      <xdr:row>36</xdr:row>
      <xdr:rowOff>199914</xdr:rowOff>
    </xdr:to>
    <xdr:pic>
      <xdr:nvPicPr>
        <xdr:cNvPr id="19" name="图片 18">
          <a:extLst>
            <a:ext uri="{FF2B5EF4-FFF2-40B4-BE49-F238E27FC236}">
              <a16:creationId xmlns:a16="http://schemas.microsoft.com/office/drawing/2014/main" id="{C3FA718D-A5DF-4936-844B-BEC793D7CE90}"/>
            </a:ext>
          </a:extLst>
        </xdr:cNvPr>
        <xdr:cNvPicPr>
          <a:picLocks noChangeAspect="1"/>
        </xdr:cNvPicPr>
      </xdr:nvPicPr>
      <xdr:blipFill>
        <a:blip xmlns:r="http://schemas.openxmlformats.org/officeDocument/2006/relationships" r:embed="rId8"/>
        <a:stretch>
          <a:fillRect/>
        </a:stretch>
      </xdr:blipFill>
      <xdr:spPr>
        <a:xfrm>
          <a:off x="0" y="8229600"/>
          <a:ext cx="11000000" cy="885714"/>
        </a:xfrm>
        <a:prstGeom prst="rect">
          <a:avLst/>
        </a:prstGeom>
      </xdr:spPr>
    </xdr:pic>
    <xdr:clientData/>
  </xdr:twoCellAnchor>
  <xdr:twoCellAnchor editAs="oneCell">
    <xdr:from>
      <xdr:col>0</xdr:col>
      <xdr:colOff>0</xdr:colOff>
      <xdr:row>5</xdr:row>
      <xdr:rowOff>19050</xdr:rowOff>
    </xdr:from>
    <xdr:to>
      <xdr:col>16</xdr:col>
      <xdr:colOff>551070</xdr:colOff>
      <xdr:row>8</xdr:row>
      <xdr:rowOff>161814</xdr:rowOff>
    </xdr:to>
    <xdr:pic>
      <xdr:nvPicPr>
        <xdr:cNvPr id="20" name="图片 19">
          <a:extLst>
            <a:ext uri="{FF2B5EF4-FFF2-40B4-BE49-F238E27FC236}">
              <a16:creationId xmlns:a16="http://schemas.microsoft.com/office/drawing/2014/main" id="{1AB2E0ED-448E-4C6E-9B35-41DEFD98D349}"/>
            </a:ext>
          </a:extLst>
        </xdr:cNvPr>
        <xdr:cNvPicPr>
          <a:picLocks noChangeAspect="1"/>
        </xdr:cNvPicPr>
      </xdr:nvPicPr>
      <xdr:blipFill>
        <a:blip xmlns:r="http://schemas.openxmlformats.org/officeDocument/2006/relationships" r:embed="rId9"/>
        <a:stretch>
          <a:fillRect/>
        </a:stretch>
      </xdr:blipFill>
      <xdr:spPr>
        <a:xfrm>
          <a:off x="0" y="1257300"/>
          <a:ext cx="11038095" cy="885714"/>
        </a:xfrm>
        <a:prstGeom prst="rect">
          <a:avLst/>
        </a:prstGeom>
      </xdr:spPr>
    </xdr:pic>
    <xdr:clientData/>
  </xdr:twoCellAnchor>
  <xdr:twoCellAnchor editAs="oneCell">
    <xdr:from>
      <xdr:col>0</xdr:col>
      <xdr:colOff>0</xdr:colOff>
      <xdr:row>8</xdr:row>
      <xdr:rowOff>104775</xdr:rowOff>
    </xdr:from>
    <xdr:to>
      <xdr:col>16</xdr:col>
      <xdr:colOff>379642</xdr:colOff>
      <xdr:row>12</xdr:row>
      <xdr:rowOff>37985</xdr:rowOff>
    </xdr:to>
    <xdr:pic>
      <xdr:nvPicPr>
        <xdr:cNvPr id="21" name="图片 20">
          <a:extLst>
            <a:ext uri="{FF2B5EF4-FFF2-40B4-BE49-F238E27FC236}">
              <a16:creationId xmlns:a16="http://schemas.microsoft.com/office/drawing/2014/main" id="{313585A0-A3CA-4386-A421-AAAAB0567AE6}"/>
            </a:ext>
          </a:extLst>
        </xdr:cNvPr>
        <xdr:cNvPicPr>
          <a:picLocks noChangeAspect="1"/>
        </xdr:cNvPicPr>
      </xdr:nvPicPr>
      <xdr:blipFill>
        <a:blip xmlns:r="http://schemas.openxmlformats.org/officeDocument/2006/relationships" r:embed="rId10"/>
        <a:stretch>
          <a:fillRect/>
        </a:stretch>
      </xdr:blipFill>
      <xdr:spPr>
        <a:xfrm>
          <a:off x="0" y="2085975"/>
          <a:ext cx="10866667" cy="923810"/>
        </a:xfrm>
        <a:prstGeom prst="rect">
          <a:avLst/>
        </a:prstGeom>
      </xdr:spPr>
    </xdr:pic>
    <xdr:clientData/>
  </xdr:twoCellAnchor>
  <xdr:twoCellAnchor editAs="oneCell">
    <xdr:from>
      <xdr:col>0</xdr:col>
      <xdr:colOff>19050</xdr:colOff>
      <xdr:row>18</xdr:row>
      <xdr:rowOff>28575</xdr:rowOff>
    </xdr:from>
    <xdr:to>
      <xdr:col>16</xdr:col>
      <xdr:colOff>465358</xdr:colOff>
      <xdr:row>21</xdr:row>
      <xdr:rowOff>247530</xdr:rowOff>
    </xdr:to>
    <xdr:pic>
      <xdr:nvPicPr>
        <xdr:cNvPr id="22" name="图片 21">
          <a:extLst>
            <a:ext uri="{FF2B5EF4-FFF2-40B4-BE49-F238E27FC236}">
              <a16:creationId xmlns:a16="http://schemas.microsoft.com/office/drawing/2014/main" id="{D4611968-884F-4A2B-B4E4-C1D729F22CC5}"/>
            </a:ext>
          </a:extLst>
        </xdr:cNvPr>
        <xdr:cNvPicPr>
          <a:picLocks noChangeAspect="1"/>
        </xdr:cNvPicPr>
      </xdr:nvPicPr>
      <xdr:blipFill>
        <a:blip xmlns:r="http://schemas.openxmlformats.org/officeDocument/2006/relationships" r:embed="rId4"/>
        <a:stretch>
          <a:fillRect/>
        </a:stretch>
      </xdr:blipFill>
      <xdr:spPr>
        <a:xfrm>
          <a:off x="19050" y="4486275"/>
          <a:ext cx="10933333" cy="961905"/>
        </a:xfrm>
        <a:prstGeom prst="rect">
          <a:avLst/>
        </a:prstGeom>
      </xdr:spPr>
    </xdr:pic>
    <xdr:clientData/>
  </xdr:twoCellAnchor>
  <xdr:twoCellAnchor editAs="oneCell">
    <xdr:from>
      <xdr:col>1</xdr:col>
      <xdr:colOff>1733550</xdr:colOff>
      <xdr:row>85</xdr:row>
      <xdr:rowOff>57150</xdr:rowOff>
    </xdr:from>
    <xdr:to>
      <xdr:col>16</xdr:col>
      <xdr:colOff>2437052</xdr:colOff>
      <xdr:row>97</xdr:row>
      <xdr:rowOff>123445</xdr:rowOff>
    </xdr:to>
    <xdr:pic>
      <xdr:nvPicPr>
        <xdr:cNvPr id="23" name="图片 22">
          <a:extLst>
            <a:ext uri="{FF2B5EF4-FFF2-40B4-BE49-F238E27FC236}">
              <a16:creationId xmlns:a16="http://schemas.microsoft.com/office/drawing/2014/main" id="{9E95A5E8-507A-4CAD-9E6F-FCD3E4A77CC2}"/>
            </a:ext>
          </a:extLst>
        </xdr:cNvPr>
        <xdr:cNvPicPr>
          <a:picLocks noChangeAspect="1"/>
        </xdr:cNvPicPr>
      </xdr:nvPicPr>
      <xdr:blipFill>
        <a:blip xmlns:r="http://schemas.openxmlformats.org/officeDocument/2006/relationships" r:embed="rId11"/>
        <a:stretch>
          <a:fillRect/>
        </a:stretch>
      </xdr:blipFill>
      <xdr:spPr>
        <a:xfrm>
          <a:off x="2143125" y="21107400"/>
          <a:ext cx="10780952" cy="30380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428625</xdr:colOff>
      <xdr:row>18</xdr:row>
      <xdr:rowOff>101131</xdr:rowOff>
    </xdr:to>
    <xdr:pic>
      <xdr:nvPicPr>
        <xdr:cNvPr id="6" name="图片 5">
          <a:extLst>
            <a:ext uri="{FF2B5EF4-FFF2-40B4-BE49-F238E27FC236}">
              <a16:creationId xmlns:a16="http://schemas.microsoft.com/office/drawing/2014/main" id="{AFFEDEBB-6A24-44D7-865A-5EF2682F79C3}"/>
            </a:ext>
          </a:extLst>
        </xdr:cNvPr>
        <xdr:cNvPicPr>
          <a:picLocks noChangeAspect="1"/>
        </xdr:cNvPicPr>
      </xdr:nvPicPr>
      <xdr:blipFill>
        <a:blip xmlns:r="http://schemas.openxmlformats.org/officeDocument/2006/relationships" r:embed="rId1"/>
        <a:stretch>
          <a:fillRect/>
        </a:stretch>
      </xdr:blipFill>
      <xdr:spPr>
        <a:xfrm>
          <a:off x="0" y="1"/>
          <a:ext cx="6600825" cy="3187230"/>
        </a:xfrm>
        <a:prstGeom prst="rect">
          <a:avLst/>
        </a:prstGeom>
      </xdr:spPr>
    </xdr:pic>
    <xdr:clientData/>
  </xdr:twoCellAnchor>
  <xdr:twoCellAnchor editAs="oneCell">
    <xdr:from>
      <xdr:col>0</xdr:col>
      <xdr:colOff>0</xdr:colOff>
      <xdr:row>19</xdr:row>
      <xdr:rowOff>0</xdr:rowOff>
    </xdr:from>
    <xdr:to>
      <xdr:col>9</xdr:col>
      <xdr:colOff>523038</xdr:colOff>
      <xdr:row>33</xdr:row>
      <xdr:rowOff>85414</xdr:rowOff>
    </xdr:to>
    <xdr:pic>
      <xdr:nvPicPr>
        <xdr:cNvPr id="7" name="图片 6">
          <a:extLst>
            <a:ext uri="{FF2B5EF4-FFF2-40B4-BE49-F238E27FC236}">
              <a16:creationId xmlns:a16="http://schemas.microsoft.com/office/drawing/2014/main" id="{8282841C-033E-4D9C-9AE4-DACE72830FA7}"/>
            </a:ext>
          </a:extLst>
        </xdr:cNvPr>
        <xdr:cNvPicPr>
          <a:picLocks noChangeAspect="1"/>
        </xdr:cNvPicPr>
      </xdr:nvPicPr>
      <xdr:blipFill>
        <a:blip xmlns:r="http://schemas.openxmlformats.org/officeDocument/2006/relationships" r:embed="rId2"/>
        <a:stretch>
          <a:fillRect/>
        </a:stretch>
      </xdr:blipFill>
      <xdr:spPr>
        <a:xfrm>
          <a:off x="0" y="3257550"/>
          <a:ext cx="6695238" cy="24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G/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北京市预评估</v>
      </c>
    </row>
    <row r="3" spans="1:2" s="1202" customFormat="1">
      <c r="A3" s="1200" t="s">
        <v>523</v>
      </c>
      <c r="B3" s="1201">
        <f>'预评函-封皮'!B40</f>
        <v>0</v>
      </c>
    </row>
    <row r="4" spans="1:2" s="1202" customFormat="1">
      <c r="A4" s="1200" t="s">
        <v>524</v>
      </c>
      <c r="B4" s="1201" t="str">
        <f ca="1">'预评函-封皮'!B46</f>
        <v>陈颖（注册号：1120060040)、梁津（注册号：1119970066)</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受贵公司委托，我公司对北京市进行了预评估。</v>
      </c>
    </row>
    <row r="7" spans="1:2" s="1202" customFormat="1">
      <c r="A7" s="1200" t="s">
        <v>566</v>
      </c>
      <c r="B7" s="1201" t="str">
        <f>'预评函-1'!A7</f>
        <v>估价对象为北京市房地产，为所有。根据《国有土地使用证》[]，估价对象（分摊）出让国有建设用地使用权面积为0平方米，建筑面积为347.45平方米。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估价对象为北京市房地产,属开发建设的，该项目尚在开发建设中。根据《国有土地使用证》[]，估价对象（分摊）出让国有建设用地使用权面积为0平方米，规划建筑面积为347.45平方米。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2023年11月1日（评估专业人员实地查勘之日）</v>
      </c>
    </row>
    <row r="13" spans="1:2" s="1202" customFormat="1">
      <c r="A13" s="1200" t="s">
        <v>529</v>
      </c>
      <c r="B13" s="1201" t="str">
        <f>'预评函-1'!A18</f>
        <v>本次估价的“房地产价值”是指在正常市场情况下，在价值时点2023年11月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347.45</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陈颖</v>
      </c>
    </row>
    <row r="71" spans="1:2">
      <c r="A71" s="1200" t="s">
        <v>563</v>
      </c>
      <c r="B71" s="1201">
        <f ca="1">'预评函-4'!B4</f>
        <v>1120060040</v>
      </c>
    </row>
    <row r="72" spans="1:2">
      <c r="A72" s="1200" t="s">
        <v>564</v>
      </c>
      <c r="B72" s="1209" t="str">
        <f>'预评函-4'!A5</f>
        <v>梁津</v>
      </c>
    </row>
    <row r="73" spans="1:2" s="1196" customFormat="1" ht="15" thickBot="1">
      <c r="A73" s="1203" t="s">
        <v>565</v>
      </c>
      <c r="B73" s="1204">
        <f ca="1">'预评函-4'!B5</f>
        <v>1119970066</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3347</v>
      </c>
    </row>
    <row r="8" spans="1:23">
      <c r="A8" s="1545" t="s">
        <v>1026</v>
      </c>
      <c r="B8" s="1545" t="s">
        <v>1027</v>
      </c>
      <c r="C8" s="1546" t="s">
        <v>319</v>
      </c>
      <c r="F8" s="1547" t="s">
        <v>1028</v>
      </c>
      <c r="H8" s="1547" t="s">
        <v>2580</v>
      </c>
      <c r="I8" s="1547" t="s">
        <v>3348</v>
      </c>
    </row>
    <row r="9" spans="1:23">
      <c r="A9" s="1545" t="s">
        <v>1029</v>
      </c>
      <c r="B9" s="1545" t="s">
        <v>1030</v>
      </c>
      <c r="C9" s="1546" t="s">
        <v>320</v>
      </c>
      <c r="F9" s="1547" t="s">
        <v>1031</v>
      </c>
      <c r="H9" s="1547"/>
      <c r="I9" s="1550" t="s">
        <v>3349</v>
      </c>
    </row>
    <row r="10" spans="1:23">
      <c r="A10" s="1545" t="s">
        <v>1032</v>
      </c>
      <c r="B10" s="1545" t="s">
        <v>1033</v>
      </c>
      <c r="C10" s="1546" t="s">
        <v>321</v>
      </c>
      <c r="F10" s="1547" t="s">
        <v>2581</v>
      </c>
      <c r="I10" s="1550" t="s">
        <v>3350</v>
      </c>
    </row>
    <row r="11" spans="1:23">
      <c r="A11" s="1545" t="s">
        <v>1034</v>
      </c>
      <c r="B11" s="1545" t="s">
        <v>1035</v>
      </c>
      <c r="C11" s="1546" t="s">
        <v>322</v>
      </c>
      <c r="F11" s="1547" t="s">
        <v>13</v>
      </c>
      <c r="I11" s="1550" t="s">
        <v>3351</v>
      </c>
    </row>
    <row r="12" spans="1:23">
      <c r="A12" s="1545" t="s">
        <v>1036</v>
      </c>
      <c r="B12" s="1545" t="s">
        <v>1037</v>
      </c>
      <c r="C12" s="1546" t="s">
        <v>323</v>
      </c>
      <c r="I12" s="1550" t="s">
        <v>3352</v>
      </c>
    </row>
    <row r="13" spans="1:23">
      <c r="A13" s="1545" t="s">
        <v>1038</v>
      </c>
      <c r="B13" s="1545" t="s">
        <v>1039</v>
      </c>
      <c r="C13" s="1546" t="s">
        <v>324</v>
      </c>
      <c r="I13" s="1550" t="s">
        <v>3353</v>
      </c>
    </row>
    <row r="14" spans="1:23">
      <c r="A14" s="1545" t="s">
        <v>1040</v>
      </c>
      <c r="B14" s="1545" t="s">
        <v>1041</v>
      </c>
      <c r="C14" s="1547" t="s">
        <v>13</v>
      </c>
      <c r="I14" s="1550" t="s">
        <v>3354</v>
      </c>
    </row>
    <row r="15" spans="1:23">
      <c r="A15" s="1545" t="s">
        <v>1042</v>
      </c>
      <c r="B15" s="1545" t="s">
        <v>1043</v>
      </c>
      <c r="C15" s="1546"/>
      <c r="I15" s="1550" t="s">
        <v>3355</v>
      </c>
    </row>
    <row r="16" spans="1:23">
      <c r="A16" s="1545" t="s">
        <v>1044</v>
      </c>
      <c r="B16" s="1545" t="s">
        <v>312</v>
      </c>
      <c r="C16" s="1546"/>
    </row>
    <row r="17" spans="1:3">
      <c r="A17" s="1545" t="s">
        <v>1045</v>
      </c>
      <c r="B17" s="1545" t="s">
        <v>2293</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44"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4"/>
      <c r="B54" s="1553" t="s">
        <v>385</v>
      </c>
      <c r="C54" s="1550" t="s">
        <v>583</v>
      </c>
    </row>
    <row r="55" spans="1:4">
      <c r="A55" s="3544"/>
      <c r="B55" s="1553" t="s">
        <v>386</v>
      </c>
      <c r="C55" s="1550" t="s">
        <v>584</v>
      </c>
    </row>
    <row r="56" spans="1:4">
      <c r="A56" s="3544"/>
      <c r="B56" s="1553" t="s">
        <v>387</v>
      </c>
      <c r="C56" s="1550" t="s">
        <v>588</v>
      </c>
    </row>
    <row r="57" spans="1:4">
      <c r="A57" s="3544"/>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45" t="s">
        <v>2583</v>
      </c>
      <c r="J2" s="3545"/>
      <c r="K2" s="3545"/>
      <c r="L2" s="3545"/>
      <c r="M2" s="3545"/>
      <c r="N2" s="3545"/>
      <c r="O2" s="3545"/>
      <c r="P2" s="3545"/>
      <c r="Q2" s="3545"/>
      <c r="R2" s="3545"/>
    </row>
    <row r="3" spans="1:18">
      <c r="A3" s="3019" t="s">
        <v>2504</v>
      </c>
      <c r="B3" s="3020">
        <f>项目基本情况!D3</f>
        <v>45231</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3.13</v>
      </c>
      <c r="D5" s="3024">
        <f>IF(ISERROR(ROUND(POWER(1+E5,A5-C5)*(POWER(1+E5,C5)-1)/(POWER(1+E5,A5)-1),3)),0,ROUND(POWER(1+E5,A5-C5)*(POWER(1+E5,C5)-1)/(POWER(1+E5,A5)-1),4))</f>
        <v>0.1459</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13.14</v>
      </c>
      <c r="D6" s="3024">
        <f>IF(ISERROR(ROUND(POWER(1+E6,A6-C6)*(POWER(1+E6,C6)-1)/(POWER(1+E6,A6)-1),3)),0,ROUND(POWER(1+E6,A6-C6)*(POWER(1+E6,C6)-1)/(POWER(1+E6,A6)-1),4))</f>
        <v>0.46870000000000001</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33.15</v>
      </c>
      <c r="D7" s="3024">
        <f>IF(ISERROR(ROUND(POWER(1+E7,A7-C7)*(POWER(1+E7,C7)-1)/(POWER(1+E7,A7)-1),3)),0,ROUND(POWER(1+E7,A7-C7)*(POWER(1+E7,C7)-1)/(POWER(1+E7,A7)-1),4))</f>
        <v>0.77739999999999998</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25E76-71DB-4E39-BAA8-6DC05E422DA9}">
  <dimension ref="A1"/>
  <sheetViews>
    <sheetView topLeftCell="C1" workbookViewId="0"/>
  </sheetViews>
  <sheetFormatPr defaultRowHeight="13.5"/>
  <sheetData/>
  <phoneticPr fontId="1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J19" sqref="J19"/>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46" t="str">
        <f>IF(B10="北京市","北京市",C10)&amp;F10&amp;IF(结果表!G1="在建","出让国有建设用地使用权及在建建筑物",IF(结果表!G1="土地","出让国有建设用地使用权",))&amp;B9&amp;"预评估"</f>
        <v>北京市预评估</v>
      </c>
      <c r="C1" s="3547"/>
      <c r="D1" s="3547"/>
      <c r="E1" s="3547"/>
      <c r="F1" s="3547"/>
      <c r="G1" s="3547"/>
      <c r="H1" s="3547"/>
      <c r="I1" s="3548"/>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45231</v>
      </c>
      <c r="C3" s="2373" t="s">
        <v>2171</v>
      </c>
      <c r="D3" s="2372">
        <f>B3</f>
        <v>45231</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2172</v>
      </c>
      <c r="B4" s="2374" t="s">
        <v>3479</v>
      </c>
      <c r="C4" s="2375">
        <f ca="1">SUMIF(注册房地产估价师,B4,估价师及机构信息!B3:B24)</f>
        <v>1120060040</v>
      </c>
      <c r="D4" s="2374" t="s">
        <v>3480</v>
      </c>
      <c r="E4" s="2376">
        <f ca="1">SUMIF(注册房地产估价师,D4,估价师及机构信息!B3:B24)</f>
        <v>1119970066</v>
      </c>
      <c r="F4" s="2374"/>
      <c r="G4" s="2376">
        <f>SUMIF(注册房地产估价师,F4,估价师及机构信息!B3:B24)</f>
        <v>0</v>
      </c>
      <c r="H4" s="2374"/>
      <c r="I4" s="2376">
        <f>SUMIF(注册房地产估价师,H4,估价师及机构信息!B3:B24)</f>
        <v>0</v>
      </c>
      <c r="J4" s="2438"/>
      <c r="K4" s="2377" t="str">
        <f ca="1">CONCATENATE(B4,"（注册号：",C4,")、",D4,"（注册号：",E4,")")</f>
        <v>陈颖（注册号：1120060040)、梁津（注册号：1119970066)</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3379</v>
      </c>
      <c r="C8" s="2389"/>
      <c r="D8" s="3549" t="s">
        <v>2177</v>
      </c>
      <c r="E8" s="2390"/>
      <c r="F8" s="2391"/>
      <c r="G8" s="2662"/>
      <c r="H8" s="2662"/>
      <c r="I8" s="2662"/>
      <c r="J8" s="2438"/>
      <c r="K8" s="2613"/>
      <c r="L8" s="2612"/>
      <c r="M8" s="2612"/>
      <c r="N8" s="2438"/>
      <c r="O8" s="2449"/>
      <c r="P8" s="2438"/>
      <c r="Q8" s="2438"/>
      <c r="R8" s="2438"/>
    </row>
    <row r="9" spans="1:30" ht="13.5" thickBot="1">
      <c r="A9" s="2392" t="s">
        <v>2178</v>
      </c>
      <c r="B9" s="2393"/>
      <c r="C9" s="2394"/>
      <c r="D9" s="3550"/>
      <c r="E9" s="2393"/>
      <c r="F9" s="2395"/>
      <c r="G9" s="2664"/>
      <c r="H9" s="2664"/>
      <c r="I9" s="2664"/>
      <c r="J9" s="2438"/>
      <c r="K9" s="2615"/>
      <c r="L9" s="2612"/>
      <c r="M9" s="2612"/>
      <c r="N9" s="2438"/>
      <c r="O9" s="2449"/>
      <c r="P9" s="2438"/>
      <c r="Q9" s="2438"/>
      <c r="R9" s="2438"/>
    </row>
    <row r="10" spans="1:30" ht="13.5" thickTop="1">
      <c r="A10" s="2396" t="s">
        <v>2179</v>
      </c>
      <c r="B10" s="2397" t="s">
        <v>3380</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3381</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2579</v>
      </c>
      <c r="J12" s="3061"/>
      <c r="K12" s="2612"/>
      <c r="L12" s="2612"/>
      <c r="M12" s="2438"/>
      <c r="N12" s="2449"/>
      <c r="O12" s="2438"/>
      <c r="P12" s="2438"/>
      <c r="Q12" s="2438"/>
      <c r="AD12" s="1744"/>
    </row>
    <row r="13" spans="1:30">
      <c r="A13" s="3422" t="s">
        <v>3337</v>
      </c>
      <c r="B13" s="2406" t="s">
        <v>2190</v>
      </c>
      <c r="C13" s="856">
        <v>59976</v>
      </c>
      <c r="D13" s="856"/>
      <c r="E13" s="856"/>
      <c r="F13" s="856"/>
      <c r="G13" s="856"/>
      <c r="H13" s="856"/>
      <c r="I13" s="856"/>
      <c r="J13" s="3061"/>
      <c r="K13" s="2612"/>
      <c r="L13" s="2612"/>
      <c r="M13" s="2438"/>
      <c r="N13" s="2449"/>
      <c r="O13" s="2438"/>
      <c r="P13" s="2438"/>
      <c r="Q13" s="2438"/>
      <c r="AD13" s="1744"/>
    </row>
    <row r="14" spans="1:30">
      <c r="A14" s="1081"/>
      <c r="B14" s="2406" t="s">
        <v>2191</v>
      </c>
      <c r="C14" s="2407">
        <v>70</v>
      </c>
      <c r="D14" s="2407"/>
      <c r="E14" s="2407"/>
      <c r="F14" s="2407"/>
      <c r="G14" s="2407"/>
      <c r="H14" s="2407"/>
      <c r="I14" s="2407"/>
      <c r="J14" s="3062"/>
      <c r="K14" s="2612"/>
      <c r="L14" s="2612"/>
      <c r="M14" s="2438"/>
      <c r="N14" s="2449"/>
      <c r="O14" s="2438"/>
      <c r="P14" s="2438"/>
      <c r="Q14" s="2438"/>
      <c r="AD14" s="1744"/>
    </row>
    <row r="15" spans="1:30">
      <c r="A15" s="320"/>
      <c r="B15" s="2408" t="s">
        <v>2192</v>
      </c>
      <c r="C15" s="2409">
        <f>IF(A13="出让",IF(C13="","",ROUNDDOWN(MIN((C13-$D$3)/365,C14),2)),C14)</f>
        <v>40.39</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56"/>
      <c r="C16" s="3557"/>
      <c r="D16" s="3558"/>
      <c r="E16" s="2412" t="s">
        <v>2194</v>
      </c>
      <c r="F16" s="3559"/>
      <c r="G16" s="3560"/>
      <c r="H16" s="3560"/>
      <c r="I16" s="3561"/>
      <c r="J16" s="2438"/>
      <c r="K16" s="2616"/>
      <c r="L16" s="2450"/>
      <c r="M16" s="2450"/>
      <c r="N16" s="2508"/>
      <c r="O16" s="2450"/>
      <c r="P16" s="2508"/>
      <c r="Q16" s="2438"/>
      <c r="R16" s="2438"/>
    </row>
    <row r="17" spans="1:28">
      <c r="A17" s="313" t="s">
        <v>2195</v>
      </c>
      <c r="B17" s="302" t="s">
        <v>2196</v>
      </c>
      <c r="C17" s="8">
        <f>'数据-汇总表'!E3</f>
        <v>347.45</v>
      </c>
      <c r="D17" s="2321" t="s">
        <v>2197</v>
      </c>
      <c r="E17" s="3562" t="s">
        <v>2198</v>
      </c>
      <c r="F17" s="3563"/>
      <c r="G17" s="3563"/>
      <c r="H17" s="3563"/>
      <c r="I17" s="3564"/>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0</v>
      </c>
      <c r="D18" s="1092" t="s">
        <v>2201</v>
      </c>
      <c r="E18" s="3565" t="s">
        <v>2202</v>
      </c>
      <c r="F18" s="3566"/>
      <c r="G18" s="3566"/>
      <c r="H18" s="3566"/>
      <c r="I18" s="3567"/>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52" t="s">
        <v>2206</v>
      </c>
      <c r="C20" s="3553"/>
      <c r="D20" s="3554" t="s">
        <v>2207</v>
      </c>
      <c r="E20" s="3555"/>
      <c r="F20" s="2646" t="s">
        <v>1056</v>
      </c>
      <c r="G20" s="2663"/>
      <c r="H20" s="2663"/>
      <c r="I20" s="2663"/>
      <c r="J20" s="2438"/>
      <c r="K20" s="355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5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5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69"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69"/>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69"/>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70"/>
      <c r="B30" s="302" t="s">
        <v>2218</v>
      </c>
      <c r="C30" s="3571"/>
      <c r="D30" s="3572"/>
      <c r="E30" s="2663"/>
      <c r="F30" s="2663"/>
      <c r="G30" s="2663"/>
      <c r="H30" s="2663"/>
      <c r="I30" s="2663"/>
      <c r="J30" s="2438"/>
      <c r="K30" s="2615"/>
      <c r="L30" s="2612"/>
      <c r="M30" s="2612"/>
      <c r="N30" s="2438"/>
      <c r="O30" s="2449"/>
      <c r="P30" s="2438"/>
      <c r="Q30" s="2438"/>
      <c r="R30" s="2438"/>
      <c r="S30" s="2438"/>
      <c r="T30" s="2438"/>
      <c r="U30" s="2438"/>
      <c r="V30" s="2438"/>
    </row>
    <row r="31" spans="1:28">
      <c r="A31" s="3573"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74"/>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74"/>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68" t="s">
        <v>2228</v>
      </c>
      <c r="T34" s="2427" t="str">
        <f>NUMBERSTRING(7-K34,1)&amp;"通"</f>
        <v>七通</v>
      </c>
      <c r="U34" s="2438"/>
      <c r="V34" s="2438"/>
    </row>
    <row r="35" spans="1:30">
      <c r="A35" s="2428"/>
      <c r="B35" s="3575" t="s">
        <v>2229</v>
      </c>
      <c r="C35" s="3575"/>
      <c r="D35" s="3575"/>
      <c r="E35" s="3575"/>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8"/>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2582</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347.45</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347.45</v>
      </c>
      <c r="H5" s="13">
        <f t="shared" ref="H5:AT5" si="0">SUM(H13:H656)</f>
        <v>347.45</v>
      </c>
      <c r="I5" s="13">
        <f t="shared" si="0"/>
        <v>347.45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347.45</v>
      </c>
      <c r="BA5" s="15">
        <f t="shared" si="1"/>
        <v>347.45</v>
      </c>
      <c r="BB5" s="15">
        <f t="shared" si="1"/>
        <v>347.45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3382</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3383</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3385</v>
      </c>
      <c r="E13" s="13">
        <f>IF($C$3="是",ROUND($A$3*G13/$B$3,2),ROUND($A$3*(G13-AT13)/$B$3,2))</f>
        <v>0</v>
      </c>
      <c r="F13" s="29"/>
      <c r="G13" s="30">
        <f>H13+AC13+AT13</f>
        <v>347.45</v>
      </c>
      <c r="H13" s="17">
        <f>SUMIF(I$12:AB$12,"总值",I13:AB13)</f>
        <v>347.45</v>
      </c>
      <c r="I13" s="1625">
        <v>347.45</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347.45</v>
      </c>
      <c r="BA13" s="13">
        <f>SUM(BB13:BK13)</f>
        <v>347.45</v>
      </c>
      <c r="BB13" s="13">
        <f>IF($D13="是",I13-J13,0)</f>
        <v>347.45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100" zoomScaleSheetLayoutView="80" workbookViewId="0">
      <selection activeCell="F22" sqref="F22"/>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85" t="s">
        <v>1131</v>
      </c>
      <c r="B2" s="3585"/>
      <c r="C2" s="3585"/>
      <c r="D2" s="796" t="s">
        <v>1107</v>
      </c>
      <c r="E2" s="1638" t="s">
        <v>1108</v>
      </c>
      <c r="F2" s="2658"/>
      <c r="G2" s="2649"/>
      <c r="H2" s="2650"/>
      <c r="I2" s="2324" t="s">
        <v>1132</v>
      </c>
      <c r="J2" s="2658"/>
      <c r="K2" s="2658"/>
      <c r="L2" s="2658"/>
      <c r="M2" s="2658"/>
      <c r="N2" s="2660"/>
      <c r="O2" s="2658"/>
      <c r="P2" s="2658"/>
    </row>
    <row r="3" spans="1:16" ht="15.75" thickBot="1">
      <c r="A3" s="3586" t="s">
        <v>1105</v>
      </c>
      <c r="B3" s="3586"/>
      <c r="C3" s="3586"/>
      <c r="D3" s="43">
        <f>'数据-基础表'!AY6</f>
        <v>0</v>
      </c>
      <c r="E3" s="43">
        <f>'数据-基础表'!AZ5</f>
        <v>347.45</v>
      </c>
      <c r="F3" s="2658"/>
      <c r="G3" s="1145"/>
      <c r="H3" s="1026" t="s">
        <v>1106</v>
      </c>
      <c r="I3" s="855" t="e">
        <f>ROUND('数据-基础表'!B3/'数据-基础表'!A3,2)</f>
        <v>#DIV/0!</v>
      </c>
      <c r="J3" s="2658"/>
      <c r="K3" s="2658"/>
      <c r="L3" s="2658"/>
      <c r="M3" s="2658"/>
      <c r="N3" s="2660"/>
      <c r="O3" s="2658"/>
      <c r="P3" s="2658"/>
    </row>
    <row r="4" spans="1:16" ht="15">
      <c r="A4" s="3587"/>
      <c r="B4" s="3588"/>
      <c r="C4" s="3589"/>
      <c r="D4" s="1640" t="s">
        <v>1107</v>
      </c>
      <c r="E4" s="1641"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90" t="s">
        <v>1110</v>
      </c>
      <c r="C5" s="3590"/>
      <c r="D5" s="45">
        <f>ROUND($D$3*E5/$E$3,2)</f>
        <v>0</v>
      </c>
      <c r="E5" s="46">
        <f>SUMIF('数据-基础表'!$11:$11,"住宅",'数据-基础表'!$5:$5)</f>
        <v>347.45</v>
      </c>
      <c r="F5" s="2658"/>
      <c r="G5" s="1145"/>
      <c r="H5" s="1026" t="s">
        <v>1106</v>
      </c>
      <c r="I5" s="855" t="e">
        <f>ROUND(E31/D31,2)</f>
        <v>#DIV/0!</v>
      </c>
      <c r="J5" s="2658"/>
      <c r="K5" s="2658"/>
      <c r="L5" s="2658"/>
      <c r="M5" s="2658"/>
      <c r="N5" s="2658"/>
      <c r="O5" s="2658"/>
      <c r="P5" s="2658"/>
    </row>
    <row r="6" spans="1:16" ht="15" thickBot="1">
      <c r="A6" s="1643"/>
      <c r="B6" s="3590" t="s">
        <v>1111</v>
      </c>
      <c r="C6" s="3590"/>
      <c r="D6" s="45">
        <f>ROUND($D$3*E6/$E$3,2)</f>
        <v>0</v>
      </c>
      <c r="E6" s="46">
        <f>E3-E5</f>
        <v>0</v>
      </c>
      <c r="F6" s="2658"/>
      <c r="G6" s="2652" t="s">
        <v>1112</v>
      </c>
      <c r="H6" s="1146" t="s">
        <v>1113</v>
      </c>
      <c r="I6" s="2653" t="e">
        <f>ROUND(F31/D31,2)</f>
        <v>#DIV/0!</v>
      </c>
      <c r="J6" s="2658"/>
      <c r="K6" s="2658"/>
      <c r="L6" s="2658"/>
      <c r="M6" s="2658"/>
      <c r="N6" s="2658"/>
      <c r="O6" s="2658"/>
      <c r="P6" s="2658"/>
    </row>
    <row r="7" spans="1:16" ht="15.75" thickBot="1">
      <c r="A7" s="3582"/>
      <c r="B7" s="3583"/>
      <c r="C7" s="3584"/>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347.45</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347.45</v>
      </c>
      <c r="F16" s="2658"/>
      <c r="G16" s="2659"/>
      <c r="H16" s="1647" t="s">
        <v>1135</v>
      </c>
      <c r="I16" s="1648"/>
      <c r="J16" s="1139"/>
      <c r="K16" s="3579" t="s">
        <v>1135</v>
      </c>
      <c r="L16" s="3580"/>
      <c r="M16" s="3580"/>
      <c r="N16" s="3580"/>
      <c r="O16" s="3580"/>
      <c r="P16" s="3581"/>
    </row>
    <row r="17" spans="1:19" ht="15">
      <c r="A17" s="1649" t="s">
        <v>1136</v>
      </c>
      <c r="B17" s="1650" t="s">
        <v>1137</v>
      </c>
      <c r="C17" s="1651" t="s">
        <v>1138</v>
      </c>
      <c r="D17" s="1652" t="s">
        <v>1126</v>
      </c>
      <c r="E17" s="1653" t="s">
        <v>1127</v>
      </c>
      <c r="F17" s="1654"/>
      <c r="G17" s="1655"/>
      <c r="H17" s="1656" t="s">
        <v>1139</v>
      </c>
      <c r="I17" s="1657" t="s">
        <v>1124</v>
      </c>
      <c r="J17" s="1139"/>
      <c r="K17" s="3576" t="s">
        <v>1140</v>
      </c>
      <c r="L17" s="3577"/>
      <c r="M17" s="3578"/>
      <c r="N17" s="3576" t="s">
        <v>1141</v>
      </c>
      <c r="O17" s="3577"/>
      <c r="P17" s="3578"/>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3384</v>
      </c>
      <c r="D19" s="45">
        <f>ROUND($D$3*E19/$E$3,2)</f>
        <v>0</v>
      </c>
      <c r="E19" s="53">
        <f t="shared" ref="E19:E26" si="1">SUM(F19:G19)</f>
        <v>347.45</v>
      </c>
      <c r="F19" s="2794">
        <f>'数据-基础表'!I13</f>
        <v>347.45</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347.45</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0</v>
      </c>
      <c r="E27" s="1141">
        <f>IF(SUM(E19:E26)='数据-基础表'!BA5,SUM(E19:E26),IF(F27="地上面积有误","面积有误","地下面积有误"))</f>
        <v>347.45</v>
      </c>
      <c r="F27" s="1140">
        <f>IF(SUM(F19:F26)=E8,SUM(F19:F26),"地上面积有误")</f>
        <v>347.45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347.45</v>
      </c>
    </row>
    <row r="28" spans="1:19">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5"/>
      <c r="B31" s="1676"/>
      <c r="C31" s="835" t="s">
        <v>1158</v>
      </c>
      <c r="D31" s="676">
        <f>D27+D30</f>
        <v>0</v>
      </c>
      <c r="E31" s="676">
        <f>E27+E30</f>
        <v>347.45</v>
      </c>
      <c r="F31" s="677">
        <f>F27+F30</f>
        <v>347.45</v>
      </c>
      <c r="G31" s="678">
        <f>G27+G30</f>
        <v>0</v>
      </c>
      <c r="H31" s="2658"/>
      <c r="I31" s="2658"/>
      <c r="J31" s="2658"/>
      <c r="K31" s="2658"/>
      <c r="L31" s="2658"/>
      <c r="M31" s="2658"/>
      <c r="N31" s="2658"/>
      <c r="O31" s="2658"/>
      <c r="P31" s="2658"/>
    </row>
    <row r="32" spans="1:19">
      <c r="A32" s="1642"/>
      <c r="B32" s="1642" t="s">
        <v>1159</v>
      </c>
      <c r="C32" s="1642"/>
      <c r="D32" s="1642"/>
      <c r="E32" s="1053">
        <f>SUMIF(C19:C26,"*住宅*",E19:E26)</f>
        <v>347.45</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AK6" sqref="AK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0.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45231</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3386</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3383</v>
      </c>
      <c r="D6" s="858">
        <f>SUMIF(项目基本情况!C$12:I$12,C6,项目基本情况!C$14:I$14)</f>
        <v>70</v>
      </c>
      <c r="E6" s="857">
        <f>IF(B6="","",SUMIF(项目基本情况!C$12:I$12,C6,项目基本情况!C$13:I$13))</f>
        <v>59976</v>
      </c>
      <c r="F6" s="64">
        <f>SUMIF(项目基本情况!C$12:I$12,C6,项目基本情况!C$15:I$15)</f>
        <v>40.39</v>
      </c>
      <c r="G6" s="65">
        <f>IF(ISERROR(ROUND(POWER(1+H6,D6-F6)*(POWER(1+H6,F6)-1)/(POWER(1+H6,D6)-1),3)),0,ROUND(POWER(1+H6,D6-F6)*(POWER(1+H6,F6)-1)/(POWER(1+H6,D6)-1),3))</f>
        <v>0.84899999999999998</v>
      </c>
      <c r="H6" s="732">
        <v>0.04</v>
      </c>
      <c r="I6" s="732">
        <v>0.04</v>
      </c>
      <c r="J6" s="66">
        <v>6.5000000000000002E-2</v>
      </c>
      <c r="K6" s="1030">
        <f>SUMIF('数据-汇总表'!C$19:C$33,A6,'数据-汇总表'!E$19:E$33)</f>
        <v>347.45</v>
      </c>
      <c r="L6" s="733">
        <v>3500</v>
      </c>
      <c r="M6" s="67">
        <f t="shared" ref="M6:M14" si="0">ROUND(K6*L6/10000,0)</f>
        <v>122</v>
      </c>
      <c r="N6" s="731">
        <v>0.7</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7">
        <v>48000</v>
      </c>
      <c r="V6" s="70">
        <v>3.5000000000000003E-2</v>
      </c>
      <c r="W6" s="70">
        <v>0.05</v>
      </c>
      <c r="X6" s="1040"/>
      <c r="Y6" s="71">
        <f>N6</f>
        <v>0.7</v>
      </c>
      <c r="Z6" s="72"/>
      <c r="AA6" s="66"/>
      <c r="AB6" s="66"/>
      <c r="AC6" s="1040"/>
      <c r="AD6" s="73"/>
      <c r="AE6" s="1041">
        <f ca="1">IF(AN6="",0,SUMIF(INDIRECT("'"&amp;AN6&amp;"'"&amp;"!E:E"),$AE$5,INDIRECT("'"&amp;AN6&amp;"'"&amp;"!F:F")))</f>
        <v>40.39</v>
      </c>
      <c r="AF6" s="1347"/>
      <c r="AG6" s="138">
        <f>IF(AF6="",0,AE6-AF6)</f>
        <v>0</v>
      </c>
      <c r="AH6" s="74">
        <v>1</v>
      </c>
      <c r="AI6" s="76">
        <v>12</v>
      </c>
      <c r="AJ6" s="77"/>
      <c r="AK6" s="78">
        <v>5.0000000000000001E-3</v>
      </c>
      <c r="AL6" s="79">
        <v>5.0000000000000001E-4</v>
      </c>
      <c r="AM6" s="80">
        <v>5.0000000000000001E-3</v>
      </c>
      <c r="AN6" s="1714" t="s">
        <v>3456</v>
      </c>
      <c r="AO6" s="52">
        <f ca="1">SUMIF(INDIRECT("'"&amp;AN6&amp;"'"&amp;"!A:A"),"总价",INDIRECT("'"&amp;AN6&amp;"'"&amp;"!B:B"))</f>
        <v>1840</v>
      </c>
      <c r="AP6" s="1715">
        <f>IF(C6="住宅",K6*L6,0)</f>
        <v>1216075</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0.84899999999999998</v>
      </c>
      <c r="H16" s="90">
        <f>ROUND(SUMPRODUCT(H6:H13,K6:K13)/SUMPRODUCT((H6:H13&gt;0)*(K6:K13)),3)</f>
        <v>0.04</v>
      </c>
      <c r="I16" s="91"/>
      <c r="J16" s="91"/>
      <c r="K16" s="92">
        <f>SUM(K6:K15)</f>
        <v>347.45</v>
      </c>
      <c r="L16" s="93">
        <f>ROUND(M16*10000/SUM(K6:K14),0)</f>
        <v>3511</v>
      </c>
      <c r="M16" s="93">
        <f>SUM(M6:M14)</f>
        <v>122</v>
      </c>
      <c r="N16" s="94">
        <f>ROUND(SUMPRODUCT(M6:M14,N6:N14)/M16,3)</f>
        <v>0.7</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2305</v>
      </c>
      <c r="D19" s="2675"/>
      <c r="E19" s="2672"/>
      <c r="F19" s="2672"/>
      <c r="G19" s="2672"/>
      <c r="H19" s="2672"/>
      <c r="I19" s="2672"/>
      <c r="J19" s="2672"/>
      <c r="K19" s="2671"/>
      <c r="L19" s="2671"/>
      <c r="M19" s="2670"/>
      <c r="N19" s="2670">
        <v>1999</v>
      </c>
      <c r="O19" s="2670">
        <f>N20-N19</f>
        <v>24</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2303</v>
      </c>
      <c r="D20" s="2675"/>
      <c r="E20" s="2672"/>
      <c r="F20" s="2672"/>
      <c r="G20" s="2672"/>
      <c r="H20" s="2672"/>
      <c r="I20" s="2672"/>
      <c r="J20" s="2672"/>
      <c r="K20" s="2671"/>
      <c r="L20" s="2671"/>
      <c r="M20" s="2670"/>
      <c r="N20" s="2670">
        <v>2023</v>
      </c>
      <c r="O20" s="2670">
        <f>O19/60</f>
        <v>0.4</v>
      </c>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f>1-O20</f>
        <v>0.6</v>
      </c>
      <c r="P21" s="2670">
        <f>(O21+O22)/2</f>
        <v>0.7</v>
      </c>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v>0.8</v>
      </c>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3387</v>
      </c>
      <c r="B40" s="1078">
        <f ca="1">IF(A40="利息：取LPR",存贷款利率!G1,存贷款利率!G1+C40)</f>
        <v>4.5499999999999999E-2</v>
      </c>
      <c r="C40" s="2813">
        <v>1.0999999999999999E-2</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18</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296</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f>C54</f>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f t="shared" ref="B55:B59" si="12">C55</f>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f t="shared" si="12"/>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f t="shared" si="12"/>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f t="shared" si="12"/>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f t="shared" si="12"/>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91" t="s">
        <v>2286</v>
      </c>
      <c r="B1" s="3592"/>
      <c r="C1" s="3592"/>
      <c r="D1" s="3592"/>
      <c r="E1" s="3592"/>
      <c r="F1" s="3592"/>
      <c r="G1" s="3592"/>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2"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sheetPr>
  <dimension ref="A1:AJ512"/>
  <sheetViews>
    <sheetView tabSelected="1" view="pageBreakPreview" topLeftCell="A10" zoomScale="90" zoomScaleNormal="100" zoomScaleSheetLayoutView="90" zoomScalePageLayoutView="80" workbookViewId="0">
      <selection activeCell="F21" sqref="F21"/>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t="s">
        <v>3383</v>
      </c>
      <c r="D1" s="1746"/>
      <c r="E1" s="1746"/>
      <c r="F1" s="1748" t="s">
        <v>1263</v>
      </c>
      <c r="G1" s="1560" t="s">
        <v>3388</v>
      </c>
      <c r="H1" s="1749" t="str">
        <f>IF(G1="现房","——","估价对象范围")</f>
        <v>——</v>
      </c>
      <c r="I1" s="1750" t="s">
        <v>43</v>
      </c>
    </row>
    <row r="2" spans="1:12" ht="21.75" customHeight="1" thickBot="1">
      <c r="A2" s="3660" t="str">
        <f>项目基本情况!S2</f>
        <v>北京市房地产</v>
      </c>
      <c r="B2" s="3661"/>
      <c r="C2" s="3661"/>
      <c r="D2" s="3661"/>
      <c r="E2" s="3661"/>
      <c r="F2" s="3661"/>
      <c r="G2" s="3661"/>
      <c r="H2" s="3661"/>
      <c r="I2" s="3662"/>
    </row>
    <row r="3" spans="1:12" ht="12.75">
      <c r="A3" s="3664" t="s">
        <v>1264</v>
      </c>
      <c r="B3" s="3665"/>
      <c r="C3" s="3665"/>
      <c r="D3" s="3665"/>
      <c r="E3" s="3665"/>
      <c r="F3" s="3665"/>
      <c r="G3" s="3665"/>
      <c r="H3" s="3665"/>
      <c r="I3" s="3665"/>
    </row>
    <row r="4" spans="1:12" ht="14.25">
      <c r="A4" s="1753" t="s">
        <v>1265</v>
      </c>
      <c r="B4" s="1754" t="s">
        <v>1266</v>
      </c>
      <c r="C4" s="1755" t="s">
        <v>3389</v>
      </c>
      <c r="D4" s="1755" t="s">
        <v>3456</v>
      </c>
      <c r="E4" s="3669" t="s">
        <v>1267</v>
      </c>
      <c r="F4" s="3670"/>
      <c r="G4" s="3670"/>
      <c r="H4" s="3670"/>
      <c r="I4" s="367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8" t="s">
        <v>1268</v>
      </c>
      <c r="B5" s="3663">
        <v>25</v>
      </c>
      <c r="C5" s="3666">
        <v>8</v>
      </c>
      <c r="D5" s="3654">
        <v>2</v>
      </c>
      <c r="E5" s="131" t="s">
        <v>1269</v>
      </c>
      <c r="F5" s="1756"/>
      <c r="G5" s="1756"/>
      <c r="H5" s="1756"/>
      <c r="I5" s="1372"/>
    </row>
    <row r="6" spans="1:12" ht="12.75">
      <c r="A6" s="3608"/>
      <c r="B6" s="3663"/>
      <c r="C6" s="3668"/>
      <c r="D6" s="3654"/>
      <c r="E6" s="131" t="s">
        <v>1270</v>
      </c>
      <c r="F6" s="1756"/>
      <c r="G6" s="1756"/>
      <c r="H6" s="1756"/>
      <c r="I6" s="1372"/>
    </row>
    <row r="7" spans="1:12" ht="12.75">
      <c r="A7" s="3608"/>
      <c r="B7" s="3663"/>
      <c r="C7" s="3667"/>
      <c r="D7" s="3654"/>
      <c r="E7" s="131" t="s">
        <v>1271</v>
      </c>
      <c r="F7" s="1756"/>
      <c r="G7" s="1756"/>
      <c r="H7" s="1756"/>
      <c r="I7" s="1372"/>
    </row>
    <row r="8" spans="1:12" ht="12.75">
      <c r="A8" s="3608" t="s">
        <v>1272</v>
      </c>
      <c r="B8" s="3663">
        <v>15</v>
      </c>
      <c r="C8" s="3666"/>
      <c r="D8" s="3654"/>
      <c r="E8" s="131" t="s">
        <v>1273</v>
      </c>
      <c r="F8" s="1756"/>
      <c r="G8" s="1756"/>
      <c r="H8" s="1756"/>
      <c r="I8" s="1372"/>
    </row>
    <row r="9" spans="1:12" ht="12.75">
      <c r="A9" s="3608"/>
      <c r="B9" s="3663"/>
      <c r="C9" s="3667"/>
      <c r="D9" s="3654"/>
      <c r="E9" s="131" t="s">
        <v>1274</v>
      </c>
      <c r="F9" s="1756"/>
      <c r="G9" s="1756"/>
      <c r="H9" s="1756"/>
      <c r="I9" s="1372"/>
    </row>
    <row r="10" spans="1:12" ht="12.75">
      <c r="A10" s="3608" t="s">
        <v>1275</v>
      </c>
      <c r="B10" s="3663">
        <v>15</v>
      </c>
      <c r="C10" s="3666"/>
      <c r="D10" s="3654"/>
      <c r="E10" s="131" t="s">
        <v>1276</v>
      </c>
      <c r="F10" s="1756"/>
      <c r="G10" s="1756"/>
      <c r="H10" s="1756"/>
      <c r="I10" s="1372"/>
    </row>
    <row r="11" spans="1:12" ht="12.75">
      <c r="A11" s="3608"/>
      <c r="B11" s="3663"/>
      <c r="C11" s="3667"/>
      <c r="D11" s="3654"/>
      <c r="E11" s="131" t="s">
        <v>1277</v>
      </c>
      <c r="F11" s="1756"/>
      <c r="G11" s="1756"/>
      <c r="H11" s="1756"/>
      <c r="I11" s="1372"/>
    </row>
    <row r="12" spans="1:12" ht="12.75">
      <c r="A12" s="3608" t="s">
        <v>1278</v>
      </c>
      <c r="B12" s="3663">
        <v>15</v>
      </c>
      <c r="C12" s="3666"/>
      <c r="D12" s="3654"/>
      <c r="E12" s="131" t="s">
        <v>1279</v>
      </c>
      <c r="F12" s="1756"/>
      <c r="G12" s="1756"/>
      <c r="H12" s="1756"/>
      <c r="I12" s="1372"/>
    </row>
    <row r="13" spans="1:12" ht="12.75">
      <c r="A13" s="3608"/>
      <c r="B13" s="3663"/>
      <c r="C13" s="3667"/>
      <c r="D13" s="3654"/>
      <c r="E13" s="131" t="s">
        <v>1280</v>
      </c>
      <c r="F13" s="1756"/>
      <c r="G13" s="1756"/>
      <c r="H13" s="1756"/>
      <c r="I13" s="1372"/>
    </row>
    <row r="14" spans="1:12" ht="12.75">
      <c r="A14" s="3608" t="s">
        <v>1281</v>
      </c>
      <c r="B14" s="3663">
        <v>30</v>
      </c>
      <c r="C14" s="3666"/>
      <c r="D14" s="3654"/>
      <c r="E14" s="131" t="s">
        <v>1282</v>
      </c>
      <c r="F14" s="1756"/>
      <c r="G14" s="1756"/>
      <c r="H14" s="1756"/>
      <c r="I14" s="1372"/>
    </row>
    <row r="15" spans="1:12" ht="12.75">
      <c r="A15" s="3608"/>
      <c r="B15" s="3663"/>
      <c r="C15" s="3668"/>
      <c r="D15" s="3654"/>
      <c r="E15" s="131" t="s">
        <v>1283</v>
      </c>
      <c r="F15" s="1756"/>
      <c r="G15" s="1756"/>
      <c r="H15" s="1756"/>
      <c r="I15" s="1372"/>
    </row>
    <row r="16" spans="1:12" ht="12.75">
      <c r="A16" s="3608"/>
      <c r="B16" s="3663"/>
      <c r="C16" s="3667"/>
      <c r="D16" s="3654"/>
      <c r="E16" s="131" t="s">
        <v>1284</v>
      </c>
      <c r="F16" s="1756"/>
      <c r="G16" s="1756"/>
      <c r="H16" s="1756"/>
      <c r="I16" s="1372"/>
    </row>
    <row r="17" spans="1:36" ht="15">
      <c r="A17" s="1757" t="s">
        <v>1285</v>
      </c>
      <c r="B17" s="56"/>
      <c r="C17" s="132">
        <f>SUM(C5:C16)</f>
        <v>8</v>
      </c>
      <c r="D17" s="132">
        <f>SUM(D5:D16)</f>
        <v>2</v>
      </c>
      <c r="E17" s="129"/>
      <c r="F17" s="129"/>
      <c r="G17" s="129"/>
      <c r="H17" s="129"/>
      <c r="I17" s="129"/>
      <c r="K17" s="302"/>
      <c r="L17" s="302" t="s">
        <v>1286</v>
      </c>
      <c r="M17" s="302" t="s">
        <v>1287</v>
      </c>
    </row>
    <row r="18" spans="1:36" ht="31.9" customHeight="1" thickBot="1">
      <c r="A18" s="1758" t="s">
        <v>1288</v>
      </c>
      <c r="B18" s="1759"/>
      <c r="C18" s="133">
        <f>ROUND(C17/SUM(C17:D17),2)</f>
        <v>0.8</v>
      </c>
      <c r="D18" s="133">
        <f>1-C18</f>
        <v>0.19999999999999996</v>
      </c>
      <c r="E18" s="3685" t="s">
        <v>2131</v>
      </c>
      <c r="F18" s="3686"/>
      <c r="G18" s="3686"/>
      <c r="H18" s="3686"/>
      <c r="I18" s="3686"/>
      <c r="K18" s="302" t="s">
        <v>1289</v>
      </c>
      <c r="L18" s="302">
        <f>IF(C1="",'数据-汇总表'!E3,SUMIF(项目类型,C1,'数据-汇总表'!E17:E26)+SUMIF(项目类型,C1,'数据-汇总表'!I17:I26))</f>
        <v>347.45</v>
      </c>
      <c r="M18" s="302">
        <f>IF(C1="",'数据-汇总表'!E3,SUMIF(项目类型,C1,'数据-汇总表'!E17:E26))</f>
        <v>347.45</v>
      </c>
    </row>
    <row r="19" spans="1:36" ht="15">
      <c r="A19" s="1760" t="s">
        <v>1290</v>
      </c>
      <c r="B19" s="1761" t="s">
        <v>1291</v>
      </c>
      <c r="C19" s="134">
        <f ca="1">SUMIF(INDIRECT("'"&amp;C4&amp;"'"&amp;"!A:A"),结果表!B19,INDIRECT("'"&amp;C4&amp;"'"&amp;"!B:B"))</f>
        <v>0</v>
      </c>
      <c r="D19" s="135">
        <f ca="1">SUMIF(INDIRECT("'"&amp;D4&amp;"'"&amp;"!A:A"),结果表!B19,INDIRECT("'"&amp;D4&amp;"'"&amp;"!B:B"))</f>
        <v>1840</v>
      </c>
      <c r="E19" s="1760" t="s">
        <v>1292</v>
      </c>
      <c r="F19" s="1761" t="s">
        <v>1291</v>
      </c>
      <c r="G19" s="136">
        <f ca="1">ROUND(C19*$C$18+D19*$D$18,0)</f>
        <v>368</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6" t="s">
        <v>1295</v>
      </c>
      <c r="C20" s="137">
        <f ca="1">SUMIF(INDIRECT("'"&amp;C4&amp;"'"&amp;"!A:A"),结果表!B20,INDIRECT("'"&amp;C4&amp;"'"&amp;"!B:B"))</f>
        <v>86877</v>
      </c>
      <c r="D20" s="138">
        <f ca="1">SUMIF(INDIRECT("'"&amp;D4&amp;"'"&amp;"!A:A"),结果表!B20,INDIRECT("'"&amp;D4&amp;"'"&amp;"!B:B"))</f>
        <v>52957</v>
      </c>
      <c r="E20" s="1763"/>
      <c r="F20" s="1026" t="s">
        <v>1295</v>
      </c>
      <c r="G20" s="139">
        <f ca="1">ROUND(C20*$C$18+D20*$D$18,0)</f>
        <v>80093</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t="e">
        <f ca="1">IF(C19&lt;D19,D19/C19-1,C19/D19-1)</f>
        <v>#DIV/0!</v>
      </c>
      <c r="E22" s="129"/>
      <c r="F22" s="129"/>
      <c r="G22" s="129">
        <f ca="1">G20*'数据-汇总表'!F19</f>
        <v>27828312.849999998</v>
      </c>
      <c r="H22" s="129"/>
      <c r="I22" s="129"/>
    </row>
    <row r="23" spans="1:36" ht="13.5" thickBot="1">
      <c r="A23" s="1746"/>
      <c r="B23" s="1746"/>
      <c r="C23" s="1746"/>
      <c r="D23" s="1746"/>
      <c r="E23" s="129"/>
      <c r="F23" s="129"/>
      <c r="G23" s="129"/>
      <c r="H23" s="129"/>
      <c r="I23" s="129"/>
    </row>
    <row r="24" spans="1:36" ht="14.25">
      <c r="A24" s="3678" t="s">
        <v>1299</v>
      </c>
      <c r="B24" s="1761" t="s">
        <v>1291</v>
      </c>
      <c r="C24" s="136">
        <f>IF(B30=0,0,D30)</f>
        <v>0</v>
      </c>
      <c r="D24" s="1768"/>
      <c r="E24" s="129"/>
      <c r="F24" s="129"/>
      <c r="G24" s="129"/>
      <c r="H24" s="129"/>
      <c r="I24" s="129"/>
    </row>
    <row r="25" spans="1:36" ht="14.25">
      <c r="A25" s="3679"/>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80093</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55" t="s">
        <v>1312</v>
      </c>
      <c r="B36" s="1786" t="s">
        <v>1313</v>
      </c>
      <c r="C36" s="145"/>
      <c r="D36" s="1787"/>
      <c r="E36" s="1788"/>
      <c r="F36" s="1789"/>
      <c r="G36" s="129"/>
      <c r="H36" s="129"/>
      <c r="I36" s="129"/>
    </row>
    <row r="37" spans="1:15" ht="15.75" thickBot="1">
      <c r="A37" s="3656"/>
      <c r="B37" s="1673" t="s">
        <v>1314</v>
      </c>
      <c r="C37" s="147"/>
      <c r="D37" s="1139"/>
      <c r="E37" s="1139"/>
      <c r="F37" s="1789"/>
      <c r="G37" s="129"/>
      <c r="H37" s="129"/>
      <c r="I37" s="129"/>
    </row>
    <row r="38" spans="1:15" ht="15.75" thickBot="1">
      <c r="A38" s="3657"/>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75" t="s">
        <v>1326</v>
      </c>
      <c r="B45" s="3676"/>
      <c r="C45" s="3677"/>
      <c r="D45" s="155" t="e">
        <f ca="1">ROUND(H101*F45,0)</f>
        <v>#REF!</v>
      </c>
      <c r="E45" s="156" t="s">
        <v>1327</v>
      </c>
      <c r="F45" s="157">
        <v>1</v>
      </c>
      <c r="G45" s="158" t="s">
        <v>1328</v>
      </c>
      <c r="H45" s="129"/>
      <c r="I45" s="129"/>
      <c r="J45" s="3595" t="s">
        <v>1329</v>
      </c>
      <c r="K45" s="3595"/>
      <c r="L45" s="3595"/>
      <c r="M45" s="3595"/>
      <c r="N45" s="3595"/>
      <c r="O45" s="3595"/>
    </row>
    <row r="46" spans="1:15" ht="14.25" customHeight="1">
      <c r="A46" s="3672" t="s">
        <v>1330</v>
      </c>
      <c r="B46" s="3673"/>
      <c r="C46" s="3673"/>
      <c r="D46" s="3673"/>
      <c r="E46" s="3673"/>
      <c r="F46" s="3673"/>
      <c r="G46" s="3674"/>
      <c r="H46" s="1805"/>
      <c r="I46" s="159"/>
      <c r="J46" s="2522">
        <v>1</v>
      </c>
      <c r="K46" s="3596" t="s">
        <v>1331</v>
      </c>
      <c r="L46" s="3596"/>
      <c r="M46" s="3597"/>
      <c r="N46" s="3597"/>
      <c r="O46" s="3597"/>
    </row>
    <row r="47" spans="1:15" ht="12" customHeight="1">
      <c r="A47" s="160" t="s">
        <v>1332</v>
      </c>
      <c r="B47" s="161"/>
      <c r="C47" s="162"/>
      <c r="D47" s="1087" t="s">
        <v>1333</v>
      </c>
      <c r="E47" s="302" t="s">
        <v>1334</v>
      </c>
      <c r="F47" s="163" t="s">
        <v>1335</v>
      </c>
      <c r="G47" s="2545" t="s">
        <v>1336</v>
      </c>
      <c r="H47" s="2546"/>
      <c r="I47" s="159"/>
      <c r="J47" s="2522">
        <v>2</v>
      </c>
      <c r="K47" s="3596" t="s">
        <v>1337</v>
      </c>
      <c r="L47" s="3596"/>
      <c r="M47" s="3598">
        <f>'数据-取费表'!B2</f>
        <v>45231</v>
      </c>
      <c r="N47" s="3598"/>
      <c r="O47" s="3598"/>
    </row>
    <row r="48" spans="1:15" ht="25.5">
      <c r="A48" s="3658" t="s">
        <v>1338</v>
      </c>
      <c r="B48" s="3659"/>
      <c r="C48" s="3659"/>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596" t="s">
        <v>1340</v>
      </c>
      <c r="L48" s="3596"/>
      <c r="M48" s="3599" t="e">
        <f ca="1">H101</f>
        <v>#REF!</v>
      </c>
      <c r="N48" s="3599"/>
      <c r="O48" s="3599"/>
    </row>
    <row r="49" spans="1:35" ht="25.5" customHeight="1">
      <c r="A49" s="2332" t="s">
        <v>1341</v>
      </c>
      <c r="B49" s="3644" t="s">
        <v>1342</v>
      </c>
      <c r="C49" s="3644"/>
      <c r="D49" s="1589">
        <v>0</v>
      </c>
      <c r="E49" s="324" t="s">
        <v>1343</v>
      </c>
      <c r="F49" s="2423" t="s">
        <v>28</v>
      </c>
      <c r="G49" s="3627"/>
      <c r="H49" s="2309" t="s">
        <v>2134</v>
      </c>
      <c r="I49" s="2310"/>
      <c r="J49" s="2522">
        <v>4</v>
      </c>
      <c r="K49" s="3596" t="str">
        <f>IF(项目基本情况!E8="房地产抵押价值","房地产抵押价值","抵押担保权已注销时的房地产抵押价值")</f>
        <v>抵押担保权已注销时的房地产抵押价值</v>
      </c>
      <c r="L49" s="3596"/>
      <c r="M49" s="3599" t="str">
        <f>IF(项目基本情况!E8="房地产抵押价值",H107,H109)</f>
        <v>——</v>
      </c>
      <c r="N49" s="3599"/>
      <c r="O49" s="3599"/>
    </row>
    <row r="50" spans="1:35" ht="25.5" customHeight="1">
      <c r="A50" s="2550"/>
      <c r="B50" s="3644" t="s">
        <v>1344</v>
      </c>
      <c r="C50" s="3644"/>
      <c r="D50" s="2551"/>
      <c r="E50" s="332"/>
      <c r="F50" s="2423"/>
      <c r="G50" s="3628"/>
      <c r="H50" s="2311" t="s">
        <v>2135</v>
      </c>
      <c r="I50" s="2310"/>
      <c r="J50" s="3595" t="s">
        <v>1345</v>
      </c>
      <c r="K50" s="3595"/>
      <c r="L50" s="3595"/>
      <c r="M50" s="3595"/>
      <c r="N50" s="3595"/>
      <c r="O50" s="3595"/>
    </row>
    <row r="51" spans="1:35" ht="20.45" customHeight="1">
      <c r="A51" s="2552"/>
      <c r="B51" s="3644" t="s">
        <v>1346</v>
      </c>
      <c r="C51" s="3644"/>
      <c r="D51" s="1087"/>
      <c r="E51" s="327"/>
      <c r="F51" s="2423"/>
      <c r="G51" s="3629"/>
      <c r="H51" s="2311" t="s">
        <v>2136</v>
      </c>
      <c r="I51" s="2310"/>
      <c r="J51" s="2523" t="s">
        <v>1347</v>
      </c>
      <c r="K51" s="3596" t="s">
        <v>1348</v>
      </c>
      <c r="L51" s="3596"/>
      <c r="M51" s="2523" t="s">
        <v>1349</v>
      </c>
      <c r="N51" s="2523" t="s">
        <v>1350</v>
      </c>
      <c r="O51" s="2523" t="s">
        <v>1351</v>
      </c>
    </row>
    <row r="52" spans="1:35" ht="24" customHeight="1">
      <c r="A52" s="2334" t="s">
        <v>1352</v>
      </c>
      <c r="B52" s="3644" t="s">
        <v>1353</v>
      </c>
      <c r="C52" s="3644"/>
      <c r="D52" s="1087" t="e">
        <f ca="1">ROUND(D45*'数据-取费表'!B41/(1+'数据-取费表'!C42),0)</f>
        <v>#REF!</v>
      </c>
      <c r="E52" s="2333" t="s">
        <v>1354</v>
      </c>
      <c r="F52" s="2553">
        <f>'数据-取费表'!B41</f>
        <v>5.6000000000000001E-2</v>
      </c>
      <c r="G52" s="2554"/>
      <c r="H52" s="2543"/>
      <c r="I52" s="1806"/>
      <c r="J52" s="2522">
        <v>1</v>
      </c>
      <c r="K52" s="3621" t="s">
        <v>1355</v>
      </c>
      <c r="L52" s="3621"/>
      <c r="M52" s="2524" t="b">
        <f>D48</f>
        <v>0</v>
      </c>
      <c r="N52" s="2522" t="str">
        <f>E48</f>
        <v>销售额×税（费）率</v>
      </c>
      <c r="O52" s="2525">
        <f>F48</f>
        <v>5.6000000000000001E-2</v>
      </c>
    </row>
    <row r="53" spans="1:35" ht="12" customHeight="1">
      <c r="A53" s="2334" t="s">
        <v>1356</v>
      </c>
      <c r="B53" s="3645" t="s">
        <v>2291</v>
      </c>
      <c r="C53" s="3646"/>
      <c r="D53" s="1087" t="e">
        <f ca="1">ROUND(D45*'数据-取费表'!B41/(1+'数据-取费表'!C42),0)</f>
        <v>#REF!</v>
      </c>
      <c r="E53" s="2333" t="s">
        <v>1354</v>
      </c>
      <c r="F53" s="2553">
        <f>'数据-取费表'!B41</f>
        <v>5.6000000000000001E-2</v>
      </c>
      <c r="G53" s="2554"/>
      <c r="H53" s="2543"/>
      <c r="I53" s="1806"/>
      <c r="J53" s="2522">
        <v>2</v>
      </c>
      <c r="K53" s="3621" t="s">
        <v>1357</v>
      </c>
      <c r="L53" s="3621"/>
      <c r="M53" s="2524" t="e">
        <f t="shared" ref="M53:O54" ca="1" si="0">D55</f>
        <v>#REF!</v>
      </c>
      <c r="N53" s="2522" t="str">
        <f t="shared" si="0"/>
        <v>销售额×税（费）率</v>
      </c>
      <c r="O53" s="2525" t="str">
        <f t="shared" si="0"/>
        <v>免征</v>
      </c>
    </row>
    <row r="54" spans="1:35" ht="12" customHeight="1">
      <c r="A54" s="2334" t="s">
        <v>1358</v>
      </c>
      <c r="B54" s="3645" t="s">
        <v>2292</v>
      </c>
      <c r="C54" s="3646"/>
      <c r="D54" s="1087" t="e">
        <f ca="1">C68</f>
        <v>#REF!</v>
      </c>
      <c r="E54" s="327" t="s">
        <v>1359</v>
      </c>
      <c r="F54" s="2553">
        <f>'数据-取费表'!B41</f>
        <v>5.6000000000000001E-2</v>
      </c>
      <c r="G54" s="2554"/>
      <c r="H54" s="2555"/>
      <c r="I54" s="1806"/>
      <c r="J54" s="2522">
        <v>3</v>
      </c>
      <c r="K54" s="3621" t="s">
        <v>1360</v>
      </c>
      <c r="L54" s="3621"/>
      <c r="M54" s="2524" t="e">
        <f t="shared" ca="1" si="0"/>
        <v>#REF!</v>
      </c>
      <c r="N54" s="2522" t="str">
        <f t="shared" si="0"/>
        <v>增值额×税（费）率</v>
      </c>
      <c r="O54" s="2526" t="str">
        <f t="shared" si="0"/>
        <v>免征</v>
      </c>
    </row>
    <row r="55" spans="1:35" ht="24" customHeight="1">
      <c r="A55" s="3681" t="s">
        <v>1361</v>
      </c>
      <c r="B55" s="3659"/>
      <c r="C55" s="3659"/>
      <c r="D55" s="2323" t="e">
        <f ca="1">IF(H55="个人住宅",0,ROUND(D45*I55,0))</f>
        <v>#REF!</v>
      </c>
      <c r="E55" s="2333" t="s">
        <v>1362</v>
      </c>
      <c r="F55" s="2553" t="str">
        <f>IF(H55="正常",I55,"免征")</f>
        <v>免征</v>
      </c>
      <c r="G55" s="2554"/>
      <c r="H55" s="2549"/>
      <c r="I55" s="165">
        <f>'数据-取费表'!B49</f>
        <v>5.0000000000000001E-4</v>
      </c>
      <c r="J55" s="2522">
        <f>IF(H59="非个人房产","",4)</f>
        <v>4</v>
      </c>
      <c r="K55" s="3621" t="str">
        <f>IF(H59="非个人房产","——","个人所得税")</f>
        <v>个人所得税</v>
      </c>
      <c r="L55" s="3621"/>
      <c r="M55" s="2527" t="e">
        <f ca="1">D59</f>
        <v>#REF!</v>
      </c>
      <c r="N55" s="2039" t="str">
        <f>E59</f>
        <v>差额计税</v>
      </c>
      <c r="O55" s="2528">
        <f>F59</f>
        <v>0.01</v>
      </c>
    </row>
    <row r="56" spans="1:35" ht="24.75">
      <c r="A56" s="3681" t="s">
        <v>1363</v>
      </c>
      <c r="B56" s="3659"/>
      <c r="C56" s="3659"/>
      <c r="D56" s="2323" t="e">
        <f ca="1">IF(H56="个人住宅",D57,D58)</f>
        <v>#REF!</v>
      </c>
      <c r="E56" s="2333" t="s">
        <v>1364</v>
      </c>
      <c r="F56" s="2553" t="str">
        <f>IF(H56="正常",F58,"免征")</f>
        <v>免征</v>
      </c>
      <c r="G56" s="2556" t="s">
        <v>1365</v>
      </c>
      <c r="H56" s="2557"/>
      <c r="I56" s="1807"/>
      <c r="J56" s="2522" t="str">
        <f>IF(项目基本情况!K6="上海银行",IF(J55="",4,J55+1),"")</f>
        <v/>
      </c>
      <c r="K56" s="3602" t="str">
        <f>IF(项目基本情况!K6="上海银行","其他处置费用","")</f>
        <v/>
      </c>
      <c r="L56" s="3603"/>
      <c r="M56" s="2524" t="str">
        <f>IF(项目基本情况!K6="上海银行",M69,"")</f>
        <v/>
      </c>
      <c r="N56" s="3602" t="str">
        <f>IF(项目基本情况!K6="上海银行","包含处置中涉及的律师、诉讼、拍卖、评估等费用","")</f>
        <v/>
      </c>
      <c r="O56" s="3605"/>
    </row>
    <row r="57" spans="1:35" ht="12.75">
      <c r="A57" s="2334" t="s">
        <v>1341</v>
      </c>
      <c r="B57" s="3645" t="s">
        <v>1366</v>
      </c>
      <c r="C57" s="3646"/>
      <c r="D57" s="1589">
        <v>0</v>
      </c>
      <c r="E57" s="324" t="s">
        <v>1343</v>
      </c>
      <c r="F57" s="302"/>
      <c r="G57" s="2554"/>
      <c r="H57" s="2558"/>
      <c r="I57" s="1807"/>
      <c r="J57" s="3621">
        <f>IF(AND(J55="",J56=""),4,IF(项目基本情况!K6="上海银行",结果表!J56+1,结果表!J55+1))</f>
        <v>5</v>
      </c>
      <c r="K57" s="3621" t="s">
        <v>1367</v>
      </c>
      <c r="L57" s="2529" t="s">
        <v>1368</v>
      </c>
      <c r="M57" s="2530"/>
      <c r="N57" s="2531">
        <f ca="1">SUMIF(M52:M56,"&lt;9e307")</f>
        <v>0</v>
      </c>
      <c r="O57" s="2532"/>
      <c r="P57" s="2689" t="e">
        <f ca="1">N57/M49</f>
        <v>#VALUE!</v>
      </c>
    </row>
    <row r="58" spans="1:35" ht="24.75">
      <c r="A58" s="2334" t="s">
        <v>1352</v>
      </c>
      <c r="B58" s="3645" t="s">
        <v>1369</v>
      </c>
      <c r="C58" s="3644"/>
      <c r="D58" s="2323" t="e">
        <f ca="1">IF(H58="转让取得",C81,C97)</f>
        <v>#REF!</v>
      </c>
      <c r="E58" s="2333" t="s">
        <v>1364</v>
      </c>
      <c r="F58" s="302" t="s">
        <v>28</v>
      </c>
      <c r="G58" s="2554"/>
      <c r="H58" s="2557"/>
      <c r="I58" s="1807"/>
      <c r="J58" s="3621"/>
      <c r="K58" s="3621"/>
      <c r="L58" s="2529" t="s">
        <v>1370</v>
      </c>
      <c r="M58" s="2533"/>
      <c r="N58" s="2534" t="str">
        <f ca="1">NUMBERSTRING(INT(N57*10000),2)&amp;"元整"</f>
        <v>零元整</v>
      </c>
      <c r="O58" s="2535"/>
    </row>
    <row r="59" spans="1:35" ht="24.75" thickBot="1">
      <c r="A59" s="3625" t="s">
        <v>1371</v>
      </c>
      <c r="B59" s="3626"/>
      <c r="C59" s="3626"/>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23">
        <f>J57+1</f>
        <v>6</v>
      </c>
      <c r="K59" s="3621" t="s">
        <v>1372</v>
      </c>
      <c r="L59" s="2522" t="s">
        <v>1368</v>
      </c>
      <c r="M59" s="2536"/>
      <c r="N59" s="2537" t="e">
        <f ca="1">M49-N57</f>
        <v>#VALUE!</v>
      </c>
      <c r="O59" s="2538"/>
    </row>
    <row r="60" spans="1:35" ht="12" customHeight="1">
      <c r="A60" s="1808"/>
      <c r="B60" s="1746"/>
      <c r="C60" s="1746"/>
      <c r="D60" s="1746"/>
      <c r="E60" s="1577"/>
      <c r="F60" s="1807"/>
      <c r="G60" s="1807"/>
      <c r="H60" s="1809"/>
      <c r="I60" s="129"/>
      <c r="J60" s="3624"/>
      <c r="K60" s="3621"/>
      <c r="L60" s="2529" t="s">
        <v>1370</v>
      </c>
      <c r="M60" s="2533"/>
      <c r="N60" s="2534" t="e">
        <f ca="1">NUMBERSTRING(INT(N59*10000),2)&amp;"元整"</f>
        <v>#VALUE!</v>
      </c>
      <c r="O60" s="2535"/>
    </row>
    <row r="61" spans="1:35" ht="13.5" thickBot="1">
      <c r="A61" s="3680" t="s">
        <v>1373</v>
      </c>
      <c r="B61" s="3680"/>
      <c r="C61" s="3680"/>
      <c r="D61" s="3680"/>
      <c r="E61" s="3680"/>
      <c r="F61" s="1807"/>
      <c r="G61" s="1807"/>
      <c r="H61" s="1809"/>
      <c r="I61" s="129"/>
      <c r="J61" s="2522">
        <f>J59+1</f>
        <v>7</v>
      </c>
      <c r="K61" s="3621" t="s">
        <v>1374</v>
      </c>
      <c r="L61" s="3621"/>
      <c r="M61" s="2539"/>
      <c r="N61" s="2540" t="e">
        <f ca="1">ROUND(N59*10000/'数据-汇总表'!E3,0)</f>
        <v>#VALUE!</v>
      </c>
      <c r="O61" s="2541"/>
    </row>
    <row r="62" spans="1:35" ht="12.75">
      <c r="A62" s="3640" t="s">
        <v>1375</v>
      </c>
      <c r="B62" s="3641"/>
      <c r="C62" s="2020"/>
      <c r="D62" s="2020" t="s">
        <v>1376</v>
      </c>
      <c r="E62" s="166" t="s">
        <v>1377</v>
      </c>
      <c r="F62" s="1807"/>
      <c r="G62" s="1807"/>
      <c r="H62" s="1809"/>
      <c r="I62" s="129"/>
    </row>
    <row r="63" spans="1:35" ht="12.75">
      <c r="A63" s="173" t="s">
        <v>330</v>
      </c>
      <c r="B63" s="167" t="s">
        <v>1378</v>
      </c>
      <c r="C63" s="2563" t="e">
        <f ca="1">ROUND((C64+C65)/(1+'数据-取费表'!C42),0)</f>
        <v>#REF!</v>
      </c>
      <c r="D63" s="167"/>
      <c r="E63" s="168"/>
      <c r="F63" s="1807"/>
      <c r="G63" s="1807"/>
      <c r="H63" s="1809"/>
      <c r="I63" s="129"/>
      <c r="J63" s="3604" t="s">
        <v>1379</v>
      </c>
      <c r="K63" s="1331" t="s">
        <v>1380</v>
      </c>
      <c r="L63" s="1331" t="e">
        <f>IF(M49&gt;10000,M49*0.5%,IF(AND(M49&gt;1000,M49&lt;=10000),M49*1%,IF(AND(M49&gt;100,M49&lt;=1000),M49*3%,IF(AND(M49&gt;10,M49&lt;=100),M49*5%,M49*8%))))</f>
        <v>#VALUE!</v>
      </c>
      <c r="M63" s="302" t="e">
        <f>ROUND(L63,1)</f>
        <v>#VALUE!</v>
      </c>
      <c r="N63" s="2542"/>
      <c r="Z63" s="1751"/>
      <c r="AI63" s="1752"/>
    </row>
    <row r="64" spans="1:35" ht="14.25" customHeight="1">
      <c r="A64" s="169" t="s">
        <v>325</v>
      </c>
      <c r="B64" s="170" t="s">
        <v>1381</v>
      </c>
      <c r="C64" s="2564" t="e">
        <f ca="1">D45</f>
        <v>#REF!</v>
      </c>
      <c r="D64" s="170" t="s">
        <v>26</v>
      </c>
      <c r="E64" s="172"/>
      <c r="F64" s="1807"/>
      <c r="G64" s="1807"/>
      <c r="H64" s="1809"/>
      <c r="I64" s="129"/>
      <c r="J64" s="3604"/>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1"/>
      <c r="AI64" s="1752"/>
    </row>
    <row r="65" spans="1:35" ht="14.25" customHeight="1">
      <c r="A65" s="169" t="s">
        <v>326</v>
      </c>
      <c r="B65" s="170" t="s">
        <v>1384</v>
      </c>
      <c r="C65" s="2565"/>
      <c r="D65" s="170"/>
      <c r="E65" s="172"/>
      <c r="F65" s="1807"/>
      <c r="G65" s="1807"/>
      <c r="H65" s="1809"/>
      <c r="I65" s="129"/>
      <c r="J65" s="3604"/>
      <c r="K65" s="1331" t="s">
        <v>1385</v>
      </c>
      <c r="L65" s="1331" t="e">
        <f>IF(M49&gt;1000,M49*0.1%,IF(AND(M49&gt;500,M49&lt;=1000),M49*0.5%,IF(AND(M49&gt;50,M49&lt;=500),M49*1%,IF(AND(M49&gt;1,M49&lt;=50),M49*1.5%))))</f>
        <v>#VALUE!</v>
      </c>
      <c r="M65" s="302" t="e">
        <f t="shared" si="1"/>
        <v>#VALUE!</v>
      </c>
      <c r="N65" s="2543" t="s">
        <v>1383</v>
      </c>
      <c r="Z65" s="1751"/>
      <c r="AI65" s="1752"/>
    </row>
    <row r="66" spans="1:35" ht="14.25" customHeight="1">
      <c r="A66" s="173" t="s">
        <v>327</v>
      </c>
      <c r="B66" s="174" t="s">
        <v>1386</v>
      </c>
      <c r="C66" s="2566"/>
      <c r="D66" s="174" t="s">
        <v>26</v>
      </c>
      <c r="E66" s="1337" t="s">
        <v>671</v>
      </c>
      <c r="F66" s="1807"/>
      <c r="G66" s="1807"/>
      <c r="H66" s="1809"/>
      <c r="I66" s="129"/>
      <c r="J66" s="3604"/>
      <c r="K66" s="1331" t="s">
        <v>1387</v>
      </c>
      <c r="L66" s="1331" t="e">
        <f>M49*0.5%</f>
        <v>#VALUE!</v>
      </c>
      <c r="M66" s="302" t="e">
        <f>IF(L66&gt;0.5,0.5,ROUND(L66,0))</f>
        <v>#VALUE!</v>
      </c>
      <c r="N66" s="2543" t="s">
        <v>1388</v>
      </c>
      <c r="Z66" s="1751"/>
      <c r="AI66" s="1752"/>
    </row>
    <row r="67" spans="1:35" ht="14.25" customHeight="1">
      <c r="A67" s="173" t="s">
        <v>328</v>
      </c>
      <c r="B67" s="174" t="s">
        <v>1389</v>
      </c>
      <c r="C67" s="2567" t="e">
        <f ca="1">C63-C66</f>
        <v>#REF!</v>
      </c>
      <c r="D67" s="170" t="s">
        <v>26</v>
      </c>
      <c r="E67" s="172"/>
      <c r="F67" s="1807"/>
      <c r="G67" s="1807"/>
      <c r="H67" s="1809"/>
      <c r="I67" s="129"/>
      <c r="J67" s="3604"/>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1"/>
      <c r="AI67" s="1752"/>
    </row>
    <row r="68" spans="1:35" ht="14.25" customHeight="1" thickBot="1">
      <c r="A68" s="176" t="s">
        <v>329</v>
      </c>
      <c r="B68" s="177" t="s">
        <v>1391</v>
      </c>
      <c r="C68" s="2568" t="e">
        <f ca="1">IF(C67&lt;=0,0,ROUND(C67*D68,0))</f>
        <v>#REF!</v>
      </c>
      <c r="D68" s="2569">
        <f>'数据-取费表'!B41</f>
        <v>5.6000000000000001E-2</v>
      </c>
      <c r="E68" s="178"/>
      <c r="F68" s="1807"/>
      <c r="G68" s="1807"/>
      <c r="H68" s="1809"/>
      <c r="I68" s="129"/>
      <c r="J68" s="3604"/>
      <c r="K68" s="1331" t="s">
        <v>1392</v>
      </c>
      <c r="L68" s="1331" t="e">
        <f>IF(M49&gt;10000,M49*0.5%,IF(AND(M49&gt;5000,M49&lt;=10000),M49*1%,IF(AND(M49&gt;1000,M49&lt;=5000),M49*2%,IF(AND(M49&gt;200,M49&lt;=1000),M49*3%,M49*5%))))</f>
        <v>#VALUE!</v>
      </c>
      <c r="M68" s="302" t="e">
        <f>ROUND(L68,1)</f>
        <v>#VALUE!</v>
      </c>
      <c r="N68" s="2542"/>
      <c r="Z68" s="1751"/>
      <c r="AI68" s="1752"/>
    </row>
    <row r="69" spans="1:35" s="1771" customFormat="1" ht="16.5" customHeight="1">
      <c r="A69" s="1810"/>
      <c r="B69" s="1811"/>
      <c r="C69" s="1812"/>
      <c r="D69" s="1813"/>
      <c r="E69" s="1814"/>
      <c r="F69" s="1577"/>
      <c r="G69" s="1577"/>
      <c r="H69" s="1576"/>
      <c r="I69" s="1746"/>
      <c r="J69" s="3604"/>
      <c r="K69" s="1331" t="s">
        <v>1393</v>
      </c>
      <c r="L69" s="1331"/>
      <c r="M69" s="302" t="e">
        <f>ROUND(SUM(M63:M68),0)</f>
        <v>#VALUE!</v>
      </c>
      <c r="N69" s="2544"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48" t="s">
        <v>1394</v>
      </c>
      <c r="B70" s="3649"/>
      <c r="C70" s="3649"/>
      <c r="D70" s="3649"/>
      <c r="E70" s="3649"/>
      <c r="F70" s="3649"/>
      <c r="G70" s="3649"/>
      <c r="H70" s="3649"/>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40" t="s">
        <v>1375</v>
      </c>
      <c r="B71" s="3641"/>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t="e">
        <f ca="1">ROUND(D45/(1+'数据-取费表'!C42),0)</f>
        <v>#REF!</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45" t="s">
        <v>1402</v>
      </c>
      <c r="F76" s="3644"/>
      <c r="G76" s="3644"/>
      <c r="H76" s="3647"/>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t="e">
        <f ca="1">ROUND(D45*D78/(1+'数据-取费表'!C42),0)</f>
        <v>#REF!</v>
      </c>
      <c r="D78" s="2576">
        <f>'数据-取费表'!B43</f>
        <v>6.000000000000001E-3</v>
      </c>
      <c r="E78" s="3637" t="s">
        <v>1406</v>
      </c>
      <c r="F78" s="3638"/>
      <c r="G78" s="3638"/>
      <c r="H78" s="3639"/>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48" t="s">
        <v>1410</v>
      </c>
      <c r="B83" s="3649"/>
      <c r="C83" s="3649"/>
      <c r="D83" s="3649"/>
      <c r="E83" s="3649"/>
      <c r="F83" s="3649"/>
      <c r="G83" s="3649"/>
      <c r="H83" s="3649"/>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40" t="s">
        <v>1375</v>
      </c>
      <c r="B84" s="3641"/>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t="e">
        <f ca="1">IF(H88="仅含出让金",C87+C90+C91+C92+C93+C94,C87+C91+C92+C93+C94)</f>
        <v>#REF!</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06" t="s">
        <v>2129</v>
      </c>
      <c r="H90" s="3607"/>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37" t="s">
        <v>1419</v>
      </c>
      <c r="F91" s="3638"/>
      <c r="G91" s="3638"/>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37" t="s">
        <v>1422</v>
      </c>
      <c r="F92" s="3638"/>
      <c r="G92" s="3638"/>
      <c r="H92" s="3639"/>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t="e">
        <f ca="1">ROUND(D45*D93/(1+'数据-取费表'!C42),0)</f>
        <v>#REF!</v>
      </c>
      <c r="D93" s="2576">
        <f>'数据-取费表'!B43</f>
        <v>6.000000000000001E-3</v>
      </c>
      <c r="E93" s="3637" t="s">
        <v>1406</v>
      </c>
      <c r="F93" s="3638"/>
      <c r="G93" s="3638"/>
      <c r="H93" s="3639"/>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82" t="s">
        <v>1426</v>
      </c>
      <c r="F94" s="3683"/>
      <c r="G94" s="3683"/>
      <c r="H94" s="3684"/>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87" t="s">
        <v>1428</v>
      </c>
      <c r="B100" s="3588"/>
      <c r="C100" s="3588"/>
      <c r="D100" s="3622"/>
      <c r="E100" s="3588" t="s">
        <v>1429</v>
      </c>
      <c r="F100" s="3588"/>
      <c r="G100" s="3588"/>
      <c r="H100" s="3622"/>
      <c r="I100" s="129"/>
    </row>
    <row r="101" spans="1:35" ht="18.75" customHeight="1">
      <c r="A101" s="3630" t="s">
        <v>1430</v>
      </c>
      <c r="B101" s="3631"/>
      <c r="C101" s="2584" t="str">
        <f>C4</f>
        <v>比较法-住宅</v>
      </c>
      <c r="D101" s="2585" t="str">
        <f>D4</f>
        <v>收益法</v>
      </c>
      <c r="E101" s="3600" t="s">
        <v>1431</v>
      </c>
      <c r="F101" s="3601"/>
      <c r="G101" s="1826" t="s">
        <v>1432</v>
      </c>
      <c r="H101" s="2594" t="e">
        <f ca="1">H118</f>
        <v>#REF!</v>
      </c>
      <c r="I101" s="129"/>
    </row>
    <row r="102" spans="1:35" ht="18.75" customHeight="1">
      <c r="A102" s="3632" t="s">
        <v>1433</v>
      </c>
      <c r="B102" s="2583" t="s">
        <v>1432</v>
      </c>
      <c r="C102" s="2584">
        <f ca="1">IF(D32="楼面单价",ROUND(C19,0),C19)</f>
        <v>0</v>
      </c>
      <c r="D102" s="2585">
        <f ca="1">IF(D32="楼面单价",ROUND(D19,0),D19)</f>
        <v>1840</v>
      </c>
      <c r="E102" s="3600"/>
      <c r="F102" s="3601"/>
      <c r="G102" s="1826" t="s">
        <v>1434</v>
      </c>
      <c r="H102" s="2554" t="e">
        <f ca="1">I118</f>
        <v>#REF!</v>
      </c>
      <c r="I102" s="129"/>
    </row>
    <row r="103" spans="1:35" ht="42.75" customHeight="1">
      <c r="A103" s="3632"/>
      <c r="B103" s="2583" t="s">
        <v>1434</v>
      </c>
      <c r="C103" s="2586">
        <f ca="1">C20</f>
        <v>86877</v>
      </c>
      <c r="D103" s="2587">
        <f ca="1">D20</f>
        <v>52957</v>
      </c>
      <c r="E103" s="3593" t="s">
        <v>1435</v>
      </c>
      <c r="F103" s="3594"/>
      <c r="G103" s="1827" t="s">
        <v>1436</v>
      </c>
      <c r="H103" s="2594">
        <f>IF(D36="正常操作",H104+H105+H106,H105+H106)</f>
        <v>0</v>
      </c>
      <c r="I103" s="129"/>
    </row>
    <row r="104" spans="1:35" ht="18.75" customHeight="1">
      <c r="A104" s="3632" t="s">
        <v>1437</v>
      </c>
      <c r="B104" s="2588" t="s">
        <v>1432</v>
      </c>
      <c r="C104" s="2589" t="e">
        <f ca="1">H118</f>
        <v>#REF!</v>
      </c>
      <c r="D104" s="2590"/>
      <c r="E104" s="1673" t="s">
        <v>1438</v>
      </c>
      <c r="F104" s="1665"/>
      <c r="G104" s="1827" t="s">
        <v>1436</v>
      </c>
      <c r="H104" s="2595">
        <f>IF(D36="同一抵押权人同一抵押物续贷",C36&amp;"（续贷，未扣减，详见特别提示）",C36)</f>
        <v>0</v>
      </c>
      <c r="I104" s="129"/>
    </row>
    <row r="105" spans="1:35" ht="18.75" customHeight="1" thickBot="1">
      <c r="A105" s="3642"/>
      <c r="B105" s="2591" t="s">
        <v>1434</v>
      </c>
      <c r="C105" s="2592" t="e">
        <f ca="1">I118</f>
        <v>#REF!</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33" t="str">
        <f>IF(项目基本情况!E8="已注销","——","3.房地产抵押价值")</f>
        <v>3.房地产抵押价值</v>
      </c>
      <c r="F107" s="3601"/>
      <c r="G107" s="1826" t="s">
        <v>1432</v>
      </c>
      <c r="H107" s="2594" t="e">
        <f ca="1">IF(E107="——","——",H101-H103)</f>
        <v>#REF!</v>
      </c>
      <c r="I107" s="129"/>
    </row>
    <row r="108" spans="1:35" ht="18.75" customHeight="1">
      <c r="A108" s="129"/>
      <c r="B108" s="129"/>
      <c r="C108" s="129"/>
      <c r="D108" s="129"/>
      <c r="E108" s="3633"/>
      <c r="F108" s="3601"/>
      <c r="G108" s="1826" t="s">
        <v>1434</v>
      </c>
      <c r="H108" s="2554">
        <f ca="1">IF(H107=H101,H102,ROUND(H107*10000/'数据-汇总表'!E3,0))</f>
        <v>0</v>
      </c>
      <c r="I108" s="129"/>
    </row>
    <row r="109" spans="1:35" ht="18.75" customHeight="1">
      <c r="A109" s="129"/>
      <c r="B109" s="129"/>
      <c r="C109" s="129"/>
      <c r="D109" s="129"/>
      <c r="E109" s="3633" t="str">
        <f>IF(项目基本情况!E8="已注销及未注销","4.抵押担保权已注销时的房地产抵押价值",IF(项目基本情况!E8="已注销","3.抵押担保权已注销时的房地产抵押价值","——"))</f>
        <v>——</v>
      </c>
      <c r="F109" s="3601"/>
      <c r="G109" s="1826" t="s">
        <v>1432</v>
      </c>
      <c r="H109" s="2597" t="str">
        <f>IF(E109="——","——",H101-H105-H106)</f>
        <v>——</v>
      </c>
      <c r="I109" s="129"/>
    </row>
    <row r="110" spans="1:35" ht="18.75" customHeight="1">
      <c r="A110" s="129"/>
      <c r="B110" s="129"/>
      <c r="C110" s="129"/>
      <c r="D110" s="129"/>
      <c r="E110" s="3633"/>
      <c r="F110" s="3601"/>
      <c r="G110" s="1826" t="s">
        <v>1434</v>
      </c>
      <c r="H110" s="2554" t="str">
        <f>IF(H109="——","——",ROUND(H109*10000/'数据-汇总表'!E3,0))</f>
        <v>——</v>
      </c>
      <c r="I110" s="129"/>
    </row>
    <row r="111" spans="1:35" ht="18.75" customHeight="1">
      <c r="A111" s="129"/>
      <c r="B111" s="129"/>
      <c r="C111" s="129"/>
      <c r="D111" s="129"/>
      <c r="E111" s="3634" t="str">
        <f>IF(项目基本情况!E9="抵押净值",IF(OR(项目基本情况!E8="已注销",项目基本情况!E8="房地产抵押价值"),"4.抵押净值","5.抵押净值"),"——")</f>
        <v>——</v>
      </c>
      <c r="F111" s="3620"/>
      <c r="G111" s="1826" t="s">
        <v>1432</v>
      </c>
      <c r="H111" s="2594" t="str">
        <f>IF(E111="——","——",N59)</f>
        <v>——</v>
      </c>
      <c r="I111" s="129"/>
    </row>
    <row r="112" spans="1:35" ht="18.75" customHeight="1" thickBot="1">
      <c r="A112" s="129"/>
      <c r="B112" s="129"/>
      <c r="C112" s="129"/>
      <c r="D112" s="129"/>
      <c r="E112" s="3635"/>
      <c r="F112" s="3636"/>
      <c r="G112" s="1829" t="s">
        <v>1434</v>
      </c>
      <c r="H112" s="2598" t="str">
        <f>IF(E111="——","——",N61)</f>
        <v>——</v>
      </c>
      <c r="I112" s="129"/>
    </row>
    <row r="113" spans="1:27" ht="18.75" customHeight="1">
      <c r="A113" s="129"/>
      <c r="B113" s="129"/>
      <c r="C113" s="129"/>
      <c r="D113" s="129"/>
      <c r="E113" s="3643" t="s">
        <v>1440</v>
      </c>
      <c r="F113" s="3643"/>
      <c r="G113" s="3643"/>
      <c r="H113" s="3643"/>
      <c r="I113" s="129"/>
    </row>
    <row r="114" spans="1:27" ht="3.75" customHeight="1">
      <c r="A114" s="1746"/>
      <c r="B114" s="1746"/>
      <c r="C114" s="1746"/>
      <c r="D114" s="1746"/>
      <c r="E114" s="1808"/>
      <c r="F114" s="1808"/>
      <c r="G114" s="1808"/>
      <c r="H114" s="1808"/>
      <c r="I114" s="1746"/>
    </row>
    <row r="115" spans="1:27" ht="18.75" customHeight="1">
      <c r="A115" s="3651" t="s">
        <v>1442</v>
      </c>
      <c r="B115" s="3652"/>
      <c r="C115" s="3652"/>
      <c r="D115" s="3652"/>
      <c r="E115" s="3652"/>
      <c r="F115" s="3652"/>
      <c r="G115" s="3652"/>
      <c r="H115" s="3652"/>
      <c r="I115" s="3653"/>
    </row>
    <row r="116" spans="1:27" ht="27" customHeight="1">
      <c r="A116" s="3608" t="s">
        <v>1443</v>
      </c>
      <c r="B116" s="3612" t="s">
        <v>1444</v>
      </c>
      <c r="C116" s="3612" t="s">
        <v>1445</v>
      </c>
      <c r="D116" s="3618" t="s">
        <v>1446</v>
      </c>
      <c r="E116" s="3619"/>
      <c r="F116" s="3650" t="s">
        <v>1447</v>
      </c>
      <c r="G116" s="3650"/>
      <c r="H116" s="3608" t="s">
        <v>1448</v>
      </c>
      <c r="I116" s="3608"/>
    </row>
    <row r="117" spans="1:27" ht="18.75" customHeight="1">
      <c r="A117" s="3608"/>
      <c r="B117" s="3613"/>
      <c r="C117" s="3613"/>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347.45</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608" t="s">
        <v>1452</v>
      </c>
      <c r="B119" s="3608"/>
      <c r="C119" s="3608"/>
      <c r="D119" s="3614" t="e">
        <f ca="1">NUMBERSTRING(INT(D118*10000),2)&amp;"元整"</f>
        <v>#REF!</v>
      </c>
      <c r="E119" s="3615"/>
      <c r="F119" s="3614" t="e">
        <f ca="1">NUMBERSTRING(INT(F118*10000),2)&amp;"元整"</f>
        <v>#REF!</v>
      </c>
      <c r="G119" s="3615"/>
      <c r="H119" s="3614" t="e">
        <f ca="1">NUMBERSTRING(INT(H118*10000),2)&amp;"元整"</f>
        <v>#REF!</v>
      </c>
      <c r="I119" s="3615"/>
    </row>
    <row r="120" spans="1:27" ht="18.75" customHeight="1">
      <c r="A120" s="3609" t="str">
        <f>IF(项目基本情况!B9="房地产市场价值","",MID(E103,3,LEN(E103)-2))</f>
        <v>估价师知悉的法定优先受偿款</v>
      </c>
      <c r="B120" s="3610"/>
      <c r="C120" s="3611"/>
      <c r="D120" s="3609">
        <f>H103</f>
        <v>0</v>
      </c>
      <c r="E120" s="3610"/>
      <c r="F120" s="3610"/>
      <c r="G120" s="3610"/>
      <c r="H120" s="3610"/>
      <c r="I120" s="3611"/>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4" t="s">
        <v>1452</v>
      </c>
      <c r="B121" s="3616"/>
      <c r="C121" s="3615"/>
      <c r="D121" s="3614" t="str">
        <f>IF(D120=0,"零元整",NUMBERSTRING(INT(D120*10000),2)&amp;"元整")</f>
        <v>零元整</v>
      </c>
      <c r="E121" s="3616"/>
      <c r="F121" s="3616"/>
      <c r="G121" s="3616"/>
      <c r="H121" s="3616"/>
      <c r="I121" s="3615"/>
      <c r="AA121" s="725"/>
    </row>
    <row r="122" spans="1:27" ht="18.75" customHeight="1">
      <c r="A122" s="3620" t="str">
        <f>IF(项目基本情况!B9="房地产市场价值","",MID(E107,3,LEN(E107)-2))</f>
        <v>房地产抵押价值</v>
      </c>
      <c r="B122" s="3620"/>
      <c r="C122" s="3620"/>
      <c r="D122" s="3609" t="e">
        <f ca="1">H107</f>
        <v>#REF!</v>
      </c>
      <c r="E122" s="3610"/>
      <c r="F122" s="3610"/>
      <c r="G122" s="3610"/>
      <c r="H122" s="3610"/>
      <c r="I122" s="3611"/>
      <c r="AA122" s="725"/>
    </row>
    <row r="123" spans="1:27" ht="18.75" customHeight="1">
      <c r="A123" s="3608" t="s">
        <v>1452</v>
      </c>
      <c r="B123" s="3608"/>
      <c r="C123" s="3608"/>
      <c r="D123" s="3614" t="e">
        <f ca="1">NUMBERSTRING(INT(D122*10000),2)&amp;"元整"</f>
        <v>#REF!</v>
      </c>
      <c r="E123" s="3616"/>
      <c r="F123" s="3616"/>
      <c r="G123" s="3616"/>
      <c r="H123" s="3616"/>
      <c r="I123" s="3615"/>
      <c r="AA123" s="725"/>
    </row>
    <row r="124" spans="1:27" ht="18.75" customHeight="1">
      <c r="A124" s="3620" t="str">
        <f>IF(项目基本情况!B9="房地产市场价值","",MID(E109,3,LEN(E109)-2))</f>
        <v/>
      </c>
      <c r="B124" s="3620"/>
      <c r="C124" s="3620"/>
      <c r="D124" s="3609" t="str">
        <f>H109</f>
        <v>——</v>
      </c>
      <c r="E124" s="3610"/>
      <c r="F124" s="3610"/>
      <c r="G124" s="3610"/>
      <c r="H124" s="3610"/>
      <c r="I124" s="3611"/>
      <c r="AA124" s="725"/>
    </row>
    <row r="125" spans="1:27" ht="18.75" customHeight="1">
      <c r="A125" s="3608" t="s">
        <v>1452</v>
      </c>
      <c r="B125" s="3608"/>
      <c r="C125" s="3608"/>
      <c r="D125" s="3614" t="e">
        <f>NUMBERSTRING(INT(D124*10000),2)&amp;"元整"</f>
        <v>#VALUE!</v>
      </c>
      <c r="E125" s="3616"/>
      <c r="F125" s="3616"/>
      <c r="G125" s="3616"/>
      <c r="H125" s="3616"/>
      <c r="I125" s="3615"/>
      <c r="AA125" s="725"/>
    </row>
    <row r="126" spans="1:27" ht="18.75" customHeight="1">
      <c r="A126" s="3620" t="str">
        <f>IF(项目基本情况!B9="房地产市场价值","",MID(E111,3,LEN(E111)-2))</f>
        <v/>
      </c>
      <c r="B126" s="3620"/>
      <c r="C126" s="3620"/>
      <c r="D126" s="3609" t="str">
        <f>H111</f>
        <v>——</v>
      </c>
      <c r="E126" s="3610"/>
      <c r="F126" s="3610"/>
      <c r="G126" s="3610"/>
      <c r="H126" s="3610"/>
      <c r="I126" s="3611"/>
      <c r="AA126" s="725"/>
    </row>
    <row r="127" spans="1:27" ht="18.75" customHeight="1">
      <c r="A127" s="3608" t="s">
        <v>1452</v>
      </c>
      <c r="B127" s="3608"/>
      <c r="C127" s="3608"/>
      <c r="D127" s="3614" t="e">
        <f>NUMBERSTRING(INT(D126*10000),2)&amp;"元整"</f>
        <v>#VALUE!</v>
      </c>
      <c r="E127" s="3616"/>
      <c r="F127" s="3616"/>
      <c r="G127" s="3616"/>
      <c r="H127" s="3616"/>
      <c r="I127" s="3615"/>
      <c r="AA127" s="725"/>
    </row>
    <row r="128" spans="1:27" ht="21.75" customHeight="1">
      <c r="A128" s="3617" t="s">
        <v>1453</v>
      </c>
      <c r="B128" s="3617"/>
      <c r="C128" s="3617"/>
      <c r="D128" s="3617"/>
      <c r="E128" s="3617"/>
      <c r="F128" s="3617"/>
      <c r="G128" s="3617"/>
      <c r="H128" s="3617"/>
      <c r="I128" s="3617"/>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xr:uid="{00000000-0002-0000-1000-000000000000}">
      <formula1>估价方法</formula1>
    </dataValidation>
    <dataValidation type="list" allowBlank="1" showInputMessage="1" showErrorMessage="1" sqref="H55:H56" xr:uid="{00000000-0002-0000-1000-000001000000}">
      <formula1>"个人住宅,正常"</formula1>
    </dataValidation>
    <dataValidation type="list" allowBlank="1" showInputMessage="1" showErrorMessage="1" sqref="H48" xr:uid="{00000000-0002-0000-1000-000002000000}">
      <formula1>"情况1,情况2,情况3,情况4"</formula1>
    </dataValidation>
    <dataValidation type="list" allowBlank="1" showInputMessage="1" showErrorMessage="1" sqref="H58" xr:uid="{00000000-0002-0000-1000-000003000000}">
      <formula1>"转让取得,自行开发建设"</formula1>
    </dataValidation>
    <dataValidation type="list" allowBlank="1" showInputMessage="1" showErrorMessage="1" sqref="D32" xr:uid="{00000000-0002-0000-1000-000004000000}">
      <formula1>"总价,楼面单价"</formula1>
    </dataValidation>
    <dataValidation type="list" allowBlank="1" showInputMessage="1" showErrorMessage="1" sqref="F45" xr:uid="{00000000-0002-0000-1000-000005000000}">
      <formula1>"100%,70%,56%"</formula1>
    </dataValidation>
    <dataValidation type="list" allowBlank="1" showInputMessage="1" showErrorMessage="1" sqref="C33" xr:uid="{00000000-0002-0000-1000-000006000000}">
      <formula1>"成本比率,收益比率,自定义"</formula1>
    </dataValidation>
    <dataValidation type="list" allowBlank="1" showInputMessage="1" showErrorMessage="1" sqref="H91" xr:uid="{00000000-0002-0000-1000-000007000000}">
      <formula1>"企业提供（在右侧录入）,——"</formula1>
    </dataValidation>
    <dataValidation type="list" allowBlank="1" showInputMessage="1" showErrorMessage="1" sqref="H88" xr:uid="{00000000-0002-0000-1000-000008000000}">
      <formula1>"仅含出让金,出让金+开发费"</formula1>
    </dataValidation>
    <dataValidation type="list" allowBlank="1" showInputMessage="1" showErrorMessage="1" sqref="F75" xr:uid="{00000000-0002-0000-1000-000009000000}">
      <formula1>"买卖合同,购房发票"</formula1>
    </dataValidation>
    <dataValidation type="list" allowBlank="1" showInputMessage="1" showErrorMessage="1" sqref="D36" xr:uid="{00000000-0002-0000-1000-00000A000000}">
      <formula1>"同一抵押权人同一抵押物续贷,注销后放款,正常操作"</formula1>
    </dataValidation>
    <dataValidation type="list" allowBlank="1" showInputMessage="1" showErrorMessage="1" sqref="B116:B117" xr:uid="{00000000-0002-0000-1000-00000B000000}">
      <formula1>"建筑面积,规划建筑面积,（规划）建筑面积"</formula1>
    </dataValidation>
    <dataValidation type="list" allowBlank="1" showInputMessage="1" showErrorMessage="1" sqref="C116:C117" xr:uid="{00000000-0002-0000-1000-00000C000000}">
      <formula1>"土地面积,分摊土地面积,（分摊）土地面积"</formula1>
    </dataValidation>
    <dataValidation type="list" allowBlank="1" showInputMessage="1" showErrorMessage="1" sqref="D116:E116" xr:uid="{00000000-0002-0000-1000-00000D000000}">
      <formula1>"出让国有建设用地使用权价值,划拨国有建设用地使用权价值"</formula1>
    </dataValidation>
    <dataValidation type="list" allowBlank="1" showInputMessage="1" showErrorMessage="1" sqref="F116:G116" xr:uid="{00000000-0002-0000-1000-00000E000000}">
      <formula1>"建筑物价值,在建建筑物价值,建筑物/在建建筑物价值"</formula1>
    </dataValidation>
    <dataValidation type="list" allowBlank="1" showInputMessage="1" showErrorMessage="1" sqref="C129" xr:uid="{00000000-0002-0000-1000-00000F000000}">
      <formula1>"无,有"</formula1>
    </dataValidation>
    <dataValidation type="list" showInputMessage="1" showErrorMessage="1" sqref="G1" xr:uid="{00000000-0002-0000-1000-000010000000}">
      <formula1>"现房,在建,土地,-"</formula1>
    </dataValidation>
    <dataValidation type="list" allowBlank="1" showInputMessage="1" showErrorMessage="1" sqref="I1" xr:uid="{00000000-0002-0000-1000-000011000000}">
      <formula1>"项目局部,项目全部,——"</formula1>
    </dataValidation>
    <dataValidation type="list" allowBlank="1" showInputMessage="1" showErrorMessage="1" sqref="C1" xr:uid="{00000000-0002-0000-1000-000012000000}">
      <formula1>项目类型</formula1>
    </dataValidation>
    <dataValidation type="list" allowBlank="1" showInputMessage="1" showErrorMessage="1" sqref="G77" xr:uid="{00000000-0002-0000-1000-000013000000}">
      <formula1>"个人住宅,2016年5月1日前购买,2016年5月1日后购买"</formula1>
    </dataValidation>
    <dataValidation type="list" allowBlank="1" showInputMessage="1" showErrorMessage="1" sqref="E103" xr:uid="{00000000-0002-0000-1000-000014000000}">
      <formula1>"2.估价师知悉的法定优先受偿款,2.估价师知悉的除抵押担保权以外的法定优先受偿款"</formula1>
    </dataValidation>
    <dataValidation type="list" allowBlank="1" showInputMessage="1" showErrorMessage="1" sqref="H59" xr:uid="{00000000-0002-0000-1000-000015000000}">
      <formula1>"非个人房产,个人住宅（满五唯一有凭证）,个人其他（有凭证）,个人其他（无凭证）"</formula1>
    </dataValidation>
    <dataValidation type="list" allowBlank="1" showInputMessage="1" showErrorMessage="1" sqref="D92" xr:uid="{00000000-0002-0000-10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152</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4375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row>
    <row r="9" spans="1:9" s="214" customFormat="1" ht="13.5" customHeight="1">
      <c r="A9" s="779" t="s">
        <v>355</v>
      </c>
      <c r="B9" s="224" t="s">
        <v>1478</v>
      </c>
      <c r="C9" s="225">
        <f ca="1">ROUND(D9*E9/10000,0)</f>
        <v>6</v>
      </c>
      <c r="D9" s="845">
        <f ca="1">IF(B1="",'数据-汇总表'!E5,IF(INDIRECT("'数据-取费表'!c"&amp;$G$1)="住宅",INDIRECT("'数据-取费表'!k"&amp;$G$1),0))</f>
        <v>347.45</v>
      </c>
      <c r="E9" s="225">
        <f>'数据-取费表'!B27</f>
        <v>160</v>
      </c>
      <c r="F9" s="221"/>
      <c r="G9" s="1856"/>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7</v>
      </c>
      <c r="D19" s="849">
        <f ca="1">D9+D10</f>
        <v>347.45</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8.9999999999999998E-4</v>
      </c>
      <c r="E22" s="236" t="s">
        <v>1498</v>
      </c>
      <c r="F22" s="237">
        <f ca="1">'数据-取费表'!B40</f>
        <v>4.5499999999999999E-2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4.75">
      <c r="A27" s="255" t="s">
        <v>1512</v>
      </c>
      <c r="B27" s="244" t="s">
        <v>1513</v>
      </c>
      <c r="C27" s="245">
        <f ca="1">C28</f>
        <v>2</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141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122</v>
      </c>
      <c r="D34" s="217"/>
      <c r="E34" s="220"/>
      <c r="F34" s="257">
        <f ca="1">IF('数据-取费表'!B24=0,1,IF(B1="",'数据-取费表'!N16,INDIRECT("'数据-取费表'!n"&amp;$G$1)))</f>
        <v>1</v>
      </c>
      <c r="G34" s="219" t="s">
        <v>1526</v>
      </c>
    </row>
    <row r="35" spans="1:7" ht="13.5" customHeight="1">
      <c r="A35" s="780" t="s">
        <v>351</v>
      </c>
      <c r="B35" s="215" t="s">
        <v>1527</v>
      </c>
      <c r="C35" s="220">
        <f ca="1">ROUND(C34*F35,0)</f>
        <v>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6</v>
      </c>
      <c r="D36" s="220"/>
      <c r="E36" s="220"/>
      <c r="F36" s="259">
        <f>'数据-取费表'!B34</f>
        <v>0.05</v>
      </c>
      <c r="G36" s="260" t="s">
        <v>1530</v>
      </c>
    </row>
    <row r="37" spans="1:7" s="258" customFormat="1" ht="13.5" customHeight="1">
      <c r="A37" s="780" t="s">
        <v>353</v>
      </c>
      <c r="B37" s="215" t="s">
        <v>1531</v>
      </c>
      <c r="C37" s="249">
        <f ca="1">ROUND(E37*D37*F34/10000,0)</f>
        <v>7</v>
      </c>
      <c r="D37" s="217">
        <f ca="1">D19</f>
        <v>347.45</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3</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6</v>
      </c>
      <c r="D41" s="235">
        <f ca="1">C44</f>
        <v>8.9999999999999998E-4</v>
      </c>
      <c r="E41" s="236" t="s">
        <v>1539</v>
      </c>
      <c r="F41" s="237">
        <f ca="1">F22</f>
        <v>4.5499999999999999E-2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v>
      </c>
      <c r="D42" s="238"/>
      <c r="E42" s="238"/>
      <c r="F42" s="239"/>
      <c r="G42" s="3687" t="s">
        <v>1544</v>
      </c>
    </row>
    <row r="43" spans="1:7" ht="13.5" customHeight="1">
      <c r="A43" s="780" t="s">
        <v>347</v>
      </c>
      <c r="B43" s="215" t="s">
        <v>1545</v>
      </c>
      <c r="C43" s="238">
        <f ca="1">ROUND(IF('数据-取费表'!B22&lt;=1,C39*F22*'数据-取费表'!B21/2,C39*(POWER((1+F22),'数据-取费表'!B21/2)-1)),0)</f>
        <v>0</v>
      </c>
      <c r="D43" s="238"/>
      <c r="E43" s="238"/>
      <c r="F43" s="239"/>
      <c r="G43" s="3688"/>
    </row>
    <row r="44" spans="1:7" ht="13.5" customHeight="1">
      <c r="A44" s="780" t="s">
        <v>348</v>
      </c>
      <c r="B44" s="215" t="s">
        <v>1546</v>
      </c>
      <c r="C44" s="238">
        <f ca="1">ROUND(IF('数据-取费表'!B22&lt;=1,C40*F22*'数据-取费表'!B21/2,C40*(POWER((1+F22),'数据-取费表'!B21/2)-1)),4)</f>
        <v>8.9999999999999998E-4</v>
      </c>
      <c r="D44" s="238"/>
      <c r="E44" s="238"/>
      <c r="F44" s="239"/>
      <c r="G44" s="3689"/>
    </row>
    <row r="45" spans="1:7" s="214" customFormat="1" ht="13.5" customHeight="1">
      <c r="A45" s="255" t="s">
        <v>1547</v>
      </c>
      <c r="B45" s="244" t="s">
        <v>1513</v>
      </c>
      <c r="C45" s="245">
        <f ca="1">C46</f>
        <v>36</v>
      </c>
      <c r="D45" s="235">
        <f ca="1">C47</f>
        <v>5.0000000000000001E-3</v>
      </c>
      <c r="E45" s="236" t="s">
        <v>1539</v>
      </c>
      <c r="F45" s="246">
        <f ca="1">F27</f>
        <v>0.25</v>
      </c>
      <c r="G45" s="247" t="s">
        <v>1548</v>
      </c>
    </row>
    <row r="46" spans="1:7" s="214" customFormat="1" ht="13.5" customHeight="1">
      <c r="A46" s="780" t="s">
        <v>346</v>
      </c>
      <c r="B46" s="248" t="s">
        <v>1549</v>
      </c>
      <c r="C46" s="249">
        <f ca="1">ROUND((C33+C39)*F27,0)</f>
        <v>36</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202</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141</v>
      </c>
      <c r="D51" s="232"/>
      <c r="E51" s="232"/>
      <c r="F51" s="264"/>
      <c r="G51" s="234" t="s">
        <v>1560</v>
      </c>
    </row>
    <row r="52" spans="1:7" s="208" customFormat="1" ht="16.5" thickBot="1">
      <c r="A52" s="265" t="s">
        <v>1561</v>
      </c>
      <c r="B52" s="266"/>
      <c r="C52" s="267">
        <f ca="1">C31+C51</f>
        <v>152</v>
      </c>
      <c r="D52" s="266"/>
      <c r="E52" s="266"/>
      <c r="F52" s="266"/>
      <c r="G52" s="268"/>
    </row>
    <row r="55" spans="1:7" ht="15">
      <c r="B55" s="270" t="s">
        <v>1562</v>
      </c>
      <c r="C55" s="271"/>
    </row>
    <row r="56" spans="1:7">
      <c r="B56" s="273" t="s">
        <v>802</v>
      </c>
      <c r="C56" s="275">
        <f ca="1">1-C57</f>
        <v>7.1999999999999953E-2</v>
      </c>
    </row>
    <row r="57" spans="1:7">
      <c r="B57" s="273" t="s">
        <v>803</v>
      </c>
      <c r="C57" s="274">
        <f ca="1">ROUND(C51/C52,3)</f>
        <v>0.92800000000000005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100-000000000000}">
      <formula1>"已包含在土地购买价格中,未包含在土地购买价格中"</formula1>
    </dataValidation>
    <dataValidation type="list" allowBlank="1" showInputMessage="1" showErrorMessage="1" sqref="G19" xr:uid="{00000000-0002-0000-1100-000001000000}">
      <formula1>"已包含在土地取得成本中,未包含在土地取得成本中"</formula1>
    </dataValidation>
    <dataValidation type="list" allowBlank="1" showInputMessage="1" showErrorMessage="1" sqref="B1" xr:uid="{00000000-0002-0000-1100-000002000000}">
      <formula1>项目类型</formula1>
    </dataValidation>
    <dataValidation type="list" allowBlank="1" showInputMessage="1" showErrorMessage="1" sqref="G9" xr:uid="{00000000-0002-0000-1100-000003000000}">
      <formula1>"部分缴纳,全部缴纳"</formula1>
    </dataValidation>
    <dataValidation type="list" allowBlank="1" showInputMessage="1" showErrorMessage="1" sqref="G2" xr:uid="{00000000-0002-0000-1100-000004000000}">
      <formula1>估价方法</formula1>
    </dataValidation>
    <dataValidation type="list" allowBlank="1" showInputMessage="1" showErrorMessage="1" sqref="D2" xr:uid="{00000000-0002-0000-11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04" t="str">
        <f>项目基本情况!B1</f>
        <v>北京市预评估</v>
      </c>
      <c r="C37" s="3504"/>
      <c r="D37" s="3504"/>
      <c r="E37" s="3504"/>
      <c r="F37" s="3504"/>
      <c r="G37" s="3504"/>
      <c r="H37" s="3504"/>
      <c r="I37" s="3504"/>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 ca="1">项目基本情况!K4</f>
        <v>陈颖（注册号：1120060040)、梁津（注册号：1119970066)</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C1:H159"/>
  <sheetViews>
    <sheetView workbookViewId="0">
      <selection activeCell="J71" sqref="J71"/>
    </sheetView>
  </sheetViews>
  <sheetFormatPr defaultRowHeight="13.5"/>
  <cols>
    <col min="3" max="3" width="11.625" bestFit="1" customWidth="1"/>
    <col min="4" max="4" width="10.875" customWidth="1"/>
    <col min="5" max="5" width="12.5" customWidth="1"/>
  </cols>
  <sheetData>
    <row r="1" spans="3:8">
      <c r="C1" s="3449" t="s">
        <v>3462</v>
      </c>
      <c r="D1" s="3449" t="s">
        <v>3460</v>
      </c>
      <c r="E1" s="3449" t="s">
        <v>3461</v>
      </c>
      <c r="F1" s="3449" t="s">
        <v>3466</v>
      </c>
    </row>
    <row r="2" spans="3:8">
      <c r="C2" s="3476">
        <f>E106</f>
        <v>45016</v>
      </c>
      <c r="D2" s="3477">
        <f>G106</f>
        <v>117002.09449585971</v>
      </c>
      <c r="E2" s="3477">
        <f>G107</f>
        <v>106955.18753044325</v>
      </c>
      <c r="F2" s="3478">
        <f>D2/E2</f>
        <v>1.0939356678006549</v>
      </c>
    </row>
    <row r="3" spans="3:8">
      <c r="C3" s="3479">
        <f>E10</f>
        <v>44664</v>
      </c>
      <c r="D3" s="3480">
        <f>G10</f>
        <v>99796.743921512869</v>
      </c>
      <c r="E3" s="3480">
        <f>G11</f>
        <v>117407.93402530925</v>
      </c>
      <c r="F3" s="3481">
        <f t="shared" ref="F3:F8" si="0">D3/E3</f>
        <v>0.85000000000000009</v>
      </c>
    </row>
    <row r="4" spans="3:8">
      <c r="C4" s="3479">
        <f>E135</f>
        <v>44655</v>
      </c>
      <c r="D4" s="3480">
        <f>G135</f>
        <v>108914.0616370264</v>
      </c>
      <c r="E4" s="3480">
        <f>G136</f>
        <v>111136.08748481167</v>
      </c>
      <c r="F4" s="3481">
        <f t="shared" si="0"/>
        <v>0.98000626170964555</v>
      </c>
    </row>
    <row r="5" spans="3:8">
      <c r="C5" s="3479">
        <f>E158</f>
        <v>44655</v>
      </c>
      <c r="D5" s="3480">
        <f>G158</f>
        <v>103793.00807300808</v>
      </c>
      <c r="E5" s="3480">
        <f>G159</f>
        <v>108230.25623025624</v>
      </c>
      <c r="F5" s="3481">
        <f t="shared" si="0"/>
        <v>0.95900177721275959</v>
      </c>
    </row>
    <row r="6" spans="3:8">
      <c r="C6" s="3476">
        <f>E33</f>
        <v>44516</v>
      </c>
      <c r="D6" s="3477">
        <f>G33</f>
        <v>84053.280391865803</v>
      </c>
      <c r="E6" s="3477">
        <f>G34</f>
        <v>84053.280391865803</v>
      </c>
      <c r="F6" s="3478">
        <f t="shared" si="0"/>
        <v>1</v>
      </c>
    </row>
    <row r="7" spans="3:8">
      <c r="C7" s="3476">
        <f>E58</f>
        <v>43767</v>
      </c>
      <c r="D7" s="3477">
        <f>G58</f>
        <v>72897.301854974707</v>
      </c>
      <c r="E7" s="3477">
        <f>G59</f>
        <v>95707.296514896021</v>
      </c>
      <c r="F7" s="3478">
        <f t="shared" si="0"/>
        <v>0.76166921968826973</v>
      </c>
    </row>
    <row r="8" spans="3:8">
      <c r="C8" s="3476">
        <f>E82</f>
        <v>43767</v>
      </c>
      <c r="D8" s="3477">
        <f>G82</f>
        <v>71820.623686829582</v>
      </c>
      <c r="E8" s="3477">
        <f>G83</f>
        <v>94702.118765896259</v>
      </c>
      <c r="F8" s="3478">
        <f t="shared" si="0"/>
        <v>0.75838454960411439</v>
      </c>
    </row>
    <row r="10" spans="3:8" ht="14.25" customHeight="1">
      <c r="E10" s="3476">
        <v>44664</v>
      </c>
      <c r="F10" s="3449" t="s">
        <v>3460</v>
      </c>
      <c r="G10">
        <f>14037410/140.66</f>
        <v>99796.743921512869</v>
      </c>
    </row>
    <row r="11" spans="3:8">
      <c r="F11" s="3449" t="s">
        <v>3461</v>
      </c>
      <c r="G11">
        <f>16514600/140.66</f>
        <v>117407.93402530925</v>
      </c>
      <c r="H11">
        <f>G10/G11</f>
        <v>0.85000000000000009</v>
      </c>
    </row>
    <row r="33" spans="5:7">
      <c r="E33" s="3476">
        <v>44516</v>
      </c>
      <c r="F33" s="3449" t="s">
        <v>3460</v>
      </c>
      <c r="G33">
        <f>11325339/134.74</f>
        <v>84053.280391865803</v>
      </c>
    </row>
    <row r="34" spans="5:7">
      <c r="F34" s="3449" t="s">
        <v>3461</v>
      </c>
      <c r="G34">
        <f>11325339/134.74</f>
        <v>84053.280391865803</v>
      </c>
    </row>
    <row r="58" spans="5:7">
      <c r="E58" s="3476">
        <v>43767</v>
      </c>
      <c r="F58" s="3449" t="s">
        <v>3460</v>
      </c>
      <c r="G58">
        <f>7781058/106.74</f>
        <v>72897.301854974707</v>
      </c>
    </row>
    <row r="59" spans="5:7">
      <c r="F59" s="3449" t="s">
        <v>3461</v>
      </c>
      <c r="G59">
        <f>10215796.83/106.74</f>
        <v>95707.296514896021</v>
      </c>
    </row>
    <row r="82" spans="5:7">
      <c r="E82" s="3476">
        <v>43767</v>
      </c>
      <c r="F82" s="3449" t="s">
        <v>3460</v>
      </c>
      <c r="G82">
        <f>6494739/90.43</f>
        <v>71820.623686829582</v>
      </c>
    </row>
    <row r="83" spans="5:7">
      <c r="F83" s="3449" t="s">
        <v>3461</v>
      </c>
      <c r="G83">
        <f>8563912.6/90.43</f>
        <v>94702.118765896259</v>
      </c>
    </row>
    <row r="106" spans="5:7">
      <c r="E106" s="3476">
        <v>45016</v>
      </c>
      <c r="F106" s="3449" t="s">
        <v>3460</v>
      </c>
      <c r="G106">
        <f>19216424/164.24</f>
        <v>117002.09449585971</v>
      </c>
    </row>
    <row r="107" spans="5:7">
      <c r="F107" s="3449" t="s">
        <v>3461</v>
      </c>
      <c r="G107">
        <f>17566320/164.24</f>
        <v>106955.18753044325</v>
      </c>
    </row>
    <row r="135" spans="5:7">
      <c r="E135" s="3476">
        <v>44655</v>
      </c>
      <c r="F135" s="3449" t="s">
        <v>3460</v>
      </c>
      <c r="G135">
        <f>19719980/181.06</f>
        <v>108914.0616370264</v>
      </c>
    </row>
    <row r="136" spans="5:7">
      <c r="F136" s="3449" t="s">
        <v>3461</v>
      </c>
      <c r="G136">
        <f>20122300/181.06</f>
        <v>111136.08748481167</v>
      </c>
    </row>
    <row r="158" spans="5:7">
      <c r="E158" s="3476">
        <v>44655</v>
      </c>
      <c r="F158" s="3449" t="s">
        <v>3460</v>
      </c>
      <c r="G158">
        <f>14785314/142.45</f>
        <v>103793.00807300808</v>
      </c>
    </row>
    <row r="159" spans="5:7">
      <c r="F159" s="3449" t="s">
        <v>3461</v>
      </c>
      <c r="G159">
        <f>15417400/142.45</f>
        <v>108230.25623025624</v>
      </c>
    </row>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65581-2CED-4FEB-A2E3-F3482A9C1B05}">
  <dimension ref="A1"/>
  <sheetViews>
    <sheetView workbookViewId="0">
      <selection activeCell="O11" sqref="O11"/>
    </sheetView>
  </sheetViews>
  <sheetFormatPr defaultRowHeight="13.5"/>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Q5"/>
  <sheetViews>
    <sheetView topLeftCell="A7" zoomScaleNormal="100" workbookViewId="0">
      <selection activeCell="Q8" sqref="Q8"/>
    </sheetView>
  </sheetViews>
  <sheetFormatPr defaultColWidth="9" defaultRowHeight="19.5" customHeight="1"/>
  <cols>
    <col min="1" max="1" width="5.375" style="3452" customWidth="1"/>
    <col min="2" max="2" width="24.375" style="3452" customWidth="1"/>
    <col min="3" max="3" width="10.875" style="3452" customWidth="1"/>
    <col min="4" max="4" width="12.875" style="3452" customWidth="1"/>
    <col min="5" max="5" width="7.125" style="3452" customWidth="1"/>
    <col min="6" max="6" width="7" style="3452" customWidth="1"/>
    <col min="7" max="7" width="7.125" style="3452" customWidth="1"/>
    <col min="8" max="8" width="6.25" style="3452" customWidth="1"/>
    <col min="9" max="9" width="5" style="3452" customWidth="1"/>
    <col min="10" max="10" width="7.625" style="3452" customWidth="1"/>
    <col min="11" max="11" width="6.625" style="3452" customWidth="1"/>
    <col min="12" max="13" width="6.375" style="3452" customWidth="1"/>
    <col min="14" max="15" width="6.875" style="3452" customWidth="1"/>
    <col min="16" max="16" width="10.875" style="3452" customWidth="1"/>
    <col min="17" max="17" width="33.125" style="3452" customWidth="1"/>
    <col min="18" max="16384" width="9" style="3452"/>
  </cols>
  <sheetData>
    <row r="1" spans="1:17" s="3454" customFormat="1" ht="19.5" customHeight="1">
      <c r="A1" s="3450" t="s">
        <v>3390</v>
      </c>
      <c r="B1" s="3450" t="s">
        <v>3391</v>
      </c>
      <c r="C1" s="3450" t="s">
        <v>3392</v>
      </c>
      <c r="D1" s="3450" t="s">
        <v>3393</v>
      </c>
      <c r="E1" s="3450" t="s">
        <v>3394</v>
      </c>
      <c r="F1" s="3450" t="s">
        <v>3395</v>
      </c>
      <c r="G1" s="3450" t="s">
        <v>3396</v>
      </c>
      <c r="H1" s="3450" t="s">
        <v>3397</v>
      </c>
      <c r="I1" s="3450" t="s">
        <v>3398</v>
      </c>
      <c r="J1" s="3450" t="s">
        <v>3399</v>
      </c>
      <c r="K1" s="3450" t="s">
        <v>3400</v>
      </c>
      <c r="L1" s="3450" t="s">
        <v>3401</v>
      </c>
      <c r="M1" s="3450" t="s">
        <v>3402</v>
      </c>
      <c r="N1" s="3450" t="s">
        <v>3403</v>
      </c>
      <c r="O1" s="3450" t="s">
        <v>3404</v>
      </c>
      <c r="P1" s="3450" t="s">
        <v>3405</v>
      </c>
      <c r="Q1" s="3451" t="s">
        <v>3406</v>
      </c>
    </row>
    <row r="2" spans="1:17" s="3455" customFormat="1" ht="19.5" customHeight="1">
      <c r="A2" s="3456">
        <v>1</v>
      </c>
      <c r="B2" s="3456" t="s">
        <v>3489</v>
      </c>
      <c r="C2" s="3456" t="s">
        <v>3490</v>
      </c>
      <c r="D2" s="3456" t="s">
        <v>3491</v>
      </c>
      <c r="E2" s="3456">
        <v>283.14</v>
      </c>
      <c r="F2" s="3456" t="s">
        <v>3492</v>
      </c>
      <c r="G2" s="3456" t="s">
        <v>3493</v>
      </c>
      <c r="H2" s="3456">
        <v>8</v>
      </c>
      <c r="I2" s="3456" t="s">
        <v>3502</v>
      </c>
      <c r="J2" s="3456" t="s">
        <v>3505</v>
      </c>
      <c r="K2" s="3456" t="s">
        <v>3504</v>
      </c>
      <c r="L2" s="3456">
        <v>2009</v>
      </c>
      <c r="M2" s="3456">
        <v>84764</v>
      </c>
      <c r="N2" s="3456">
        <v>78193</v>
      </c>
      <c r="O2" s="3456">
        <v>22139566</v>
      </c>
      <c r="P2" s="3457">
        <v>44675</v>
      </c>
      <c r="Q2" s="3457" t="s">
        <v>3508</v>
      </c>
    </row>
    <row r="3" spans="1:17" s="3455" customFormat="1" ht="19.5" customHeight="1">
      <c r="A3" s="3456">
        <v>2</v>
      </c>
      <c r="B3" s="3456" t="s">
        <v>3495</v>
      </c>
      <c r="C3" s="3456" t="s">
        <v>3494</v>
      </c>
      <c r="D3" s="3456" t="s">
        <v>3491</v>
      </c>
      <c r="E3" s="3456">
        <v>64.400000000000006</v>
      </c>
      <c r="F3" s="3456" t="s">
        <v>3492</v>
      </c>
      <c r="G3" s="3456">
        <v>18</v>
      </c>
      <c r="H3" s="3456">
        <v>2</v>
      </c>
      <c r="I3" s="3456" t="s">
        <v>3507</v>
      </c>
      <c r="J3" s="3456" t="s">
        <v>3503</v>
      </c>
      <c r="K3" s="3456" t="s">
        <v>3504</v>
      </c>
      <c r="L3" s="3456">
        <v>1990</v>
      </c>
      <c r="M3" s="3456">
        <v>88665</v>
      </c>
      <c r="N3" s="3456">
        <v>82246</v>
      </c>
      <c r="O3" s="3456">
        <v>5296642</v>
      </c>
      <c r="P3" s="3457">
        <v>44624</v>
      </c>
      <c r="Q3" s="3457" t="s">
        <v>3506</v>
      </c>
    </row>
    <row r="4" spans="1:17" s="3455" customFormat="1" ht="19.5" customHeight="1">
      <c r="A4" s="3450">
        <v>3</v>
      </c>
      <c r="B4" s="3450" t="s">
        <v>3496</v>
      </c>
      <c r="C4" s="3450" t="s">
        <v>3497</v>
      </c>
      <c r="D4" s="3450" t="s">
        <v>3491</v>
      </c>
      <c r="E4" s="3450">
        <v>220.4</v>
      </c>
      <c r="F4" s="3450" t="s">
        <v>3492</v>
      </c>
      <c r="G4" s="3450" t="s">
        <v>3498</v>
      </c>
      <c r="H4" s="3450">
        <v>14</v>
      </c>
      <c r="I4" s="3450" t="s">
        <v>3510</v>
      </c>
      <c r="J4" s="3450" t="s">
        <v>3503</v>
      </c>
      <c r="K4" s="3450" t="s">
        <v>3504</v>
      </c>
      <c r="L4" s="3450">
        <v>1999</v>
      </c>
      <c r="M4" s="3450">
        <v>68875</v>
      </c>
      <c r="N4" s="3450">
        <v>67151</v>
      </c>
      <c r="O4" s="3450">
        <v>14800080</v>
      </c>
      <c r="P4" s="3453">
        <v>44651</v>
      </c>
      <c r="Q4" s="3453" t="s">
        <v>3509</v>
      </c>
    </row>
    <row r="5" spans="1:17" s="3455" customFormat="1" ht="19.5" customHeight="1">
      <c r="A5" s="3456">
        <v>4</v>
      </c>
      <c r="B5" s="3456" t="s">
        <v>3500</v>
      </c>
      <c r="C5" s="3456" t="s">
        <v>3494</v>
      </c>
      <c r="D5" s="3456" t="s">
        <v>3499</v>
      </c>
      <c r="E5" s="3456">
        <v>62.25</v>
      </c>
      <c r="F5" s="3456" t="s">
        <v>3492</v>
      </c>
      <c r="G5" s="3456">
        <v>6</v>
      </c>
      <c r="H5" s="3456">
        <v>3</v>
      </c>
      <c r="I5" s="3456" t="s">
        <v>3502</v>
      </c>
      <c r="J5" s="3456" t="s">
        <v>3503</v>
      </c>
      <c r="K5" s="3456" t="s">
        <v>3504</v>
      </c>
      <c r="L5" s="3456">
        <v>1989</v>
      </c>
      <c r="M5" s="3456">
        <f>ROUND(91084-15.6,0)</f>
        <v>91068</v>
      </c>
      <c r="N5" s="3456">
        <v>87941</v>
      </c>
      <c r="O5" s="3456">
        <v>5474327</v>
      </c>
      <c r="P5" s="3457">
        <v>45013</v>
      </c>
      <c r="Q5" s="3457" t="s">
        <v>3506</v>
      </c>
    </row>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92D050"/>
    <pageSetUpPr fitToPage="1"/>
  </sheetPr>
  <dimension ref="A1:AC148"/>
  <sheetViews>
    <sheetView view="pageBreakPreview" topLeftCell="A21" zoomScale="90" zoomScaleNormal="60" zoomScaleSheetLayoutView="90" workbookViewId="0">
      <selection activeCell="H35" sqref="H35"/>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11.875" style="1915" customWidth="1"/>
    <col min="17" max="17" width="14.5" style="357" customWidth="1"/>
    <col min="18" max="18" width="11.5" style="357" customWidth="1"/>
    <col min="19" max="19" width="9.375" style="357" customWidth="1"/>
    <col min="20" max="20" width="11.25" style="357" customWidth="1"/>
    <col min="21" max="21" width="10.125" style="357" customWidth="1"/>
    <col min="22" max="22" width="9.375" style="357" customWidth="1"/>
    <col min="23" max="23" width="9.125" style="357" customWidth="1"/>
    <col min="24" max="24" width="10.5" style="357" customWidth="1"/>
    <col min="25" max="25" width="11.12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3383</v>
      </c>
      <c r="E1" s="3425"/>
      <c r="F1" s="1878" t="s">
        <v>3455</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86877</v>
      </c>
      <c r="C3" s="354" t="s">
        <v>1665</v>
      </c>
      <c r="D3" s="353">
        <f>IF(D1="",'数据-汇总表'!E3,SUMIF('数据-汇总表'!$C19:$C33,D1,'数据-汇总表'!$E19:$E33))</f>
        <v>347.45</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709" t="s">
        <v>1667</v>
      </c>
      <c r="D4" s="3710"/>
      <c r="E4" s="3711" t="s">
        <v>1668</v>
      </c>
      <c r="F4" s="3712"/>
      <c r="G4" s="3709" t="s">
        <v>1669</v>
      </c>
      <c r="H4" s="3710"/>
      <c r="I4" s="3709" t="s">
        <v>1670</v>
      </c>
      <c r="J4" s="3710"/>
      <c r="K4" s="1888" t="s">
        <v>1671</v>
      </c>
      <c r="L4" s="2714"/>
      <c r="M4" s="2715"/>
      <c r="N4" s="2715"/>
      <c r="O4" s="2715"/>
      <c r="P4" s="3713" t="s">
        <v>1672</v>
      </c>
      <c r="Q4" s="3714"/>
      <c r="R4" s="3695" t="s">
        <v>1668</v>
      </c>
      <c r="S4" s="3696"/>
      <c r="T4" s="3695" t="s">
        <v>1669</v>
      </c>
      <c r="U4" s="3696"/>
      <c r="V4" s="3721" t="s">
        <v>1670</v>
      </c>
      <c r="W4" s="3721"/>
      <c r="X4" s="1354"/>
      <c r="Y4" s="3695" t="s">
        <v>1672</v>
      </c>
      <c r="Z4" s="3696"/>
      <c r="AA4" s="3690" t="s">
        <v>1668</v>
      </c>
      <c r="AB4" s="3690" t="s">
        <v>1669</v>
      </c>
      <c r="AC4" s="3690" t="s">
        <v>1670</v>
      </c>
    </row>
    <row r="5" spans="1:29" ht="15">
      <c r="A5" s="358"/>
      <c r="B5" s="359"/>
      <c r="C5" s="3701" t="s">
        <v>3488</v>
      </c>
      <c r="D5" s="3702"/>
      <c r="E5" s="3699" t="str">
        <f>三部案例!C2</f>
        <v>品元</v>
      </c>
      <c r="F5" s="3700"/>
      <c r="G5" s="3705" t="str">
        <f>三部案例!C3</f>
        <v>裕民东里</v>
      </c>
      <c r="H5" s="3702"/>
      <c r="I5" s="3705" t="str">
        <f>三部案例!C5</f>
        <v>裕民东里</v>
      </c>
      <c r="J5" s="3702"/>
      <c r="K5" s="1889"/>
      <c r="L5" s="2714"/>
      <c r="M5" s="2715"/>
      <c r="N5" s="2715"/>
      <c r="O5" s="2715"/>
      <c r="P5" s="3715"/>
      <c r="Q5" s="3716"/>
      <c r="R5" s="3697"/>
      <c r="S5" s="3698"/>
      <c r="T5" s="3697"/>
      <c r="U5" s="3698"/>
      <c r="V5" s="3721"/>
      <c r="W5" s="3721"/>
      <c r="X5" s="1354"/>
      <c r="Y5" s="3697"/>
      <c r="Z5" s="3698"/>
      <c r="AA5" s="3691"/>
      <c r="AB5" s="3691"/>
      <c r="AC5" s="3691"/>
    </row>
    <row r="6" spans="1:29" ht="15.75" thickBot="1">
      <c r="A6" s="360"/>
      <c r="B6" s="361"/>
      <c r="C6" s="3703" t="s">
        <v>1677</v>
      </c>
      <c r="D6" s="3704"/>
      <c r="E6" s="3706" t="s">
        <v>1677</v>
      </c>
      <c r="F6" s="3707"/>
      <c r="G6" s="3703" t="s">
        <v>1677</v>
      </c>
      <c r="H6" s="3704"/>
      <c r="I6" s="3703" t="s">
        <v>1677</v>
      </c>
      <c r="J6" s="3704"/>
      <c r="K6" s="1889" t="s">
        <v>1678</v>
      </c>
      <c r="L6" s="2714"/>
      <c r="M6" s="2715"/>
      <c r="N6" s="2715"/>
      <c r="O6" s="2715"/>
      <c r="P6" s="3717"/>
      <c r="Q6" s="3718"/>
      <c r="R6" s="3697"/>
      <c r="S6" s="3698"/>
      <c r="T6" s="3719"/>
      <c r="U6" s="3720"/>
      <c r="V6" s="3721"/>
      <c r="W6" s="3721"/>
      <c r="X6" s="1354"/>
      <c r="Y6" s="3719"/>
      <c r="Z6" s="3720"/>
      <c r="AA6" s="3692"/>
      <c r="AB6" s="3692"/>
      <c r="AC6" s="3692"/>
    </row>
    <row r="7" spans="1:29" s="108" customFormat="1" ht="15.75" thickBot="1">
      <c r="A7" s="362" t="s">
        <v>1679</v>
      </c>
      <c r="B7" s="363"/>
      <c r="C7" s="364">
        <f>'数据-取费表'!B2</f>
        <v>45231</v>
      </c>
      <c r="D7" s="365">
        <v>100</v>
      </c>
      <c r="E7" s="366">
        <f>三部案例!P2</f>
        <v>44675</v>
      </c>
      <c r="F7" s="367">
        <f>SUMIF(58:58,YEAR(E7)&amp;"-"&amp;MONTH(E7),59:59)</f>
        <v>99.5</v>
      </c>
      <c r="G7" s="366">
        <f>三部案例!P3</f>
        <v>44624</v>
      </c>
      <c r="H7" s="365">
        <f>SUMIF(58:58,YEAR(G7)&amp;"-"&amp;MONTH(G7),59:59)</f>
        <v>99.5</v>
      </c>
      <c r="I7" s="366">
        <f>三部案例!P5</f>
        <v>45013</v>
      </c>
      <c r="J7" s="365">
        <f>SUMIF(58:58,YEAR(I7)&amp;"-"&amp;MONTH(I7),59:59)</f>
        <v>100</v>
      </c>
      <c r="K7" s="1890"/>
      <c r="L7" s="2716"/>
      <c r="M7" s="2717"/>
      <c r="N7" s="2717"/>
      <c r="O7" s="2717"/>
      <c r="P7" s="3693" t="s">
        <v>1680</v>
      </c>
      <c r="Q7" s="3722"/>
      <c r="R7" s="701" t="s">
        <v>20</v>
      </c>
      <c r="S7" s="702">
        <f t="shared" ref="S7:S15" si="0">F7</f>
        <v>99.5</v>
      </c>
      <c r="T7" s="701" t="s">
        <v>20</v>
      </c>
      <c r="U7" s="702">
        <f t="shared" ref="U7:U15" si="1">H7</f>
        <v>99.5</v>
      </c>
      <c r="V7" s="701" t="s">
        <v>20</v>
      </c>
      <c r="W7" s="702">
        <f t="shared" ref="W7:W15" si="2">J7</f>
        <v>100</v>
      </c>
      <c r="X7" s="703"/>
      <c r="Y7" s="3693" t="s">
        <v>1680</v>
      </c>
      <c r="Z7" s="3694"/>
      <c r="AA7" s="704">
        <f>D7/F7</f>
        <v>1.0050251256281406</v>
      </c>
      <c r="AB7" s="704">
        <f>D7/H7</f>
        <v>1.0050251256281406</v>
      </c>
      <c r="AC7" s="704">
        <f>D7/J7</f>
        <v>1</v>
      </c>
    </row>
    <row r="8" spans="1:29" s="108" customFormat="1" ht="15.75" thickBot="1">
      <c r="A8" s="362" t="s">
        <v>1681</v>
      </c>
      <c r="B8" s="363"/>
      <c r="C8" s="368" t="s">
        <v>3412</v>
      </c>
      <c r="D8" s="365">
        <v>100</v>
      </c>
      <c r="E8" s="1891" t="s">
        <v>3412</v>
      </c>
      <c r="F8" s="367">
        <f>SUMIF(61:61,E8,62:62)-SUMIF(61:61,C8,62:62)+100</f>
        <v>100</v>
      </c>
      <c r="G8" s="368" t="s">
        <v>3412</v>
      </c>
      <c r="H8" s="365">
        <f>SUMIF(61:61,G8,62:62)-SUMIF(61:61,C8,62:62)+100</f>
        <v>100</v>
      </c>
      <c r="I8" s="1891" t="s">
        <v>3412</v>
      </c>
      <c r="J8" s="365">
        <f>SUMIF(61:61,I8,62:62)-SUMIF(61:61,C8,62:62)+100</f>
        <v>100</v>
      </c>
      <c r="K8" s="1890"/>
      <c r="L8" s="2716"/>
      <c r="M8" s="2717"/>
      <c r="N8" s="2717"/>
      <c r="O8" s="2717"/>
      <c r="P8" s="3693" t="s">
        <v>1683</v>
      </c>
      <c r="Q8" s="3694"/>
      <c r="R8" s="701" t="s">
        <v>20</v>
      </c>
      <c r="S8" s="702">
        <f t="shared" si="0"/>
        <v>100</v>
      </c>
      <c r="T8" s="701" t="s">
        <v>20</v>
      </c>
      <c r="U8" s="702">
        <f t="shared" si="1"/>
        <v>100</v>
      </c>
      <c r="V8" s="701" t="s">
        <v>20</v>
      </c>
      <c r="W8" s="702">
        <f t="shared" si="2"/>
        <v>100</v>
      </c>
      <c r="X8" s="703"/>
      <c r="Y8" s="3693" t="s">
        <v>1683</v>
      </c>
      <c r="Z8" s="3694"/>
      <c r="AA8" s="704">
        <f t="shared" ref="AA8:AA19" si="3">D8/F8</f>
        <v>1</v>
      </c>
      <c r="AB8" s="704">
        <f t="shared" ref="AB8:AB19" si="4">D8/H8</f>
        <v>1</v>
      </c>
      <c r="AC8" s="704">
        <f t="shared" ref="AC8:AC19" si="5">D8/J8</f>
        <v>1</v>
      </c>
    </row>
    <row r="9" spans="1:29" s="108" customFormat="1" ht="15" thickBot="1">
      <c r="A9" s="369" t="s">
        <v>1684</v>
      </c>
      <c r="B9" s="63" t="s">
        <v>1685</v>
      </c>
      <c r="C9" s="3458" t="s">
        <v>3413</v>
      </c>
      <c r="D9" s="126">
        <v>100</v>
      </c>
      <c r="E9" s="371" t="s">
        <v>3383</v>
      </c>
      <c r="F9" s="372">
        <f>SUMIF(63:63,E9,64:64)-SUMIF(63:63,C9,64:64)+100</f>
        <v>100</v>
      </c>
      <c r="G9" s="373" t="s">
        <v>3383</v>
      </c>
      <c r="H9" s="126">
        <f>SUMIF(63:63,G9,64:64)-SUMIF(63:63,C9,64:64)+100</f>
        <v>100</v>
      </c>
      <c r="I9" s="373" t="s">
        <v>3383</v>
      </c>
      <c r="J9" s="126">
        <f>SUMIF(63:63,I9,64:64)-SUMIF(63:63,C9,64:64)+100</f>
        <v>100</v>
      </c>
      <c r="K9" s="1890"/>
      <c r="L9" s="2716"/>
      <c r="M9" s="2717"/>
      <c r="N9" s="2717"/>
      <c r="O9" s="2717"/>
      <c r="P9" s="3708" t="s">
        <v>1686</v>
      </c>
      <c r="Q9" s="1342" t="str">
        <f t="shared" ref="Q9:Q15" si="6">B9</f>
        <v>用途</v>
      </c>
      <c r="R9" s="701" t="s">
        <v>14</v>
      </c>
      <c r="S9" s="702">
        <f t="shared" si="0"/>
        <v>100</v>
      </c>
      <c r="T9" s="701" t="s">
        <v>14</v>
      </c>
      <c r="U9" s="702">
        <f t="shared" si="1"/>
        <v>100</v>
      </c>
      <c r="V9" s="701" t="s">
        <v>14</v>
      </c>
      <c r="W9" s="702">
        <f t="shared" si="2"/>
        <v>100</v>
      </c>
      <c r="X9" s="703"/>
      <c r="Y9" s="3663" t="s">
        <v>1687</v>
      </c>
      <c r="Z9" s="52" t="str">
        <f t="shared" ref="Z9:Z15" si="7">Q9</f>
        <v>用途</v>
      </c>
      <c r="AA9" s="704">
        <f t="shared" si="3"/>
        <v>1</v>
      </c>
      <c r="AB9" s="704">
        <f t="shared" si="4"/>
        <v>1</v>
      </c>
      <c r="AC9" s="704">
        <f t="shared" si="5"/>
        <v>1</v>
      </c>
    </row>
    <row r="10" spans="1:29" s="378" customFormat="1" ht="28.5"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08"/>
      <c r="Q10" s="1342" t="str">
        <f t="shared" si="6"/>
        <v>土地使用年限（年）</v>
      </c>
      <c r="R10" s="701" t="s">
        <v>14</v>
      </c>
      <c r="S10" s="702">
        <f t="shared" si="0"/>
        <v>100</v>
      </c>
      <c r="T10" s="701" t="s">
        <v>14</v>
      </c>
      <c r="U10" s="702">
        <f t="shared" si="1"/>
        <v>100</v>
      </c>
      <c r="V10" s="701" t="s">
        <v>14</v>
      </c>
      <c r="W10" s="702">
        <f t="shared" si="2"/>
        <v>100</v>
      </c>
      <c r="X10" s="703"/>
      <c r="Y10" s="3663"/>
      <c r="Z10" s="52" t="str">
        <f t="shared" si="7"/>
        <v>土地使用年限（年）</v>
      </c>
      <c r="AA10" s="704">
        <f t="shared" si="3"/>
        <v>1</v>
      </c>
      <c r="AB10" s="704">
        <f t="shared" si="4"/>
        <v>1</v>
      </c>
      <c r="AC10" s="704">
        <f t="shared" si="5"/>
        <v>1</v>
      </c>
    </row>
    <row r="11" spans="1:29" ht="15" hidden="1">
      <c r="A11" s="379"/>
      <c r="B11" s="375" t="s">
        <v>1689</v>
      </c>
      <c r="C11" s="380">
        <v>1</v>
      </c>
      <c r="D11" s="127">
        <v>100</v>
      </c>
      <c r="E11" s="381">
        <v>1</v>
      </c>
      <c r="F11" s="376">
        <f>LOOKUP(E11,68:68,69:69)-LOOKUP(C11,68:68,69:69)+100</f>
        <v>100</v>
      </c>
      <c r="G11" s="380">
        <v>1</v>
      </c>
      <c r="H11" s="127">
        <f>LOOKUP(G11,68:68,69:69)-LOOKUP(C11,68:68,69:69)+100</f>
        <v>100</v>
      </c>
      <c r="I11" s="380">
        <v>1</v>
      </c>
      <c r="J11" s="127">
        <f>LOOKUP(I11,68:68,69:69)-LOOKUP(C11,68:68,69:69)+100</f>
        <v>100</v>
      </c>
      <c r="K11" s="377">
        <v>1</v>
      </c>
      <c r="L11" s="2720"/>
      <c r="M11" s="2715"/>
      <c r="N11" s="2715"/>
      <c r="O11" s="2715"/>
      <c r="P11" s="3708"/>
      <c r="Q11" s="1342" t="str">
        <f t="shared" si="6"/>
        <v>容积率</v>
      </c>
      <c r="R11" s="701" t="s">
        <v>18</v>
      </c>
      <c r="S11" s="702">
        <f t="shared" si="0"/>
        <v>100</v>
      </c>
      <c r="T11" s="701" t="s">
        <v>18</v>
      </c>
      <c r="U11" s="702">
        <f t="shared" si="1"/>
        <v>100</v>
      </c>
      <c r="V11" s="701" t="s">
        <v>18</v>
      </c>
      <c r="W11" s="702">
        <f t="shared" si="2"/>
        <v>100</v>
      </c>
      <c r="X11" s="703"/>
      <c r="Y11" s="3663"/>
      <c r="Z11" s="52" t="str">
        <f t="shared" si="7"/>
        <v>容积率</v>
      </c>
      <c r="AA11" s="704">
        <f t="shared" si="3"/>
        <v>1</v>
      </c>
      <c r="AB11" s="704">
        <f t="shared" si="4"/>
        <v>1</v>
      </c>
      <c r="AC11" s="704">
        <f t="shared" si="5"/>
        <v>1</v>
      </c>
    </row>
    <row r="12" spans="1:29" s="108" customFormat="1" ht="15" hidden="1">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08"/>
      <c r="Q12" s="1342">
        <f t="shared" si="6"/>
        <v>111</v>
      </c>
      <c r="R12" s="701" t="s">
        <v>18</v>
      </c>
      <c r="S12" s="702">
        <f t="shared" si="0"/>
        <v>100</v>
      </c>
      <c r="T12" s="701" t="s">
        <v>18</v>
      </c>
      <c r="U12" s="702">
        <f t="shared" si="1"/>
        <v>100</v>
      </c>
      <c r="V12" s="701" t="s">
        <v>18</v>
      </c>
      <c r="W12" s="702">
        <f t="shared" si="2"/>
        <v>100</v>
      </c>
      <c r="X12" s="703"/>
      <c r="Y12" s="3663"/>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08"/>
      <c r="Q13" s="1342">
        <f t="shared" si="6"/>
        <v>111</v>
      </c>
      <c r="R13" s="701" t="s">
        <v>18</v>
      </c>
      <c r="S13" s="702">
        <f t="shared" si="0"/>
        <v>100</v>
      </c>
      <c r="T13" s="701" t="s">
        <v>18</v>
      </c>
      <c r="U13" s="702">
        <f t="shared" si="1"/>
        <v>100</v>
      </c>
      <c r="V13" s="701" t="s">
        <v>18</v>
      </c>
      <c r="W13" s="702">
        <f t="shared" si="2"/>
        <v>100</v>
      </c>
      <c r="X13" s="703"/>
      <c r="Y13" s="3663"/>
      <c r="Z13" s="52">
        <f t="shared" si="7"/>
        <v>111</v>
      </c>
      <c r="AA13" s="704">
        <f t="shared" si="3"/>
        <v>1</v>
      </c>
      <c r="AB13" s="704">
        <f t="shared" si="4"/>
        <v>1</v>
      </c>
      <c r="AC13" s="704">
        <f t="shared" si="5"/>
        <v>1</v>
      </c>
    </row>
    <row r="14" spans="1:29" ht="15.75" hidden="1"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08"/>
      <c r="Q14" s="1342">
        <f t="shared" si="6"/>
        <v>111</v>
      </c>
      <c r="R14" s="701" t="s">
        <v>18</v>
      </c>
      <c r="S14" s="702">
        <f t="shared" si="0"/>
        <v>100</v>
      </c>
      <c r="T14" s="701" t="s">
        <v>18</v>
      </c>
      <c r="U14" s="702">
        <f t="shared" si="1"/>
        <v>100</v>
      </c>
      <c r="V14" s="701" t="s">
        <v>18</v>
      </c>
      <c r="W14" s="702">
        <f t="shared" si="2"/>
        <v>100</v>
      </c>
      <c r="X14" s="703"/>
      <c r="Y14" s="3663"/>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21"/>
      <c r="M15" s="2715"/>
      <c r="N15" s="2715"/>
      <c r="O15" s="2715"/>
      <c r="P15" s="3735" t="s">
        <v>1691</v>
      </c>
      <c r="Q15" s="1351" t="str">
        <f t="shared" si="6"/>
        <v>居住社区成熟度</v>
      </c>
      <c r="R15" s="705" t="s">
        <v>18</v>
      </c>
      <c r="S15" s="706">
        <f t="shared" si="0"/>
        <v>100</v>
      </c>
      <c r="T15" s="705" t="s">
        <v>18</v>
      </c>
      <c r="U15" s="706">
        <f t="shared" si="1"/>
        <v>100</v>
      </c>
      <c r="V15" s="705" t="s">
        <v>18</v>
      </c>
      <c r="W15" s="706">
        <f t="shared" si="2"/>
        <v>100</v>
      </c>
      <c r="X15" s="1354"/>
      <c r="Y15" s="3728" t="s">
        <v>1691</v>
      </c>
      <c r="Z15" s="1355" t="str">
        <f t="shared" si="7"/>
        <v>居住社区成熟度</v>
      </c>
      <c r="AA15" s="1352">
        <f t="shared" si="3"/>
        <v>1</v>
      </c>
      <c r="AB15" s="1352">
        <f t="shared" si="4"/>
        <v>1</v>
      </c>
      <c r="AC15" s="1352">
        <f t="shared" si="5"/>
        <v>1</v>
      </c>
    </row>
    <row r="16" spans="1:29" ht="15">
      <c r="A16" s="379"/>
      <c r="B16" s="397"/>
      <c r="C16" s="398" t="s">
        <v>3414</v>
      </c>
      <c r="D16" s="399"/>
      <c r="E16" s="1896" t="s">
        <v>3414</v>
      </c>
      <c r="F16" s="399"/>
      <c r="G16" s="1896" t="s">
        <v>3414</v>
      </c>
      <c r="H16" s="401"/>
      <c r="I16" s="1896" t="s">
        <v>3414</v>
      </c>
      <c r="J16" s="399"/>
      <c r="K16" s="1898"/>
      <c r="L16" s="2721"/>
      <c r="M16" s="2715"/>
      <c r="N16" s="2715"/>
      <c r="O16" s="2715"/>
      <c r="P16" s="3736"/>
      <c r="Q16" s="1351"/>
      <c r="R16" s="705"/>
      <c r="S16" s="706"/>
      <c r="T16" s="705"/>
      <c r="U16" s="706"/>
      <c r="V16" s="705"/>
      <c r="W16" s="706"/>
      <c r="X16" s="1354"/>
      <c r="Y16" s="3729"/>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21"/>
      <c r="M17" s="2715"/>
      <c r="N17" s="2715"/>
      <c r="O17" s="2715"/>
      <c r="P17" s="3736"/>
      <c r="Q17" s="1351" t="str">
        <f>B17</f>
        <v>交通便捷度</v>
      </c>
      <c r="R17" s="705" t="s">
        <v>18</v>
      </c>
      <c r="S17" s="706">
        <f>F17</f>
        <v>100</v>
      </c>
      <c r="T17" s="705" t="s">
        <v>18</v>
      </c>
      <c r="U17" s="706">
        <f>H17</f>
        <v>100</v>
      </c>
      <c r="V17" s="705" t="s">
        <v>18</v>
      </c>
      <c r="W17" s="706">
        <f>J17</f>
        <v>100</v>
      </c>
      <c r="X17" s="1354"/>
      <c r="Y17" s="3729"/>
      <c r="Z17" s="1355" t="str">
        <f>Q17</f>
        <v>交通便捷度</v>
      </c>
      <c r="AA17" s="1352">
        <f t="shared" si="3"/>
        <v>1</v>
      </c>
      <c r="AB17" s="1352">
        <f t="shared" si="4"/>
        <v>1</v>
      </c>
      <c r="AC17" s="1352">
        <f t="shared" si="5"/>
        <v>1</v>
      </c>
    </row>
    <row r="18" spans="1:29" ht="15">
      <c r="A18" s="379"/>
      <c r="B18" s="407"/>
      <c r="C18" s="398" t="s">
        <v>3414</v>
      </c>
      <c r="D18" s="401"/>
      <c r="E18" s="398" t="s">
        <v>3414</v>
      </c>
      <c r="F18" s="401"/>
      <c r="G18" s="398" t="s">
        <v>3414</v>
      </c>
      <c r="H18" s="399"/>
      <c r="I18" s="398" t="s">
        <v>3414</v>
      </c>
      <c r="J18" s="399"/>
      <c r="K18" s="1898"/>
      <c r="L18" s="2721"/>
      <c r="M18" s="2715"/>
      <c r="N18" s="2715"/>
      <c r="O18" s="2715"/>
      <c r="P18" s="3736"/>
      <c r="Q18" s="1351"/>
      <c r="R18" s="705"/>
      <c r="S18" s="706"/>
      <c r="T18" s="705"/>
      <c r="U18" s="706"/>
      <c r="V18" s="705"/>
      <c r="W18" s="706"/>
      <c r="X18" s="1354"/>
      <c r="Y18" s="3729"/>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21"/>
      <c r="M19" s="2715"/>
      <c r="N19" s="2715"/>
      <c r="O19" s="2715"/>
      <c r="P19" s="3736"/>
      <c r="Q19" s="1351" t="str">
        <f>B19</f>
        <v>公共配套设施</v>
      </c>
      <c r="R19" s="705" t="s">
        <v>18</v>
      </c>
      <c r="S19" s="706">
        <f>F19</f>
        <v>100</v>
      </c>
      <c r="T19" s="705" t="s">
        <v>18</v>
      </c>
      <c r="U19" s="706">
        <f>H19</f>
        <v>100</v>
      </c>
      <c r="V19" s="705" t="s">
        <v>18</v>
      </c>
      <c r="W19" s="706">
        <f>J19</f>
        <v>100</v>
      </c>
      <c r="X19" s="1354"/>
      <c r="Y19" s="3729"/>
      <c r="Z19" s="1355" t="str">
        <f>Q19</f>
        <v>公共配套设施</v>
      </c>
      <c r="AA19" s="1352">
        <f t="shared" si="3"/>
        <v>1</v>
      </c>
      <c r="AB19" s="1352">
        <f t="shared" si="4"/>
        <v>1</v>
      </c>
      <c r="AC19" s="1352">
        <f t="shared" si="5"/>
        <v>1</v>
      </c>
    </row>
    <row r="20" spans="1:29" ht="15">
      <c r="A20" s="379"/>
      <c r="B20" s="407"/>
      <c r="C20" s="398" t="s">
        <v>3414</v>
      </c>
      <c r="D20" s="399"/>
      <c r="E20" s="398" t="s">
        <v>3414</v>
      </c>
      <c r="F20" s="399"/>
      <c r="G20" s="398" t="s">
        <v>3414</v>
      </c>
      <c r="H20" s="399"/>
      <c r="I20" s="398" t="s">
        <v>3414</v>
      </c>
      <c r="J20" s="399"/>
      <c r="K20" s="1898"/>
      <c r="L20" s="2721"/>
      <c r="M20" s="2715"/>
      <c r="N20" s="2715"/>
      <c r="O20" s="2715"/>
      <c r="P20" s="3736"/>
      <c r="Q20" s="1351"/>
      <c r="R20" s="705"/>
      <c r="S20" s="706"/>
      <c r="T20" s="705"/>
      <c r="U20" s="706"/>
      <c r="V20" s="705"/>
      <c r="W20" s="706"/>
      <c r="X20" s="1354"/>
      <c r="Y20" s="3729"/>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21"/>
      <c r="M21" s="2715"/>
      <c r="N21" s="2715"/>
      <c r="O21" s="2715"/>
      <c r="P21" s="3736"/>
      <c r="Q21" s="1351" t="str">
        <f>B21</f>
        <v>基础设施水平</v>
      </c>
      <c r="R21" s="705" t="s">
        <v>14</v>
      </c>
      <c r="S21" s="706">
        <f>F21</f>
        <v>100</v>
      </c>
      <c r="T21" s="705" t="s">
        <v>14</v>
      </c>
      <c r="U21" s="706">
        <f>H21</f>
        <v>100</v>
      </c>
      <c r="V21" s="705" t="s">
        <v>14</v>
      </c>
      <c r="W21" s="706">
        <f>J21</f>
        <v>100</v>
      </c>
      <c r="X21" s="1354"/>
      <c r="Y21" s="3729"/>
      <c r="Z21" s="1355" t="str">
        <f>Q21</f>
        <v>基础设施水平</v>
      </c>
      <c r="AA21" s="1352">
        <f t="shared" ref="AA21" si="8">D21/F21</f>
        <v>1</v>
      </c>
      <c r="AB21" s="1352">
        <f t="shared" ref="AB21" si="9">D21/H21</f>
        <v>1</v>
      </c>
      <c r="AC21" s="1352">
        <f t="shared" ref="AC21" si="10">D21/J21</f>
        <v>1</v>
      </c>
    </row>
    <row r="22" spans="1:29" ht="15">
      <c r="A22" s="379"/>
      <c r="B22" s="1131"/>
      <c r="C22" s="1900" t="s">
        <v>3415</v>
      </c>
      <c r="D22" s="399"/>
      <c r="E22" s="1900" t="s">
        <v>3415</v>
      </c>
      <c r="F22" s="399"/>
      <c r="G22" s="1900" t="s">
        <v>3415</v>
      </c>
      <c r="H22" s="399"/>
      <c r="I22" s="1900" t="s">
        <v>3415</v>
      </c>
      <c r="J22" s="399"/>
      <c r="K22" s="1904"/>
      <c r="L22" s="2721"/>
      <c r="M22" s="2715"/>
      <c r="N22" s="2715"/>
      <c r="O22" s="2715"/>
      <c r="P22" s="3736"/>
      <c r="Q22" s="1351"/>
      <c r="R22" s="705"/>
      <c r="S22" s="706"/>
      <c r="T22" s="705"/>
      <c r="U22" s="706"/>
      <c r="V22" s="705"/>
      <c r="W22" s="706"/>
      <c r="X22" s="1354"/>
      <c r="Y22" s="3729"/>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21"/>
      <c r="M23" s="2715"/>
      <c r="N23" s="2715"/>
      <c r="O23" s="2715"/>
      <c r="P23" s="3736"/>
      <c r="Q23" s="1351" t="str">
        <f>B23</f>
        <v>自然及人文环境</v>
      </c>
      <c r="R23" s="705" t="s">
        <v>18</v>
      </c>
      <c r="S23" s="706">
        <f>F23</f>
        <v>100</v>
      </c>
      <c r="T23" s="705" t="s">
        <v>18</v>
      </c>
      <c r="U23" s="706">
        <f>H23</f>
        <v>100</v>
      </c>
      <c r="V23" s="705" t="s">
        <v>18</v>
      </c>
      <c r="W23" s="706">
        <f>J23</f>
        <v>100</v>
      </c>
      <c r="X23" s="1354"/>
      <c r="Y23" s="3729"/>
      <c r="Z23" s="1355" t="str">
        <f>Q23</f>
        <v>自然及人文环境</v>
      </c>
      <c r="AA23" s="1352">
        <f>D23/F23</f>
        <v>1</v>
      </c>
      <c r="AB23" s="1352">
        <f>D23/H23</f>
        <v>1</v>
      </c>
      <c r="AC23" s="1352">
        <f>D23/J23</f>
        <v>1</v>
      </c>
    </row>
    <row r="24" spans="1:29" ht="15">
      <c r="A24" s="379"/>
      <c r="B24" s="407"/>
      <c r="C24" s="398" t="s">
        <v>3414</v>
      </c>
      <c r="D24" s="399"/>
      <c r="E24" s="398" t="s">
        <v>3414</v>
      </c>
      <c r="F24" s="399"/>
      <c r="G24" s="398" t="s">
        <v>3414</v>
      </c>
      <c r="H24" s="399"/>
      <c r="I24" s="398" t="s">
        <v>3414</v>
      </c>
      <c r="J24" s="399"/>
      <c r="K24" s="1898"/>
      <c r="L24" s="2721"/>
      <c r="M24" s="2715"/>
      <c r="N24" s="2715"/>
      <c r="O24" s="2715"/>
      <c r="P24" s="3736"/>
      <c r="Q24" s="1351"/>
      <c r="R24" s="705"/>
      <c r="S24" s="706"/>
      <c r="T24" s="705"/>
      <c r="U24" s="706"/>
      <c r="V24" s="705"/>
      <c r="W24" s="706"/>
      <c r="X24" s="1354"/>
      <c r="Y24" s="3729"/>
      <c r="Z24" s="1355"/>
      <c r="AA24" s="1352">
        <v>1</v>
      </c>
      <c r="AB24" s="1352">
        <v>1</v>
      </c>
      <c r="AC24" s="1352">
        <v>1</v>
      </c>
    </row>
    <row r="25" spans="1:29" ht="15" hidden="1">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36"/>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29"/>
      <c r="Z25" s="1355" t="str">
        <f>Q25</f>
        <v>楼层-1</v>
      </c>
      <c r="AA25" s="1352">
        <f t="shared" ref="AA25:AA46" si="15">D25/F25</f>
        <v>1</v>
      </c>
      <c r="AB25" s="1352">
        <f t="shared" ref="AB25:AB46" si="16">D25/H25</f>
        <v>1</v>
      </c>
      <c r="AC25" s="1352">
        <f t="shared" ref="AC25:AC46" si="17">D25/J25</f>
        <v>1</v>
      </c>
    </row>
    <row r="26" spans="1:29" ht="15">
      <c r="A26" s="379"/>
      <c r="B26" s="375" t="s">
        <v>1693</v>
      </c>
      <c r="C26" s="411" t="s">
        <v>3501</v>
      </c>
      <c r="D26" s="386">
        <v>100</v>
      </c>
      <c r="E26" s="1905" t="s">
        <v>3501</v>
      </c>
      <c r="F26" s="386">
        <f>SUMIF(88:88,E26,89:89)-SUMIF(88:88,C26,89:89)+100</f>
        <v>100</v>
      </c>
      <c r="G26" s="1906" t="s">
        <v>3410</v>
      </c>
      <c r="H26" s="386">
        <f>SUMIF(88:88,G26,89:89)-SUMIF(88:88,C26,89:89)+100</f>
        <v>98.5</v>
      </c>
      <c r="I26" s="1906" t="s">
        <v>3501</v>
      </c>
      <c r="J26" s="386">
        <f>SUMIF(88:88,I26,89:89)-SUMIF(88:88,C26,89:89)+100</f>
        <v>100</v>
      </c>
      <c r="K26" s="377">
        <v>1.5</v>
      </c>
      <c r="L26" s="2721"/>
      <c r="M26" s="2715"/>
      <c r="N26" s="2715"/>
      <c r="O26" s="2715"/>
      <c r="P26" s="3736"/>
      <c r="Q26" s="1351" t="str">
        <f t="shared" si="11"/>
        <v>朝向</v>
      </c>
      <c r="R26" s="705" t="s">
        <v>18</v>
      </c>
      <c r="S26" s="706">
        <f t="shared" si="12"/>
        <v>100</v>
      </c>
      <c r="T26" s="705" t="s">
        <v>18</v>
      </c>
      <c r="U26" s="706">
        <f t="shared" si="13"/>
        <v>98.5</v>
      </c>
      <c r="V26" s="705" t="s">
        <v>18</v>
      </c>
      <c r="W26" s="706">
        <f t="shared" si="14"/>
        <v>100</v>
      </c>
      <c r="X26" s="1354"/>
      <c r="Y26" s="3729"/>
      <c r="Z26" s="1355" t="str">
        <f>Q26</f>
        <v>朝向</v>
      </c>
      <c r="AA26" s="1352">
        <f t="shared" si="15"/>
        <v>1</v>
      </c>
      <c r="AB26" s="1352">
        <f t="shared" si="16"/>
        <v>1.015228426395939</v>
      </c>
      <c r="AC26" s="1352">
        <f t="shared" si="17"/>
        <v>1</v>
      </c>
    </row>
    <row r="27" spans="1:29" s="108" customFormat="1" ht="15">
      <c r="A27" s="382"/>
      <c r="B27" s="3460" t="s">
        <v>3428</v>
      </c>
      <c r="C27" s="3475" t="s">
        <v>3515</v>
      </c>
      <c r="D27" s="413">
        <v>100</v>
      </c>
      <c r="E27" s="3475" t="s">
        <v>3515</v>
      </c>
      <c r="F27" s="413">
        <f>SUMIF(90:90,E27,91:91)-SUMIF(90:90,C27,91:91)+100</f>
        <v>100</v>
      </c>
      <c r="G27" s="3475" t="s">
        <v>3515</v>
      </c>
      <c r="H27" s="413">
        <f>SUMIF(90:90,G27,91:91)-SUMIF(90:90,C27,91:91)+100</f>
        <v>100</v>
      </c>
      <c r="I27" s="3475" t="s">
        <v>3515</v>
      </c>
      <c r="J27" s="413">
        <f>SUMIF(90:90,I27,91:91)-SUMIF(90:90,C27,91:91)+100</f>
        <v>100</v>
      </c>
      <c r="K27" s="1893"/>
      <c r="L27" s="2716"/>
      <c r="M27" s="2717"/>
      <c r="N27" s="2717"/>
      <c r="O27" s="2717"/>
      <c r="P27" s="3736"/>
      <c r="Q27" s="1342" t="str">
        <f t="shared" si="11"/>
        <v>道路级别</v>
      </c>
      <c r="R27" s="701" t="s">
        <v>18</v>
      </c>
      <c r="S27" s="702">
        <f t="shared" si="12"/>
        <v>100</v>
      </c>
      <c r="T27" s="701" t="s">
        <v>18</v>
      </c>
      <c r="U27" s="702">
        <f t="shared" si="13"/>
        <v>100</v>
      </c>
      <c r="V27" s="701" t="s">
        <v>18</v>
      </c>
      <c r="W27" s="702">
        <f t="shared" si="14"/>
        <v>100</v>
      </c>
      <c r="X27" s="703"/>
      <c r="Y27" s="3729"/>
      <c r="Z27" s="52" t="str">
        <f>Q27</f>
        <v>道路级别</v>
      </c>
      <c r="AA27" s="1352">
        <f t="shared" si="15"/>
        <v>1</v>
      </c>
      <c r="AB27" s="1352">
        <f t="shared" si="16"/>
        <v>1</v>
      </c>
      <c r="AC27" s="1352">
        <f t="shared" si="17"/>
        <v>1</v>
      </c>
    </row>
    <row r="28" spans="1:29" ht="15">
      <c r="A28" s="379"/>
      <c r="B28" s="3460" t="s">
        <v>3454</v>
      </c>
      <c r="C28" s="385" t="s">
        <v>3511</v>
      </c>
      <c r="D28" s="386">
        <v>100</v>
      </c>
      <c r="E28" s="385" t="s">
        <v>3512</v>
      </c>
      <c r="F28" s="386">
        <f>SUMIF(92:92,E28,93:93)-SUMIF(92:92,C28,93:93)+100</f>
        <v>97</v>
      </c>
      <c r="G28" s="1907" t="s">
        <v>3513</v>
      </c>
      <c r="H28" s="386">
        <f>SUMIF(92:92,G28,93:93)-SUMIF(92:92,C28,93:93)+100</f>
        <v>94</v>
      </c>
      <c r="I28" s="385" t="s">
        <v>3514</v>
      </c>
      <c r="J28" s="386">
        <f>SUMIF(92:92,I28,93:93)-SUMIF(92:92,C28,93:93)+100</f>
        <v>97</v>
      </c>
      <c r="K28" s="1893"/>
      <c r="L28" s="2721"/>
      <c r="M28" s="2715"/>
      <c r="N28" s="2715"/>
      <c r="O28" s="2715"/>
      <c r="P28" s="3736"/>
      <c r="Q28" s="1351" t="str">
        <f t="shared" si="11"/>
        <v>楼层</v>
      </c>
      <c r="R28" s="705" t="s">
        <v>18</v>
      </c>
      <c r="S28" s="706">
        <f t="shared" si="12"/>
        <v>97</v>
      </c>
      <c r="T28" s="705" t="s">
        <v>18</v>
      </c>
      <c r="U28" s="706">
        <f t="shared" si="13"/>
        <v>94</v>
      </c>
      <c r="V28" s="705" t="s">
        <v>18</v>
      </c>
      <c r="W28" s="706">
        <f t="shared" si="14"/>
        <v>97</v>
      </c>
      <c r="X28" s="1354"/>
      <c r="Y28" s="3729"/>
      <c r="Z28" s="1355" t="str">
        <f t="shared" ref="Z28:Z46" si="18">Q28</f>
        <v>楼层</v>
      </c>
      <c r="AA28" s="1352">
        <f t="shared" si="15"/>
        <v>1.0309278350515463</v>
      </c>
      <c r="AB28" s="1352">
        <f t="shared" si="16"/>
        <v>1.0638297872340425</v>
      </c>
      <c r="AC28" s="1352">
        <f t="shared" si="17"/>
        <v>1.0309278350515463</v>
      </c>
    </row>
    <row r="29" spans="1:29" ht="15" hidden="1">
      <c r="A29" s="379"/>
      <c r="B29" s="3460" t="s">
        <v>3481</v>
      </c>
      <c r="C29" s="3499" t="s">
        <v>3482</v>
      </c>
      <c r="D29" s="386">
        <v>100</v>
      </c>
      <c r="E29" s="3499" t="s">
        <v>3484</v>
      </c>
      <c r="F29" s="386">
        <f>SUMIF(94:94,E29,95:95)-SUMIF(94:94,C29,95:95)+100</f>
        <v>100</v>
      </c>
      <c r="G29" s="3500" t="s">
        <v>3485</v>
      </c>
      <c r="H29" s="386">
        <f>SUMIF(94:94,G29,95:95)-SUMIF(94:94,C29,95:95)+100</f>
        <v>100</v>
      </c>
      <c r="I29" s="3499" t="s">
        <v>3485</v>
      </c>
      <c r="J29" s="386">
        <f>SUMIF(94:94,I29,95:95)-SUMIF(94:94,C29,95:95)+100</f>
        <v>100</v>
      </c>
      <c r="K29" s="1893"/>
      <c r="L29" s="2721"/>
      <c r="M29" s="2715"/>
      <c r="N29" s="2715"/>
      <c r="O29" s="2715"/>
      <c r="P29" s="3736"/>
      <c r="Q29" s="1351" t="str">
        <f t="shared" si="11"/>
        <v>采光</v>
      </c>
      <c r="R29" s="705" t="s">
        <v>18</v>
      </c>
      <c r="S29" s="706">
        <f t="shared" si="12"/>
        <v>100</v>
      </c>
      <c r="T29" s="705" t="s">
        <v>18</v>
      </c>
      <c r="U29" s="706">
        <f t="shared" si="13"/>
        <v>100</v>
      </c>
      <c r="V29" s="705" t="s">
        <v>18</v>
      </c>
      <c r="W29" s="706">
        <f t="shared" si="14"/>
        <v>100</v>
      </c>
      <c r="X29" s="1354"/>
      <c r="Y29" s="3729"/>
      <c r="Z29" s="1355" t="str">
        <f t="shared" si="18"/>
        <v>采光</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36"/>
      <c r="Q30" s="1351">
        <f t="shared" si="11"/>
        <v>111</v>
      </c>
      <c r="R30" s="705" t="s">
        <v>18</v>
      </c>
      <c r="S30" s="706">
        <f t="shared" si="12"/>
        <v>100</v>
      </c>
      <c r="T30" s="705" t="s">
        <v>18</v>
      </c>
      <c r="U30" s="706">
        <f t="shared" si="13"/>
        <v>100</v>
      </c>
      <c r="V30" s="705" t="s">
        <v>18</v>
      </c>
      <c r="W30" s="706">
        <f t="shared" si="14"/>
        <v>100</v>
      </c>
      <c r="X30" s="1354"/>
      <c r="Y30" s="3729"/>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36"/>
      <c r="Q31" s="1351">
        <f t="shared" si="11"/>
        <v>111</v>
      </c>
      <c r="R31" s="705" t="s">
        <v>18</v>
      </c>
      <c r="S31" s="706">
        <f t="shared" si="12"/>
        <v>100</v>
      </c>
      <c r="T31" s="705" t="s">
        <v>18</v>
      </c>
      <c r="U31" s="706">
        <f t="shared" si="13"/>
        <v>100</v>
      </c>
      <c r="V31" s="705" t="s">
        <v>18</v>
      </c>
      <c r="W31" s="706">
        <f t="shared" si="14"/>
        <v>100</v>
      </c>
      <c r="X31" s="1354"/>
      <c r="Y31" s="3729"/>
      <c r="Z31" s="1355">
        <f t="shared" si="18"/>
        <v>111</v>
      </c>
      <c r="AA31" s="1352">
        <f t="shared" si="15"/>
        <v>1</v>
      </c>
      <c r="AB31" s="1352">
        <f t="shared" si="16"/>
        <v>1</v>
      </c>
      <c r="AC31" s="1352">
        <f t="shared" si="17"/>
        <v>1</v>
      </c>
    </row>
    <row r="32" spans="1:29" ht="15">
      <c r="A32" s="391" t="s">
        <v>1694</v>
      </c>
      <c r="B32" s="63" t="s">
        <v>1695</v>
      </c>
      <c r="C32" s="1909" t="s">
        <v>3430</v>
      </c>
      <c r="D32" s="418">
        <v>100</v>
      </c>
      <c r="E32" s="1910" t="s">
        <v>3430</v>
      </c>
      <c r="F32" s="412">
        <f>SUMIF(100:100,E32,101:101)-SUMIF(100:100,C32,101:101)+100</f>
        <v>100</v>
      </c>
      <c r="G32" s="1909" t="s">
        <v>3430</v>
      </c>
      <c r="H32" s="418">
        <f>SUMIF(100:100,G32,101:101)-SUMIF(100:100,C32,101:101)+100</f>
        <v>100</v>
      </c>
      <c r="I32" s="1910" t="s">
        <v>3429</v>
      </c>
      <c r="J32" s="386">
        <f>SUMIF(100:100,I32,101:101)-SUMIF(100:100,C32,101:101)+100</f>
        <v>104</v>
      </c>
      <c r="K32" s="377">
        <v>2</v>
      </c>
      <c r="L32" s="2721"/>
      <c r="M32" s="2715"/>
      <c r="N32" s="2715"/>
      <c r="O32" s="2715"/>
      <c r="P32" s="3730" t="s">
        <v>1696</v>
      </c>
      <c r="Q32" s="1351" t="str">
        <f t="shared" si="11"/>
        <v>建筑类型</v>
      </c>
      <c r="R32" s="705" t="s">
        <v>18</v>
      </c>
      <c r="S32" s="706">
        <f t="shared" si="12"/>
        <v>100</v>
      </c>
      <c r="T32" s="705" t="s">
        <v>18</v>
      </c>
      <c r="U32" s="706">
        <f t="shared" si="13"/>
        <v>100</v>
      </c>
      <c r="V32" s="705" t="s">
        <v>18</v>
      </c>
      <c r="W32" s="706">
        <f t="shared" si="14"/>
        <v>104</v>
      </c>
      <c r="X32" s="1354"/>
      <c r="Y32" s="3733" t="s">
        <v>1696</v>
      </c>
      <c r="Z32" s="1355" t="str">
        <f t="shared" si="18"/>
        <v>建筑类型</v>
      </c>
      <c r="AA32" s="1352">
        <f t="shared" si="15"/>
        <v>1</v>
      </c>
      <c r="AB32" s="1352">
        <f t="shared" si="16"/>
        <v>1</v>
      </c>
      <c r="AC32" s="1352">
        <f t="shared" si="17"/>
        <v>0.96153846153846156</v>
      </c>
    </row>
    <row r="33" spans="1:29" s="422" customFormat="1" ht="15">
      <c r="A33" s="419"/>
      <c r="B33" s="375" t="s">
        <v>1697</v>
      </c>
      <c r="C33" s="420">
        <f>'数据-汇总表'!F19</f>
        <v>347.45</v>
      </c>
      <c r="D33" s="127">
        <v>100</v>
      </c>
      <c r="E33" s="381">
        <f>三部案例!E2</f>
        <v>283.14</v>
      </c>
      <c r="F33" s="376">
        <f>LOOKUP(E33,103:103,104:104)-LOOKUP(C33,103:103,104:104)+100</f>
        <v>100</v>
      </c>
      <c r="G33" s="380">
        <f>三部案例!E3</f>
        <v>64.400000000000006</v>
      </c>
      <c r="H33" s="127">
        <f>LOOKUP(G33,103:103,104:104)-LOOKUP(C33,103:103,104:104)+100</f>
        <v>108</v>
      </c>
      <c r="I33" s="381">
        <f>三部案例!E4</f>
        <v>220.4</v>
      </c>
      <c r="J33" s="127">
        <f>LOOKUP(I33,103:103,104:104)-LOOKUP(C33,103:103,104:104)+100</f>
        <v>100</v>
      </c>
      <c r="K33" s="1893"/>
      <c r="L33" s="2720"/>
      <c r="M33" s="2722"/>
      <c r="N33" s="2722"/>
      <c r="O33" s="2722"/>
      <c r="P33" s="3731"/>
      <c r="Q33" s="707" t="str">
        <f t="shared" si="11"/>
        <v>项目建筑规模</v>
      </c>
      <c r="R33" s="708" t="s">
        <v>18</v>
      </c>
      <c r="S33" s="709">
        <f t="shared" si="12"/>
        <v>100</v>
      </c>
      <c r="T33" s="708" t="s">
        <v>18</v>
      </c>
      <c r="U33" s="709">
        <f t="shared" si="13"/>
        <v>108</v>
      </c>
      <c r="V33" s="708" t="s">
        <v>18</v>
      </c>
      <c r="W33" s="709">
        <f t="shared" si="14"/>
        <v>100</v>
      </c>
      <c r="X33" s="710"/>
      <c r="Y33" s="3733"/>
      <c r="Z33" s="711" t="str">
        <f t="shared" si="18"/>
        <v>项目建筑规模</v>
      </c>
      <c r="AA33" s="1352">
        <f t="shared" si="15"/>
        <v>1</v>
      </c>
      <c r="AB33" s="1352">
        <f t="shared" si="16"/>
        <v>0.92592592592592593</v>
      </c>
      <c r="AC33" s="1352">
        <f t="shared" si="17"/>
        <v>1</v>
      </c>
    </row>
    <row r="34" spans="1:29" ht="15">
      <c r="A34" s="423"/>
      <c r="B34" s="375" t="s">
        <v>1698</v>
      </c>
      <c r="C34" s="1911" t="s">
        <v>3435</v>
      </c>
      <c r="D34" s="386">
        <v>100</v>
      </c>
      <c r="E34" s="1912" t="s">
        <v>3435</v>
      </c>
      <c r="F34" s="412">
        <f>SUMIF(105:105,E34,106:106)-SUMIF(105:105,C34,106:106)+100</f>
        <v>100</v>
      </c>
      <c r="G34" s="1911" t="s">
        <v>3436</v>
      </c>
      <c r="H34" s="386">
        <f>SUMIF(105:105,G34,106:106)-SUMIF(105:105,C34,106:106)+100</f>
        <v>100</v>
      </c>
      <c r="I34" s="1912" t="s">
        <v>3435</v>
      </c>
      <c r="J34" s="386">
        <f>SUMIF(105:105,I34,106:106)-SUMIF(105:105,C34,106:106)+100</f>
        <v>100</v>
      </c>
      <c r="K34" s="377"/>
      <c r="L34" s="2721"/>
      <c r="M34" s="2715"/>
      <c r="N34" s="2715"/>
      <c r="O34" s="2715"/>
      <c r="P34" s="3731"/>
      <c r="Q34" s="1351" t="str">
        <f t="shared" si="11"/>
        <v>建筑结构</v>
      </c>
      <c r="R34" s="705" t="s">
        <v>18</v>
      </c>
      <c r="S34" s="706">
        <f t="shared" si="12"/>
        <v>100</v>
      </c>
      <c r="T34" s="705" t="s">
        <v>18</v>
      </c>
      <c r="U34" s="706">
        <f t="shared" si="13"/>
        <v>100</v>
      </c>
      <c r="V34" s="705" t="s">
        <v>18</v>
      </c>
      <c r="W34" s="706">
        <f t="shared" si="14"/>
        <v>100</v>
      </c>
      <c r="X34" s="1354"/>
      <c r="Y34" s="3733"/>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31"/>
      <c r="Q35" s="1351" t="str">
        <f t="shared" si="11"/>
        <v>建筑品质</v>
      </c>
      <c r="R35" s="705" t="s">
        <v>18</v>
      </c>
      <c r="S35" s="706">
        <f t="shared" si="12"/>
        <v>100</v>
      </c>
      <c r="T35" s="705" t="s">
        <v>18</v>
      </c>
      <c r="U35" s="706">
        <f t="shared" si="13"/>
        <v>100</v>
      </c>
      <c r="V35" s="705" t="s">
        <v>18</v>
      </c>
      <c r="W35" s="706">
        <f t="shared" si="14"/>
        <v>100</v>
      </c>
      <c r="X35" s="1354"/>
      <c r="Y35" s="3733"/>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31"/>
      <c r="Q36" s="1351" t="str">
        <f t="shared" si="11"/>
        <v>公共部分装修</v>
      </c>
      <c r="R36" s="705" t="s">
        <v>18</v>
      </c>
      <c r="S36" s="706">
        <f t="shared" si="12"/>
        <v>100</v>
      </c>
      <c r="T36" s="705" t="s">
        <v>18</v>
      </c>
      <c r="U36" s="706">
        <f t="shared" si="13"/>
        <v>100</v>
      </c>
      <c r="V36" s="705" t="s">
        <v>18</v>
      </c>
      <c r="W36" s="706">
        <f t="shared" si="14"/>
        <v>100</v>
      </c>
      <c r="X36" s="1354"/>
      <c r="Y36" s="3733"/>
      <c r="Z36" s="1355" t="str">
        <f t="shared" si="18"/>
        <v>公共部分装修</v>
      </c>
      <c r="AA36" s="1352">
        <f t="shared" si="15"/>
        <v>1</v>
      </c>
      <c r="AB36" s="1352">
        <f t="shared" si="16"/>
        <v>1</v>
      </c>
      <c r="AC36" s="1352">
        <f t="shared" si="17"/>
        <v>1</v>
      </c>
    </row>
    <row r="37" spans="1:29" s="108" customFormat="1" ht="15">
      <c r="A37" s="424"/>
      <c r="B37" s="375" t="s">
        <v>1701</v>
      </c>
      <c r="C37" s="425">
        <f>'数据-取费表'!N6</f>
        <v>0.7</v>
      </c>
      <c r="D37" s="127">
        <v>100</v>
      </c>
      <c r="E37" s="425">
        <f>C37</f>
        <v>0.7</v>
      </c>
      <c r="F37" s="376">
        <f>LOOKUP(E37,112:112,113:113)-LOOKUP(C37,112:112,113:113)+100</f>
        <v>100</v>
      </c>
      <c r="G37" s="427">
        <f>C37</f>
        <v>0.7</v>
      </c>
      <c r="H37" s="127">
        <f>LOOKUP(G37,112:112,113:113)-LOOKUP(C37,112:112,113:113)+100</f>
        <v>100</v>
      </c>
      <c r="I37" s="426">
        <f>C37</f>
        <v>0.7</v>
      </c>
      <c r="J37" s="127">
        <f>LOOKUP(I37,112:112,113:113)-LOOKUP(C37,112:112,113:113)+100</f>
        <v>100</v>
      </c>
      <c r="K37" s="377"/>
      <c r="L37" s="2716"/>
      <c r="M37" s="2717"/>
      <c r="N37" s="2717"/>
      <c r="O37" s="2717"/>
      <c r="P37" s="3731"/>
      <c r="Q37" s="1342" t="str">
        <f t="shared" si="11"/>
        <v>成新度</v>
      </c>
      <c r="R37" s="701" t="s">
        <v>18</v>
      </c>
      <c r="S37" s="702">
        <f t="shared" si="12"/>
        <v>100</v>
      </c>
      <c r="T37" s="701" t="s">
        <v>18</v>
      </c>
      <c r="U37" s="702">
        <f t="shared" si="13"/>
        <v>100</v>
      </c>
      <c r="V37" s="701" t="s">
        <v>18</v>
      </c>
      <c r="W37" s="702">
        <f t="shared" si="14"/>
        <v>100</v>
      </c>
      <c r="X37" s="703"/>
      <c r="Y37" s="3733"/>
      <c r="Z37" s="52" t="str">
        <f t="shared" si="18"/>
        <v>成新度</v>
      </c>
      <c r="AA37" s="704">
        <f t="shared" si="15"/>
        <v>1</v>
      </c>
      <c r="AB37" s="704">
        <f t="shared" si="16"/>
        <v>1</v>
      </c>
      <c r="AC37" s="704">
        <f t="shared" si="17"/>
        <v>1</v>
      </c>
    </row>
    <row r="38" spans="1:29" ht="15">
      <c r="A38" s="423"/>
      <c r="B38" s="375" t="s">
        <v>1702</v>
      </c>
      <c r="C38" s="1905" t="s">
        <v>3444</v>
      </c>
      <c r="D38" s="386">
        <v>100</v>
      </c>
      <c r="E38" s="1905" t="s">
        <v>3444</v>
      </c>
      <c r="F38" s="412">
        <f>SUMIF(114:114,E38,115:115)-SUMIF(114:114,C38,115:115)+100</f>
        <v>100</v>
      </c>
      <c r="G38" s="1905" t="s">
        <v>3444</v>
      </c>
      <c r="H38" s="386">
        <f>SUMIF(114:114,G38,115:115)-SUMIF(114:114,C38,115:115)+100</f>
        <v>100</v>
      </c>
      <c r="I38" s="1905" t="s">
        <v>3444</v>
      </c>
      <c r="J38" s="386">
        <f>SUMIF(114:114,I38,115:115)-SUMIF(114:114,C38,115:115)+100</f>
        <v>100</v>
      </c>
      <c r="K38" s="377"/>
      <c r="L38" s="2721"/>
      <c r="M38" s="2715"/>
      <c r="N38" s="2715"/>
      <c r="O38" s="2715"/>
      <c r="P38" s="3731" t="s">
        <v>1696</v>
      </c>
      <c r="Q38" s="1351" t="str">
        <f t="shared" si="11"/>
        <v>物业管理</v>
      </c>
      <c r="R38" s="705" t="s">
        <v>18</v>
      </c>
      <c r="S38" s="706">
        <f t="shared" si="12"/>
        <v>100</v>
      </c>
      <c r="T38" s="705" t="s">
        <v>18</v>
      </c>
      <c r="U38" s="706">
        <f t="shared" si="13"/>
        <v>100</v>
      </c>
      <c r="V38" s="705" t="s">
        <v>18</v>
      </c>
      <c r="W38" s="706">
        <f t="shared" si="14"/>
        <v>100</v>
      </c>
      <c r="X38" s="1354"/>
      <c r="Y38" s="3733"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31"/>
      <c r="Q39" s="1351" t="str">
        <f t="shared" si="11"/>
        <v>市政基础设施</v>
      </c>
      <c r="R39" s="705" t="s">
        <v>18</v>
      </c>
      <c r="S39" s="706">
        <f t="shared" si="12"/>
        <v>100</v>
      </c>
      <c r="T39" s="705" t="s">
        <v>18</v>
      </c>
      <c r="U39" s="706">
        <f t="shared" si="13"/>
        <v>100</v>
      </c>
      <c r="V39" s="705" t="s">
        <v>18</v>
      </c>
      <c r="W39" s="706">
        <f t="shared" si="14"/>
        <v>100</v>
      </c>
      <c r="X39" s="1354"/>
      <c r="Y39" s="3733"/>
      <c r="Z39" s="1355" t="str">
        <f t="shared" si="18"/>
        <v>市政基础设施</v>
      </c>
      <c r="AA39" s="1352">
        <f t="shared" si="15"/>
        <v>1</v>
      </c>
      <c r="AB39" s="1352">
        <f t="shared" si="16"/>
        <v>1</v>
      </c>
      <c r="AC39" s="1352">
        <f t="shared" si="17"/>
        <v>1</v>
      </c>
    </row>
    <row r="40" spans="1:29" ht="15">
      <c r="A40" s="423"/>
      <c r="B40" s="375" t="s">
        <v>1704</v>
      </c>
      <c r="C40" s="1905" t="s">
        <v>3452</v>
      </c>
      <c r="D40" s="386">
        <v>100</v>
      </c>
      <c r="E40" s="1906" t="s">
        <v>3453</v>
      </c>
      <c r="F40" s="412">
        <f>SUMIF(118:118,E40,119:119)-SUMIF(118:118,C40,119:119)+100</f>
        <v>105</v>
      </c>
      <c r="G40" s="1905" t="s">
        <v>3453</v>
      </c>
      <c r="H40" s="386">
        <f>SUMIF(118:118,G40,119:119)-SUMIF(118:118,C40,119:119)+100</f>
        <v>105</v>
      </c>
      <c r="I40" s="1906" t="s">
        <v>3453</v>
      </c>
      <c r="J40" s="386">
        <f>SUMIF(118:118,I40,119:119)-SUMIF(118:118,C40,119:119)+100</f>
        <v>105</v>
      </c>
      <c r="K40" s="377">
        <v>-5</v>
      </c>
      <c r="L40" s="2721"/>
      <c r="M40" s="2715"/>
      <c r="N40" s="2715"/>
      <c r="O40" s="2715"/>
      <c r="P40" s="3731"/>
      <c r="Q40" s="1351" t="str">
        <f t="shared" si="11"/>
        <v>房型</v>
      </c>
      <c r="R40" s="705" t="s">
        <v>18</v>
      </c>
      <c r="S40" s="706">
        <f t="shared" si="12"/>
        <v>105</v>
      </c>
      <c r="T40" s="705" t="s">
        <v>18</v>
      </c>
      <c r="U40" s="706">
        <f t="shared" si="13"/>
        <v>105</v>
      </c>
      <c r="V40" s="705" t="s">
        <v>18</v>
      </c>
      <c r="W40" s="706">
        <f t="shared" si="14"/>
        <v>105</v>
      </c>
      <c r="X40" s="1354"/>
      <c r="Y40" s="3733"/>
      <c r="Z40" s="1355" t="str">
        <f t="shared" si="18"/>
        <v>房型</v>
      </c>
      <c r="AA40" s="1352">
        <f t="shared" si="15"/>
        <v>0.95238095238095233</v>
      </c>
      <c r="AB40" s="1352">
        <f t="shared" si="16"/>
        <v>0.95238095238095233</v>
      </c>
      <c r="AC40" s="1352">
        <f t="shared" si="17"/>
        <v>0.95238095238095233</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31"/>
      <c r="Q41" s="707" t="str">
        <f t="shared" si="11"/>
        <v>单套/主力户型建筑面积</v>
      </c>
      <c r="R41" s="708" t="s">
        <v>18</v>
      </c>
      <c r="S41" s="709">
        <f t="shared" si="12"/>
        <v>100</v>
      </c>
      <c r="T41" s="708" t="s">
        <v>18</v>
      </c>
      <c r="U41" s="709">
        <f t="shared" si="13"/>
        <v>100</v>
      </c>
      <c r="V41" s="708" t="s">
        <v>18</v>
      </c>
      <c r="W41" s="709">
        <f t="shared" si="14"/>
        <v>100</v>
      </c>
      <c r="X41" s="710"/>
      <c r="Y41" s="3733"/>
      <c r="Z41" s="711" t="str">
        <f t="shared" si="18"/>
        <v>单套/主力户型建筑面积</v>
      </c>
      <c r="AA41" s="1352">
        <f t="shared" si="15"/>
        <v>1</v>
      </c>
      <c r="AB41" s="1352">
        <f t="shared" si="16"/>
        <v>1</v>
      </c>
      <c r="AC41" s="1352">
        <f t="shared" si="17"/>
        <v>1</v>
      </c>
    </row>
    <row r="42" spans="1:29" ht="15">
      <c r="A42" s="423"/>
      <c r="B42" s="375" t="s">
        <v>1706</v>
      </c>
      <c r="C42" s="1905" t="s">
        <v>3439</v>
      </c>
      <c r="D42" s="386">
        <v>100</v>
      </c>
      <c r="E42" s="1906" t="s">
        <v>3439</v>
      </c>
      <c r="F42" s="412">
        <f>SUMIF(122:122,E42,123:123)-SUMIF(122:122,C42,123:123)+100</f>
        <v>100</v>
      </c>
      <c r="G42" s="1905" t="s">
        <v>3440</v>
      </c>
      <c r="H42" s="386">
        <f>SUMIF(122:122,G42,123:123)-SUMIF(122:122,C42,123:123)+100</f>
        <v>97</v>
      </c>
      <c r="I42" s="1906" t="s">
        <v>3440</v>
      </c>
      <c r="J42" s="386">
        <f>SUMIF(122:122,I42,123:123)-SUMIF(122:122,C42,123:123)+100</f>
        <v>97</v>
      </c>
      <c r="K42" s="377">
        <v>3</v>
      </c>
      <c r="L42" s="2721"/>
      <c r="M42" s="2715"/>
      <c r="N42" s="2715"/>
      <c r="O42" s="2715"/>
      <c r="P42" s="3731"/>
      <c r="Q42" s="1351" t="str">
        <f t="shared" si="11"/>
        <v>内部装修</v>
      </c>
      <c r="R42" s="705" t="s">
        <v>18</v>
      </c>
      <c r="S42" s="706">
        <f t="shared" si="12"/>
        <v>100</v>
      </c>
      <c r="T42" s="705" t="s">
        <v>18</v>
      </c>
      <c r="U42" s="706">
        <f t="shared" si="13"/>
        <v>97</v>
      </c>
      <c r="V42" s="705" t="s">
        <v>18</v>
      </c>
      <c r="W42" s="706">
        <f t="shared" si="14"/>
        <v>97</v>
      </c>
      <c r="X42" s="1354"/>
      <c r="Y42" s="3733"/>
      <c r="Z42" s="1355" t="str">
        <f t="shared" si="18"/>
        <v>内部装修</v>
      </c>
      <c r="AA42" s="1352">
        <f t="shared" si="15"/>
        <v>1</v>
      </c>
      <c r="AB42" s="1352">
        <f t="shared" si="16"/>
        <v>1.0309278350515463</v>
      </c>
      <c r="AC42" s="1352">
        <f t="shared" si="17"/>
        <v>1.0309278350515463</v>
      </c>
    </row>
    <row r="43" spans="1:29" ht="28.5">
      <c r="A43" s="423"/>
      <c r="B43" s="375" t="s">
        <v>1707</v>
      </c>
      <c r="C43" s="1905" t="s">
        <v>3414</v>
      </c>
      <c r="D43" s="386">
        <v>100</v>
      </c>
      <c r="E43" s="1905" t="s">
        <v>3483</v>
      </c>
      <c r="F43" s="412">
        <f>SUMIF(124:124,E43,125:125)-SUMIF(124:124,C43,125:125)+100</f>
        <v>100</v>
      </c>
      <c r="G43" s="1905" t="s">
        <v>3483</v>
      </c>
      <c r="H43" s="386">
        <f>SUMIF(124:124,G43,125:125)-SUMIF(124:124,C43,125:125)+100</f>
        <v>100</v>
      </c>
      <c r="I43" s="1906" t="s">
        <v>3483</v>
      </c>
      <c r="J43" s="386">
        <f>SUMIF(124:124,I43,125:125)-SUMIF(124:124,C43,125:125)+100</f>
        <v>100</v>
      </c>
      <c r="K43" s="377">
        <v>0</v>
      </c>
      <c r="L43" s="2721"/>
      <c r="M43" s="2715"/>
      <c r="N43" s="2715"/>
      <c r="O43" s="2715"/>
      <c r="P43" s="3731"/>
      <c r="Q43" s="1351" t="str">
        <f t="shared" si="11"/>
        <v>内部装修维护情况</v>
      </c>
      <c r="R43" s="705" t="s">
        <v>18</v>
      </c>
      <c r="S43" s="706">
        <f t="shared" si="12"/>
        <v>100</v>
      </c>
      <c r="T43" s="705" t="s">
        <v>18</v>
      </c>
      <c r="U43" s="706">
        <f t="shared" si="13"/>
        <v>100</v>
      </c>
      <c r="V43" s="705" t="s">
        <v>18</v>
      </c>
      <c r="W43" s="706">
        <f t="shared" si="14"/>
        <v>100</v>
      </c>
      <c r="X43" s="1354"/>
      <c r="Y43" s="3733"/>
      <c r="Z43" s="1355" t="str">
        <f t="shared" si="18"/>
        <v>内部装修维护情况</v>
      </c>
      <c r="AA43" s="1352">
        <f t="shared" si="15"/>
        <v>1</v>
      </c>
      <c r="AB43" s="1352">
        <f t="shared" si="16"/>
        <v>1</v>
      </c>
      <c r="AC43" s="1352">
        <f t="shared" si="17"/>
        <v>1</v>
      </c>
    </row>
    <row r="44" spans="1:29" s="108" customFormat="1" ht="15">
      <c r="A44" s="424"/>
      <c r="B44" s="3460" t="s">
        <v>3416</v>
      </c>
      <c r="C44" s="420">
        <v>1999</v>
      </c>
      <c r="D44" s="127">
        <v>100</v>
      </c>
      <c r="E44" s="420">
        <f>三部案例!L2</f>
        <v>2009</v>
      </c>
      <c r="F44" s="376">
        <f>SUMIF(126:126,E44,127:127)-SUMIF(126:126,C44,127:127)+100</f>
        <v>101</v>
      </c>
      <c r="G44" s="420">
        <f>三部案例!L3</f>
        <v>1990</v>
      </c>
      <c r="H44" s="127">
        <f>SUMIF(126:126,G44,127:127)-SUMIF(126:126,C44,127:127)+100</f>
        <v>99.1</v>
      </c>
      <c r="I44" s="420">
        <f>三部案例!L5</f>
        <v>1989</v>
      </c>
      <c r="J44" s="127">
        <f>SUMIF(126:126,I44,127:127)-SUMIF(126:126,C44,127:127)+100</f>
        <v>99</v>
      </c>
      <c r="K44" s="1893"/>
      <c r="L44" s="2716"/>
      <c r="M44" s="2717"/>
      <c r="N44" s="2717"/>
      <c r="O44" s="2717"/>
      <c r="P44" s="3731"/>
      <c r="Q44" s="1342" t="str">
        <f t="shared" si="11"/>
        <v>建成年份</v>
      </c>
      <c r="R44" s="701" t="s">
        <v>18</v>
      </c>
      <c r="S44" s="702">
        <f t="shared" si="12"/>
        <v>101</v>
      </c>
      <c r="T44" s="701" t="s">
        <v>18</v>
      </c>
      <c r="U44" s="702">
        <f t="shared" si="13"/>
        <v>99.1</v>
      </c>
      <c r="V44" s="701" t="s">
        <v>18</v>
      </c>
      <c r="W44" s="702">
        <f t="shared" si="14"/>
        <v>99</v>
      </c>
      <c r="X44" s="703"/>
      <c r="Y44" s="3733"/>
      <c r="Z44" s="52" t="str">
        <f t="shared" si="18"/>
        <v>建成年份</v>
      </c>
      <c r="AA44" s="704">
        <f t="shared" si="15"/>
        <v>0.99009900990099009</v>
      </c>
      <c r="AB44" s="704">
        <f t="shared" si="16"/>
        <v>1.0090817356205852</v>
      </c>
      <c r="AC44" s="704">
        <f t="shared" si="17"/>
        <v>1.0101010101010102</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31"/>
      <c r="Q45" s="1351">
        <f t="shared" si="11"/>
        <v>111</v>
      </c>
      <c r="R45" s="705" t="s">
        <v>18</v>
      </c>
      <c r="S45" s="706">
        <f t="shared" si="12"/>
        <v>100</v>
      </c>
      <c r="T45" s="705" t="s">
        <v>18</v>
      </c>
      <c r="U45" s="706">
        <f t="shared" si="13"/>
        <v>100</v>
      </c>
      <c r="V45" s="705" t="s">
        <v>18</v>
      </c>
      <c r="W45" s="706">
        <f t="shared" si="14"/>
        <v>100</v>
      </c>
      <c r="X45" s="1354"/>
      <c r="Y45" s="3733"/>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32"/>
      <c r="Q46" s="1351">
        <f t="shared" si="11"/>
        <v>111</v>
      </c>
      <c r="R46" s="705" t="s">
        <v>17</v>
      </c>
      <c r="S46" s="706">
        <f t="shared" si="12"/>
        <v>100</v>
      </c>
      <c r="T46" s="705" t="s">
        <v>17</v>
      </c>
      <c r="U46" s="706">
        <f t="shared" si="13"/>
        <v>100</v>
      </c>
      <c r="V46" s="705" t="s">
        <v>17</v>
      </c>
      <c r="W46" s="706">
        <f t="shared" si="14"/>
        <v>100</v>
      </c>
      <c r="X46" s="1354"/>
      <c r="Y46" s="3734"/>
      <c r="Z46" s="1355">
        <f t="shared" si="18"/>
        <v>111</v>
      </c>
      <c r="AA46" s="1352">
        <f t="shared" si="15"/>
        <v>1</v>
      </c>
      <c r="AB46" s="1352">
        <f t="shared" si="16"/>
        <v>1</v>
      </c>
      <c r="AC46" s="1352">
        <f t="shared" si="17"/>
        <v>1</v>
      </c>
    </row>
    <row r="47" spans="1:29" ht="15">
      <c r="A47" s="430" t="s">
        <v>1708</v>
      </c>
      <c r="B47" s="431"/>
      <c r="C47" s="1154" t="s">
        <v>16</v>
      </c>
      <c r="D47" s="1155"/>
      <c r="E47" s="1156">
        <f>三部案例!M2</f>
        <v>84764</v>
      </c>
      <c r="F47" s="1157"/>
      <c r="G47" s="1158">
        <f>三部案例!M3</f>
        <v>88665</v>
      </c>
      <c r="H47" s="1159"/>
      <c r="I47" s="1156">
        <f>三部案例!M5</f>
        <v>91068</v>
      </c>
      <c r="J47" s="1159"/>
      <c r="K47" s="1913"/>
      <c r="L47" s="2723"/>
      <c r="M47" s="2724"/>
      <c r="N47" s="2715"/>
      <c r="O47" s="2724"/>
      <c r="P47" s="3726" t="str">
        <f>A47</f>
        <v>成交单价（元/平方米）</v>
      </c>
      <c r="Q47" s="3726"/>
      <c r="R47" s="3727">
        <f>E47</f>
        <v>84764</v>
      </c>
      <c r="S47" s="3727"/>
      <c r="T47" s="3727">
        <f>G47</f>
        <v>88665</v>
      </c>
      <c r="U47" s="3727"/>
      <c r="V47" s="3727">
        <f>I47</f>
        <v>91068</v>
      </c>
      <c r="W47" s="3727"/>
      <c r="X47" s="690"/>
      <c r="Y47" s="712"/>
      <c r="Z47" s="690"/>
      <c r="AA47" s="690"/>
      <c r="AB47" s="690"/>
      <c r="AC47" s="690"/>
    </row>
    <row r="48" spans="1:29" ht="15.75" thickBot="1">
      <c r="A48" s="437" t="s">
        <v>1709</v>
      </c>
      <c r="B48" s="438"/>
      <c r="C48" s="1160">
        <f>R49</f>
        <v>86877</v>
      </c>
      <c r="D48" s="2316" t="s">
        <v>2138</v>
      </c>
      <c r="E48" s="1161">
        <f>R48</f>
        <v>82814</v>
      </c>
      <c r="F48" s="2317"/>
      <c r="G48" s="1160">
        <f>T48</f>
        <v>88289</v>
      </c>
      <c r="H48" s="2317"/>
      <c r="I48" s="1161">
        <f>V48</f>
        <v>89529</v>
      </c>
      <c r="J48" s="2317"/>
      <c r="K48" s="2318">
        <f>F48+H48+J48</f>
        <v>0</v>
      </c>
      <c r="L48" s="2723"/>
      <c r="M48" s="2724"/>
      <c r="N48" s="2724"/>
      <c r="O48" s="2724"/>
      <c r="P48" s="3726" t="str">
        <f>A48</f>
        <v>比较价值（元/平方米）</v>
      </c>
      <c r="Q48" s="3726"/>
      <c r="R48" s="3727">
        <f>IF(F1="售价",ROUND(PRODUCT(R47,AA7:AA46),0),ROUND(PRODUCT(R47,AA7:AA46),1))</f>
        <v>82814</v>
      </c>
      <c r="S48" s="3727"/>
      <c r="T48" s="3727">
        <f>IF(F1="售价",ROUND(PRODUCT(T47,AB7:AB46),0),ROUND(PRODUCT(T47,AB7:AB46),1))</f>
        <v>88289</v>
      </c>
      <c r="U48" s="3727"/>
      <c r="V48" s="3727">
        <f>IF(F1="售价",ROUND(PRODUCT(V47,AC7:AC46),0),ROUND(PRODUCT(V47,AC7:AC46),1))</f>
        <v>89529</v>
      </c>
      <c r="W48" s="3727"/>
      <c r="X48" s="690"/>
      <c r="Y48" s="690"/>
      <c r="Z48" s="690"/>
      <c r="AA48" s="690"/>
      <c r="AB48" s="690"/>
      <c r="AC48" s="690"/>
    </row>
    <row r="49" spans="1:29" ht="15.75" thickBot="1">
      <c r="A49" s="441" t="s">
        <v>1710</v>
      </c>
      <c r="B49" s="442"/>
      <c r="C49" s="1162">
        <f>R49</f>
        <v>86877</v>
      </c>
      <c r="D49" s="1163"/>
      <c r="E49" s="1163"/>
      <c r="F49" s="1163"/>
      <c r="G49" s="1163"/>
      <c r="H49" s="1163"/>
      <c r="I49" s="1163"/>
      <c r="J49" s="1163"/>
      <c r="K49" s="1914"/>
      <c r="L49" s="2723"/>
      <c r="M49" s="2724"/>
      <c r="N49" s="2724"/>
      <c r="O49" s="2724"/>
      <c r="P49" s="3723" t="str">
        <f>A49</f>
        <v>估价对象XX用房的比较价值（楼面单价，元/平方米）</v>
      </c>
      <c r="Q49" s="3724"/>
      <c r="R49" s="3725">
        <f>IF(F1="售价",ROUND(IF(D48="简单平均",AVERAGE(R48:V48),R48*F48+T48*H48+V48*J48),0),ROUND(IF(D48="简单平均",AVERAGE(R48:V48),R48*F48+T48*H48+V48*J48),1))</f>
        <v>86877</v>
      </c>
      <c r="S49" s="3725"/>
      <c r="T49" s="3725"/>
      <c r="U49" s="3725"/>
      <c r="V49" s="3725"/>
      <c r="W49" s="372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f>IF(E47&lt;E48,E48/E47-1,E47/E48-1)</f>
        <v>2.35467433042722E-2</v>
      </c>
      <c r="F52" s="449" t="str">
        <f>IF(OR(E52&gt;=0.3,E52&lt;=-0.3),"超过30%","")</f>
        <v/>
      </c>
      <c r="G52" s="448">
        <f>IF(G47&lt;G48,G48/G47-1,G47/G48-1)</f>
        <v>4.2587411795353969E-3</v>
      </c>
      <c r="H52" s="449" t="str">
        <f>IF(OR(G52&gt;=0.3,G52&lt;=-0.3),"超过30%","")</f>
        <v/>
      </c>
      <c r="I52" s="448">
        <f>IF(I47&lt;I48,I48/I47-1,I47/I48-1)</f>
        <v>1.7189960794826264E-2</v>
      </c>
      <c r="J52" s="449" t="str">
        <f>IF(OR(I52&gt;=0.3,I52&lt;=-0.3),"超过30%","")</f>
        <v/>
      </c>
      <c r="K52" s="2729"/>
      <c r="L52" s="2725"/>
      <c r="M52" s="2724"/>
      <c r="N52" s="2724"/>
      <c r="O52" s="2724"/>
    </row>
    <row r="53" spans="1:29" ht="13.5" customHeight="1">
      <c r="A53" s="2724"/>
      <c r="B53" s="2724"/>
      <c r="C53" s="446" t="s">
        <v>1712</v>
      </c>
      <c r="D53" s="450"/>
      <c r="E53" s="448">
        <f>IF(E48&lt;G48,G48/E48-1,E48/G48-1)</f>
        <v>6.6112010046610381E-2</v>
      </c>
      <c r="F53" s="449" t="str">
        <f>IF(OR(E53&gt;=0.2,E53&lt;=-0.2),"超过20%","")</f>
        <v/>
      </c>
      <c r="G53" s="448">
        <f>IF(G48&lt;I48,I48/G48-1,G48/I48-1)</f>
        <v>1.4044784741020999E-2</v>
      </c>
      <c r="H53" s="449" t="str">
        <f>IF(OR(G53&gt;=0.2,G53&lt;=-0.2),"超过20%","")</f>
        <v/>
      </c>
      <c r="I53" s="448">
        <f>IF(I48&lt;E48,E48/I48-1,I48/E48-1)</f>
        <v>8.1085323737532411E-2</v>
      </c>
      <c r="J53" s="449" t="str">
        <f>IF(OR(I53&gt;=0.2,I53&lt;=-0.2),"超过20%","")</f>
        <v/>
      </c>
      <c r="K53" s="2729"/>
      <c r="L53" s="2725"/>
      <c r="M53" s="2724"/>
      <c r="N53" s="2724"/>
      <c r="O53" s="2724"/>
    </row>
    <row r="54" spans="1:29" s="451" customFormat="1" ht="13.5" customHeight="1">
      <c r="A54" s="2727"/>
      <c r="B54" s="2727"/>
      <c r="C54" s="446" t="s">
        <v>1713</v>
      </c>
      <c r="D54" s="450"/>
      <c r="E54" s="448">
        <f>IF(E47&lt;G47,G47/E47-1,E47/G47-1)</f>
        <v>4.6021896087961922E-2</v>
      </c>
      <c r="F54" s="449" t="str">
        <f>IF(OR(E54&gt;=0.3,E54&lt;=-0.3),"超过30%","")</f>
        <v/>
      </c>
      <c r="G54" s="448">
        <f>IF(G47&lt;I47,I47/G47-1,G47/I47-1)</f>
        <v>2.7102013195736685E-2</v>
      </c>
      <c r="H54" s="449" t="str">
        <f>IF(OR(G54&gt;=0.3,G54&lt;=-0.3),"超过30%","")</f>
        <v/>
      </c>
      <c r="I54" s="448">
        <f>IF(I47&lt;E47,E47/I47-1,I47/E47-1)</f>
        <v>7.4371195318767347E-2</v>
      </c>
      <c r="J54" s="449" t="str">
        <f>IF(OR(I54&gt;=0.3,I54&lt;=-0.3),"超过30%","")</f>
        <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2023-11</v>
      </c>
      <c r="D58" s="1184">
        <f>EDATE(C58,-1)</f>
        <v>45200</v>
      </c>
      <c r="E58" s="1184">
        <f>EDATE(D58,-1)</f>
        <v>45170</v>
      </c>
      <c r="F58" s="1184">
        <f t="shared" ref="F58:O58" si="19">EDATE(E58,-1)</f>
        <v>45139</v>
      </c>
      <c r="G58" s="1184">
        <f t="shared" si="19"/>
        <v>45108</v>
      </c>
      <c r="H58" s="1184">
        <f t="shared" si="19"/>
        <v>45078</v>
      </c>
      <c r="I58" s="1184">
        <f t="shared" si="19"/>
        <v>45047</v>
      </c>
      <c r="J58" s="1184">
        <f t="shared" si="19"/>
        <v>45017</v>
      </c>
      <c r="K58" s="1184">
        <f t="shared" si="19"/>
        <v>44986</v>
      </c>
      <c r="L58" s="1184">
        <f t="shared" si="19"/>
        <v>44958</v>
      </c>
      <c r="M58" s="1184">
        <f t="shared" si="19"/>
        <v>44927</v>
      </c>
      <c r="N58" s="1184">
        <f t="shared" si="19"/>
        <v>44896</v>
      </c>
      <c r="O58" s="1184">
        <f t="shared" si="19"/>
        <v>44866</v>
      </c>
      <c r="P58" s="3503">
        <f t="shared" ref="P58" si="20">EDATE(O58,-1)</f>
        <v>44835</v>
      </c>
      <c r="Q58" s="3503">
        <f t="shared" ref="Q58" si="21">EDATE(P58,-1)</f>
        <v>44805</v>
      </c>
      <c r="R58" s="3503">
        <f t="shared" ref="R58" si="22">EDATE(Q58,-1)</f>
        <v>44774</v>
      </c>
      <c r="S58" s="3503">
        <f t="shared" ref="S58" si="23">EDATE(R58,-1)</f>
        <v>44743</v>
      </c>
      <c r="T58" s="3503">
        <f t="shared" ref="T58" si="24">EDATE(S58,-1)</f>
        <v>44713</v>
      </c>
      <c r="U58" s="3503">
        <f t="shared" ref="U58" si="25">EDATE(T58,-1)</f>
        <v>44682</v>
      </c>
      <c r="V58" s="3503">
        <f t="shared" ref="V58" si="26">EDATE(U58,-1)</f>
        <v>44652</v>
      </c>
      <c r="W58" s="3503">
        <f t="shared" ref="W58" si="27">EDATE(V58,-1)</f>
        <v>44621</v>
      </c>
      <c r="X58" s="3503">
        <f t="shared" ref="X58" si="28">EDATE(W58,-1)</f>
        <v>44593</v>
      </c>
      <c r="Y58" s="3503">
        <f t="shared" ref="Y58" si="29">EDATE(X58,-1)</f>
        <v>44562</v>
      </c>
    </row>
    <row r="59" spans="1:29" s="108" customFormat="1" ht="15">
      <c r="A59" s="458"/>
      <c r="B59" s="1918"/>
      <c r="C59" s="1182">
        <v>100</v>
      </c>
      <c r="D59" s="460">
        <v>100</v>
      </c>
      <c r="E59" s="1182">
        <v>100</v>
      </c>
      <c r="F59" s="460">
        <v>100</v>
      </c>
      <c r="G59" s="1182">
        <v>100</v>
      </c>
      <c r="H59" s="460">
        <v>100</v>
      </c>
      <c r="I59" s="1182">
        <v>100</v>
      </c>
      <c r="J59" s="460">
        <v>100</v>
      </c>
      <c r="K59" s="1182">
        <v>100</v>
      </c>
      <c r="L59" s="460">
        <v>100</v>
      </c>
      <c r="M59" s="1182">
        <v>100</v>
      </c>
      <c r="N59" s="461">
        <v>99.5</v>
      </c>
      <c r="O59" s="461">
        <v>99.5</v>
      </c>
      <c r="P59" s="461">
        <v>99.5</v>
      </c>
      <c r="Q59" s="461">
        <v>99.5</v>
      </c>
      <c r="R59" s="461">
        <v>99.5</v>
      </c>
      <c r="S59" s="461">
        <v>99.5</v>
      </c>
      <c r="T59" s="461">
        <v>99.5</v>
      </c>
      <c r="U59" s="461">
        <v>99.5</v>
      </c>
      <c r="V59" s="461">
        <v>99.5</v>
      </c>
      <c r="W59" s="461">
        <v>99.5</v>
      </c>
      <c r="X59" s="461">
        <v>99.5</v>
      </c>
      <c r="Y59" s="461">
        <v>99.5</v>
      </c>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t="str">
        <f>C9</f>
        <v>住宅</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0（含）-1</v>
      </c>
      <c r="D67" s="496" t="str">
        <f t="shared" ref="D67:L67" si="30">D68&amp;"（含）"&amp;"-"&amp;E68</f>
        <v>1（含）-2</v>
      </c>
      <c r="E67" s="496" t="str">
        <f t="shared" si="30"/>
        <v>2（含）-</v>
      </c>
      <c r="F67" s="496" t="str">
        <f t="shared" si="30"/>
        <v>（含）-</v>
      </c>
      <c r="G67" s="496" t="str">
        <f t="shared" si="30"/>
        <v>（含）-</v>
      </c>
      <c r="H67" s="496" t="str">
        <f t="shared" si="30"/>
        <v>（含）-</v>
      </c>
      <c r="I67" s="496" t="str">
        <f t="shared" si="30"/>
        <v>（含）-</v>
      </c>
      <c r="J67" s="496" t="str">
        <f t="shared" si="30"/>
        <v>（含）-</v>
      </c>
      <c r="K67" s="496" t="str">
        <f>K68&amp;"（含）"&amp;"-"&amp;L68</f>
        <v>（含）-</v>
      </c>
      <c r="L67" s="496" t="str">
        <f t="shared" si="30"/>
        <v>（含）-</v>
      </c>
      <c r="M67" s="399" t="str">
        <f>M68&amp;"（含）"&amp;"-"&amp;P68</f>
        <v>（含）-</v>
      </c>
      <c r="N67" s="934"/>
      <c r="O67" s="934"/>
      <c r="P67" s="1921"/>
      <c r="Q67" s="453"/>
    </row>
    <row r="68" spans="1:17" ht="15">
      <c r="A68" s="483"/>
      <c r="B68" s="497"/>
      <c r="C68" s="498">
        <v>0</v>
      </c>
      <c r="D68" s="498">
        <v>1</v>
      </c>
      <c r="E68" s="498">
        <v>2</v>
      </c>
      <c r="F68" s="498"/>
      <c r="G68" s="498"/>
      <c r="H68" s="498"/>
      <c r="I68" s="498"/>
      <c r="J68" s="498"/>
      <c r="K68" s="499"/>
      <c r="L68" s="500"/>
      <c r="M68" s="501"/>
      <c r="N68" s="933"/>
      <c r="O68" s="933"/>
      <c r="P68" s="1921"/>
      <c r="Q68" s="453"/>
    </row>
    <row r="69" spans="1:17" ht="15.75" thickBot="1">
      <c r="A69" s="483"/>
      <c r="B69" s="484"/>
      <c r="C69" s="493">
        <v>100</v>
      </c>
      <c r="D69" s="493">
        <f t="shared" ref="D69:M69" si="31">C69-$K11</f>
        <v>99</v>
      </c>
      <c r="E69" s="493">
        <f t="shared" si="31"/>
        <v>98</v>
      </c>
      <c r="F69" s="493">
        <f t="shared" si="31"/>
        <v>97</v>
      </c>
      <c r="G69" s="493">
        <f t="shared" si="31"/>
        <v>96</v>
      </c>
      <c r="H69" s="493">
        <f t="shared" si="31"/>
        <v>95</v>
      </c>
      <c r="I69" s="493">
        <f t="shared" si="31"/>
        <v>94</v>
      </c>
      <c r="J69" s="493">
        <f t="shared" si="31"/>
        <v>93</v>
      </c>
      <c r="K69" s="493">
        <f t="shared" si="31"/>
        <v>92</v>
      </c>
      <c r="L69" s="493">
        <f t="shared" si="31"/>
        <v>91</v>
      </c>
      <c r="M69" s="494">
        <f t="shared" si="31"/>
        <v>90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99</v>
      </c>
      <c r="E83" s="608">
        <f t="shared" ref="E83:G83" si="32">D83-$K21</f>
        <v>98</v>
      </c>
      <c r="F83" s="608">
        <f t="shared" si="32"/>
        <v>97</v>
      </c>
      <c r="G83" s="608">
        <f t="shared" si="32"/>
        <v>96</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33">$C$87-($C$86-D86)*$K$25</f>
        <v>100</v>
      </c>
      <c r="E87" s="493">
        <f t="shared" si="33"/>
        <v>100</v>
      </c>
      <c r="F87" s="493">
        <f t="shared" si="33"/>
        <v>100</v>
      </c>
      <c r="G87" s="493">
        <f t="shared" si="33"/>
        <v>100</v>
      </c>
      <c r="H87" s="493">
        <f t="shared" si="33"/>
        <v>100</v>
      </c>
      <c r="I87" s="493">
        <f t="shared" si="33"/>
        <v>100</v>
      </c>
      <c r="J87" s="493">
        <f t="shared" si="33"/>
        <v>100</v>
      </c>
      <c r="K87" s="493">
        <f t="shared" si="33"/>
        <v>100</v>
      </c>
      <c r="L87" s="493">
        <f t="shared" si="33"/>
        <v>100</v>
      </c>
      <c r="M87" s="493">
        <f t="shared" si="33"/>
        <v>100</v>
      </c>
      <c r="N87" s="934"/>
      <c r="O87" s="934"/>
      <c r="P87" s="1921"/>
      <c r="Q87" s="453"/>
    </row>
    <row r="88" spans="1:17" s="108" customFormat="1" ht="15.75" thickTop="1">
      <c r="A88" s="528"/>
      <c r="B88" s="487" t="s">
        <v>1735</v>
      </c>
      <c r="C88" s="3461" t="s">
        <v>3408</v>
      </c>
      <c r="D88" s="3462" t="s">
        <v>3407</v>
      </c>
      <c r="E88" s="3462" t="s">
        <v>3417</v>
      </c>
      <c r="F88" s="3462" t="s">
        <v>3418</v>
      </c>
      <c r="G88" s="3462" t="s">
        <v>3419</v>
      </c>
      <c r="H88" s="3462" t="s">
        <v>3411</v>
      </c>
      <c r="I88" s="3463" t="s">
        <v>3420</v>
      </c>
      <c r="J88" s="3463" t="s">
        <v>3421</v>
      </c>
      <c r="K88" s="3462" t="s">
        <v>3422</v>
      </c>
      <c r="L88" s="3462" t="s">
        <v>3409</v>
      </c>
      <c r="M88" s="530"/>
      <c r="N88" s="932"/>
      <c r="O88" s="932"/>
      <c r="P88" s="1921"/>
      <c r="Q88" s="453"/>
    </row>
    <row r="89" spans="1:17" s="108" customFormat="1" ht="15.75" thickBot="1">
      <c r="A89" s="528"/>
      <c r="B89" s="492"/>
      <c r="C89" s="531">
        <v>100</v>
      </c>
      <c r="D89" s="493">
        <f t="shared" ref="D89:M89" si="34">C89-$K26</f>
        <v>98.5</v>
      </c>
      <c r="E89" s="493">
        <f t="shared" si="34"/>
        <v>97</v>
      </c>
      <c r="F89" s="493">
        <f t="shared" si="34"/>
        <v>95.5</v>
      </c>
      <c r="G89" s="493">
        <f t="shared" si="34"/>
        <v>94</v>
      </c>
      <c r="H89" s="493">
        <f t="shared" si="34"/>
        <v>92.5</v>
      </c>
      <c r="I89" s="493">
        <f t="shared" si="34"/>
        <v>91</v>
      </c>
      <c r="J89" s="493">
        <f t="shared" si="34"/>
        <v>89.5</v>
      </c>
      <c r="K89" s="493">
        <f t="shared" si="34"/>
        <v>88</v>
      </c>
      <c r="L89" s="493">
        <f t="shared" si="34"/>
        <v>86.5</v>
      </c>
      <c r="M89" s="493">
        <f t="shared" si="34"/>
        <v>85</v>
      </c>
      <c r="N89" s="934"/>
      <c r="O89" s="934"/>
      <c r="P89" s="1921"/>
      <c r="Q89" s="453"/>
    </row>
    <row r="90" spans="1:17" s="422" customFormat="1" ht="15.75" thickTop="1">
      <c r="A90" s="502"/>
      <c r="B90" s="487" t="str">
        <f>B27</f>
        <v>道路级别</v>
      </c>
      <c r="C90" s="3464" t="s">
        <v>3423</v>
      </c>
      <c r="D90" s="3464" t="s">
        <v>3424</v>
      </c>
      <c r="E90" s="3464" t="s">
        <v>3425</v>
      </c>
      <c r="F90" s="3464" t="s">
        <v>3426</v>
      </c>
      <c r="G90" s="3464" t="s">
        <v>3427</v>
      </c>
      <c r="H90" s="504"/>
      <c r="I90" s="504"/>
      <c r="J90" s="504"/>
      <c r="K90" s="504"/>
      <c r="L90" s="505"/>
      <c r="M90" s="506"/>
      <c r="N90" s="935"/>
      <c r="O90" s="935"/>
      <c r="P90" s="1922"/>
      <c r="Q90" s="508"/>
    </row>
    <row r="91" spans="1:17" s="422" customFormat="1" ht="15.75" thickBot="1">
      <c r="A91" s="502"/>
      <c r="B91" s="492"/>
      <c r="C91" s="3465">
        <v>100</v>
      </c>
      <c r="D91" s="3465">
        <v>98</v>
      </c>
      <c r="E91" s="3465">
        <v>96</v>
      </c>
      <c r="F91" s="3465">
        <v>94</v>
      </c>
      <c r="G91" s="3465">
        <v>92</v>
      </c>
      <c r="H91" s="511"/>
      <c r="I91" s="511"/>
      <c r="J91" s="511"/>
      <c r="K91" s="511"/>
      <c r="L91" s="511"/>
      <c r="M91" s="512"/>
      <c r="N91" s="935"/>
      <c r="O91" s="935"/>
      <c r="P91" s="1922"/>
      <c r="Q91" s="508"/>
    </row>
    <row r="92" spans="1:17" ht="29.25" thickTop="1">
      <c r="A92" s="483"/>
      <c r="B92" s="487" t="str">
        <f>B28</f>
        <v>楼层</v>
      </c>
      <c r="C92" s="385" t="str">
        <f>C28</f>
        <v>15/17（高楼层）</v>
      </c>
      <c r="D92" s="385" t="str">
        <f>E28</f>
        <v>8/17（中楼层）</v>
      </c>
      <c r="E92" s="1907" t="str">
        <f>G28</f>
        <v>2/18（低楼层）</v>
      </c>
      <c r="F92" s="385" t="str">
        <f>I28</f>
        <v>3/6（中楼层）</v>
      </c>
      <c r="G92" s="532"/>
      <c r="H92" s="532"/>
      <c r="I92" s="532"/>
      <c r="J92" s="532"/>
      <c r="K92" s="533"/>
      <c r="L92" s="534"/>
      <c r="M92" s="535"/>
      <c r="N92" s="933"/>
      <c r="O92" s="933"/>
      <c r="P92" s="1921"/>
      <c r="Q92" s="453"/>
    </row>
    <row r="93" spans="1:17" ht="15.75" thickBot="1">
      <c r="A93" s="483"/>
      <c r="B93" s="492"/>
      <c r="C93" s="509">
        <v>100</v>
      </c>
      <c r="D93" s="485">
        <v>97</v>
      </c>
      <c r="E93" s="485">
        <v>94</v>
      </c>
      <c r="F93" s="485">
        <v>97</v>
      </c>
      <c r="G93" s="485"/>
      <c r="H93" s="485"/>
      <c r="I93" s="485"/>
      <c r="J93" s="485"/>
      <c r="K93" s="485"/>
      <c r="L93" s="485"/>
      <c r="M93" s="486"/>
      <c r="N93" s="934"/>
      <c r="O93" s="934"/>
      <c r="P93" s="1921"/>
      <c r="Q93" s="453"/>
    </row>
    <row r="94" spans="1:17" ht="15.75" thickTop="1">
      <c r="A94" s="483"/>
      <c r="B94" s="487" t="str">
        <f>B29</f>
        <v>采光</v>
      </c>
      <c r="C94" s="3501" t="s">
        <v>3485</v>
      </c>
      <c r="D94" s="3501" t="s">
        <v>3486</v>
      </c>
      <c r="E94" s="3501" t="s">
        <v>3484</v>
      </c>
      <c r="F94" s="3501" t="s">
        <v>3482</v>
      </c>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3466" t="s">
        <v>3429</v>
      </c>
      <c r="D100" s="3502" t="s">
        <v>3487</v>
      </c>
      <c r="E100" s="3467" t="s">
        <v>3430</v>
      </c>
      <c r="F100" s="3468" t="s">
        <v>3431</v>
      </c>
      <c r="G100" s="3469" t="s">
        <v>3432</v>
      </c>
      <c r="H100" s="3469" t="s">
        <v>3433</v>
      </c>
      <c r="I100" s="479"/>
      <c r="J100" s="479"/>
      <c r="K100" s="480"/>
      <c r="L100" s="481"/>
      <c r="M100" s="482"/>
      <c r="N100" s="933"/>
      <c r="O100" s="933"/>
      <c r="P100" s="1921"/>
      <c r="Q100" s="453"/>
    </row>
    <row r="101" spans="1:17" ht="15.75" thickBot="1">
      <c r="A101" s="483"/>
      <c r="B101" s="492"/>
      <c r="C101" s="493">
        <v>100</v>
      </c>
      <c r="D101" s="493">
        <f t="shared" ref="D101:M101" si="35">C101-$K32</f>
        <v>98</v>
      </c>
      <c r="E101" s="493">
        <f t="shared" si="35"/>
        <v>96</v>
      </c>
      <c r="F101" s="493">
        <f t="shared" si="35"/>
        <v>94</v>
      </c>
      <c r="G101" s="493">
        <f t="shared" si="35"/>
        <v>92</v>
      </c>
      <c r="H101" s="493">
        <f t="shared" si="35"/>
        <v>90</v>
      </c>
      <c r="I101" s="493">
        <f t="shared" si="35"/>
        <v>88</v>
      </c>
      <c r="J101" s="493">
        <f t="shared" si="35"/>
        <v>86</v>
      </c>
      <c r="K101" s="493">
        <f t="shared" si="35"/>
        <v>84</v>
      </c>
      <c r="L101" s="493">
        <f t="shared" si="35"/>
        <v>82</v>
      </c>
      <c r="M101" s="493">
        <f t="shared" si="35"/>
        <v>80</v>
      </c>
      <c r="N101" s="934"/>
      <c r="O101" s="934"/>
      <c r="P101" s="1921"/>
      <c r="Q101" s="453"/>
    </row>
    <row r="102" spans="1:17" ht="15.75" thickTop="1">
      <c r="A102" s="483"/>
      <c r="B102" s="487" t="s">
        <v>1737</v>
      </c>
      <c r="C102" s="527" t="e">
        <f>C103&amp;"(含)"&amp;"-"&amp;#REF!</f>
        <v>#REF!</v>
      </c>
      <c r="D102" s="527" t="e">
        <f>#REF!&amp;"(含)"&amp;"-"&amp;D103</f>
        <v>#REF!</v>
      </c>
      <c r="E102" s="527" t="str">
        <f>D103&amp;"(含)"&amp;"-"&amp;E103</f>
        <v>60(含)-90</v>
      </c>
      <c r="F102" s="527" t="str">
        <f>E103&amp;"(含)"&amp;"-"&amp;F103</f>
        <v>90(含)-110</v>
      </c>
      <c r="G102" s="527" t="str">
        <f>F103&amp;"(含)"&amp;"-"&amp;G103</f>
        <v>110(含)-130</v>
      </c>
      <c r="H102" s="527" t="str">
        <f>G103&amp;"(含)"&amp;"-"&amp;H103</f>
        <v>130(含)-150</v>
      </c>
      <c r="I102" s="527" t="str">
        <f>H103&amp;"(含)"&amp;"-"&amp;J103</f>
        <v>150(含)-</v>
      </c>
      <c r="J102" s="527" t="str">
        <f t="shared" ref="J102:L102" si="36">J103&amp;"(含)"&amp;"-"&amp;K103</f>
        <v>(含)-</v>
      </c>
      <c r="K102" s="527" t="str">
        <f>K103&amp;"(含)"&amp;"-"&amp;L103</f>
        <v>(含)-</v>
      </c>
      <c r="L102" s="527" t="str">
        <f t="shared" si="36"/>
        <v>(含)-</v>
      </c>
      <c r="M102" s="527" t="str">
        <f>M103&amp;"(含)"&amp;"-"&amp;P103</f>
        <v>(含)-</v>
      </c>
      <c r="N102" s="932"/>
      <c r="O102" s="932"/>
      <c r="P102" s="1921"/>
      <c r="Q102" s="453"/>
    </row>
    <row r="103" spans="1:17" s="422" customFormat="1">
      <c r="A103" s="542"/>
      <c r="B103" s="543"/>
      <c r="C103" s="6">
        <v>0</v>
      </c>
      <c r="D103" s="6">
        <v>60</v>
      </c>
      <c r="E103" s="6">
        <v>90</v>
      </c>
      <c r="F103" s="6">
        <v>110</v>
      </c>
      <c r="G103" s="6">
        <v>130</v>
      </c>
      <c r="H103" s="6">
        <v>150</v>
      </c>
      <c r="J103" s="545"/>
      <c r="K103" s="545"/>
      <c r="L103" s="546"/>
      <c r="M103" s="547"/>
      <c r="N103" s="935"/>
      <c r="O103" s="935"/>
      <c r="P103" s="1922"/>
      <c r="Q103" s="508"/>
    </row>
    <row r="104" spans="1:17" s="422" customFormat="1" ht="15.75" thickBot="1">
      <c r="A104" s="502"/>
      <c r="B104" s="492"/>
      <c r="C104" s="3465">
        <v>100</v>
      </c>
      <c r="D104" s="3470">
        <v>98</v>
      </c>
      <c r="E104" s="3470">
        <v>96</v>
      </c>
      <c r="F104" s="3470">
        <v>94</v>
      </c>
      <c r="G104" s="3470">
        <v>92</v>
      </c>
      <c r="H104" s="3470">
        <v>90</v>
      </c>
      <c r="J104" s="485"/>
      <c r="K104" s="485"/>
      <c r="L104" s="485"/>
      <c r="M104" s="485"/>
      <c r="N104" s="934"/>
      <c r="O104" s="934"/>
      <c r="P104" s="1922"/>
      <c r="Q104" s="508"/>
    </row>
    <row r="105" spans="1:17" ht="15" thickTop="1">
      <c r="A105" s="548"/>
      <c r="B105" s="487" t="s">
        <v>1738</v>
      </c>
      <c r="C105" s="3464" t="s">
        <v>3434</v>
      </c>
      <c r="D105" s="3464" t="s">
        <v>3435</v>
      </c>
      <c r="E105" s="3471" t="s">
        <v>3436</v>
      </c>
      <c r="F105" s="3471" t="s">
        <v>3437</v>
      </c>
      <c r="G105" s="3462" t="s">
        <v>3438</v>
      </c>
      <c r="H105" s="532"/>
      <c r="I105" s="532"/>
      <c r="J105" s="532"/>
      <c r="K105" s="533"/>
      <c r="L105" s="534"/>
      <c r="M105" s="535"/>
      <c r="N105" s="933"/>
      <c r="O105" s="933"/>
      <c r="P105" s="1921"/>
      <c r="Q105" s="453"/>
    </row>
    <row r="106" spans="1:17" ht="15.75" thickBot="1">
      <c r="A106" s="483"/>
      <c r="B106" s="492"/>
      <c r="C106" s="493">
        <v>100</v>
      </c>
      <c r="D106" s="493">
        <f t="shared" ref="D106:M106" si="37">C106-$K34</f>
        <v>100</v>
      </c>
      <c r="E106" s="493">
        <f t="shared" si="37"/>
        <v>100</v>
      </c>
      <c r="F106" s="493">
        <f t="shared" si="37"/>
        <v>100</v>
      </c>
      <c r="G106" s="493">
        <f t="shared" si="37"/>
        <v>100</v>
      </c>
      <c r="H106" s="493">
        <f t="shared" si="37"/>
        <v>100</v>
      </c>
      <c r="I106" s="493">
        <f t="shared" si="37"/>
        <v>100</v>
      </c>
      <c r="J106" s="493">
        <f t="shared" si="37"/>
        <v>100</v>
      </c>
      <c r="K106" s="493">
        <f t="shared" si="37"/>
        <v>100</v>
      </c>
      <c r="L106" s="493">
        <f t="shared" si="37"/>
        <v>100</v>
      </c>
      <c r="M106" s="493">
        <f t="shared" si="37"/>
        <v>100</v>
      </c>
      <c r="N106" s="934"/>
      <c r="O106" s="934"/>
      <c r="P106" s="1921"/>
      <c r="Q106" s="453"/>
    </row>
    <row r="107" spans="1:17" ht="15" thickTop="1">
      <c r="A107" s="548"/>
      <c r="B107" s="487" t="s">
        <v>1739</v>
      </c>
      <c r="C107" s="3472" t="s">
        <v>3443</v>
      </c>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38">C108-$K35</f>
        <v>100</v>
      </c>
      <c r="E108" s="493">
        <f t="shared" si="38"/>
        <v>100</v>
      </c>
      <c r="F108" s="493">
        <f t="shared" si="38"/>
        <v>100</v>
      </c>
      <c r="G108" s="493">
        <f t="shared" si="38"/>
        <v>100</v>
      </c>
      <c r="H108" s="493">
        <f t="shared" si="38"/>
        <v>100</v>
      </c>
      <c r="I108" s="493">
        <f t="shared" si="38"/>
        <v>100</v>
      </c>
      <c r="J108" s="493">
        <f t="shared" si="38"/>
        <v>100</v>
      </c>
      <c r="K108" s="493">
        <f t="shared" si="38"/>
        <v>100</v>
      </c>
      <c r="L108" s="493">
        <f t="shared" si="38"/>
        <v>100</v>
      </c>
      <c r="M108" s="493">
        <f t="shared" si="38"/>
        <v>100</v>
      </c>
      <c r="N108" s="934"/>
      <c r="O108" s="934"/>
      <c r="P108" s="1921"/>
      <c r="Q108" s="453"/>
    </row>
    <row r="109" spans="1:17" ht="15" thickTop="1">
      <c r="A109" s="548"/>
      <c r="B109" s="487" t="s">
        <v>1740</v>
      </c>
      <c r="C109" s="3464" t="s">
        <v>3439</v>
      </c>
      <c r="D109" s="3464" t="s">
        <v>3440</v>
      </c>
      <c r="E109" s="3464" t="s">
        <v>3441</v>
      </c>
      <c r="F109" s="3471" t="s">
        <v>3442</v>
      </c>
      <c r="G109" s="532"/>
      <c r="H109" s="532"/>
      <c r="I109" s="532"/>
      <c r="J109" s="532"/>
      <c r="K109" s="533"/>
      <c r="L109" s="534"/>
      <c r="M109" s="535"/>
      <c r="N109" s="933"/>
      <c r="O109" s="933"/>
      <c r="P109" s="1921"/>
      <c r="Q109" s="453"/>
    </row>
    <row r="110" spans="1:17" ht="15.75" thickBot="1">
      <c r="A110" s="483"/>
      <c r="B110" s="492"/>
      <c r="C110" s="493">
        <v>100</v>
      </c>
      <c r="D110" s="493">
        <f t="shared" ref="D110:M110" si="39">C110-$K36</f>
        <v>100</v>
      </c>
      <c r="E110" s="493">
        <f t="shared" si="39"/>
        <v>100</v>
      </c>
      <c r="F110" s="493">
        <f t="shared" si="39"/>
        <v>100</v>
      </c>
      <c r="G110" s="493">
        <f t="shared" si="39"/>
        <v>100</v>
      </c>
      <c r="H110" s="493">
        <f t="shared" si="39"/>
        <v>100</v>
      </c>
      <c r="I110" s="493">
        <f t="shared" si="39"/>
        <v>100</v>
      </c>
      <c r="J110" s="493">
        <f t="shared" si="39"/>
        <v>100</v>
      </c>
      <c r="K110" s="493">
        <f t="shared" si="39"/>
        <v>100</v>
      </c>
      <c r="L110" s="493">
        <f t="shared" si="39"/>
        <v>100</v>
      </c>
      <c r="M110" s="493">
        <f t="shared" si="3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3464" t="s">
        <v>3444</v>
      </c>
      <c r="D114" s="3464" t="s">
        <v>3445</v>
      </c>
      <c r="E114" s="3462" t="s">
        <v>3446</v>
      </c>
      <c r="F114" s="3462" t="s">
        <v>3447</v>
      </c>
      <c r="G114" s="532"/>
      <c r="H114" s="532"/>
      <c r="I114" s="532"/>
      <c r="J114" s="532"/>
      <c r="K114" s="533"/>
      <c r="L114" s="534"/>
      <c r="M114" s="535"/>
      <c r="N114" s="933"/>
      <c r="O114" s="933"/>
      <c r="P114" s="1921"/>
      <c r="Q114" s="453"/>
    </row>
    <row r="115" spans="1:17" ht="15.75" thickBot="1">
      <c r="A115" s="483"/>
      <c r="B115" s="492"/>
      <c r="C115" s="493">
        <v>100</v>
      </c>
      <c r="D115" s="493">
        <f t="shared" ref="D115:M115" si="40">C115-$K38</f>
        <v>100</v>
      </c>
      <c r="E115" s="493">
        <f t="shared" si="40"/>
        <v>100</v>
      </c>
      <c r="F115" s="493">
        <f t="shared" si="40"/>
        <v>100</v>
      </c>
      <c r="G115" s="493">
        <f t="shared" si="40"/>
        <v>100</v>
      </c>
      <c r="H115" s="493">
        <f t="shared" si="40"/>
        <v>100</v>
      </c>
      <c r="I115" s="493">
        <f t="shared" si="40"/>
        <v>100</v>
      </c>
      <c r="J115" s="493">
        <f t="shared" si="40"/>
        <v>100</v>
      </c>
      <c r="K115" s="493">
        <f t="shared" si="40"/>
        <v>100</v>
      </c>
      <c r="L115" s="493">
        <f t="shared" si="40"/>
        <v>100</v>
      </c>
      <c r="M115" s="493">
        <f t="shared" si="40"/>
        <v>100</v>
      </c>
      <c r="N115" s="934"/>
      <c r="O115" s="934"/>
      <c r="P115" s="1921"/>
      <c r="Q115" s="453"/>
    </row>
    <row r="116" spans="1:17" ht="15" thickTop="1">
      <c r="A116" s="548"/>
      <c r="B116" s="487" t="s">
        <v>1742</v>
      </c>
      <c r="C116" s="3464" t="s">
        <v>3415</v>
      </c>
      <c r="D116" s="3464" t="s">
        <v>3448</v>
      </c>
      <c r="E116" s="3464" t="s">
        <v>3449</v>
      </c>
      <c r="F116" s="3464" t="s">
        <v>3450</v>
      </c>
      <c r="G116" s="3464" t="s">
        <v>3451</v>
      </c>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3473" t="s">
        <v>3452</v>
      </c>
      <c r="D118" s="3473" t="s">
        <v>3453</v>
      </c>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41">C119-$K40</f>
        <v>105</v>
      </c>
      <c r="E119" s="493">
        <f t="shared" si="41"/>
        <v>110</v>
      </c>
      <c r="F119" s="493">
        <f t="shared" si="41"/>
        <v>115</v>
      </c>
      <c r="G119" s="493">
        <f t="shared" si="41"/>
        <v>120</v>
      </c>
      <c r="H119" s="493">
        <f t="shared" si="41"/>
        <v>125</v>
      </c>
      <c r="I119" s="493">
        <f t="shared" si="41"/>
        <v>130</v>
      </c>
      <c r="J119" s="493">
        <f t="shared" si="41"/>
        <v>135</v>
      </c>
      <c r="K119" s="493">
        <f t="shared" si="41"/>
        <v>140</v>
      </c>
      <c r="L119" s="493">
        <f t="shared" si="41"/>
        <v>145</v>
      </c>
      <c r="M119" s="493">
        <f t="shared" si="41"/>
        <v>150</v>
      </c>
      <c r="N119" s="934"/>
      <c r="O119" s="934"/>
      <c r="P119" s="1921"/>
      <c r="Q119" s="453"/>
    </row>
    <row r="120" spans="1:17" s="422" customFormat="1" ht="28.5" thickTop="1">
      <c r="A120" s="542"/>
      <c r="B120" s="487" t="s">
        <v>1705</v>
      </c>
      <c r="C120" s="3474">
        <v>0</v>
      </c>
      <c r="D120" s="3474">
        <v>20</v>
      </c>
      <c r="E120" s="3474">
        <v>40</v>
      </c>
      <c r="F120" s="3474">
        <v>60</v>
      </c>
      <c r="G120" s="3474">
        <v>80</v>
      </c>
      <c r="H120" s="3474">
        <v>100</v>
      </c>
      <c r="I120" s="3474">
        <v>120</v>
      </c>
      <c r="J120" s="3474">
        <v>140</v>
      </c>
      <c r="K120" s="503"/>
      <c r="L120" s="529"/>
      <c r="M120" s="530"/>
      <c r="N120" s="935"/>
      <c r="O120" s="935"/>
      <c r="P120" s="1922"/>
      <c r="Q120" s="508"/>
    </row>
    <row r="121" spans="1:17" s="422" customFormat="1" ht="15.75" thickBot="1">
      <c r="A121" s="502"/>
      <c r="B121" s="484"/>
      <c r="C121" s="3465">
        <v>100</v>
      </c>
      <c r="D121" s="3470">
        <v>98</v>
      </c>
      <c r="E121" s="3470">
        <v>96</v>
      </c>
      <c r="F121" s="3470">
        <v>94</v>
      </c>
      <c r="G121" s="3470">
        <v>92</v>
      </c>
      <c r="H121" s="3470">
        <v>90</v>
      </c>
      <c r="I121" s="3470">
        <v>88</v>
      </c>
      <c r="J121" s="3470">
        <v>86</v>
      </c>
      <c r="K121" s="485"/>
      <c r="L121" s="485"/>
      <c r="M121" s="485"/>
      <c r="N121" s="935"/>
      <c r="O121" s="935"/>
      <c r="P121" s="1922"/>
      <c r="Q121" s="508"/>
    </row>
    <row r="122" spans="1:17" ht="15" thickTop="1">
      <c r="A122" s="548"/>
      <c r="B122" s="487" t="s">
        <v>1744</v>
      </c>
      <c r="C122" s="3464" t="s">
        <v>3439</v>
      </c>
      <c r="D122" s="3464" t="s">
        <v>3440</v>
      </c>
      <c r="E122" s="3464" t="s">
        <v>3441</v>
      </c>
      <c r="F122" s="3471" t="s">
        <v>3442</v>
      </c>
      <c r="G122" s="532"/>
      <c r="H122" s="532"/>
      <c r="I122" s="532"/>
      <c r="J122" s="532"/>
      <c r="K122" s="533"/>
      <c r="L122" s="534"/>
      <c r="M122" s="535"/>
      <c r="N122" s="933"/>
      <c r="O122" s="933"/>
      <c r="P122" s="1921"/>
      <c r="Q122" s="453"/>
    </row>
    <row r="123" spans="1:17" ht="15.75" thickBot="1">
      <c r="A123" s="483"/>
      <c r="B123" s="492"/>
      <c r="C123" s="493">
        <v>100</v>
      </c>
      <c r="D123" s="493">
        <f t="shared" ref="D123:M123" si="42">C123-$K42</f>
        <v>97</v>
      </c>
      <c r="E123" s="493">
        <f t="shared" si="42"/>
        <v>94</v>
      </c>
      <c r="F123" s="493">
        <f t="shared" si="42"/>
        <v>91</v>
      </c>
      <c r="G123" s="493">
        <f t="shared" si="42"/>
        <v>88</v>
      </c>
      <c r="H123" s="493">
        <f t="shared" si="42"/>
        <v>85</v>
      </c>
      <c r="I123" s="493">
        <f t="shared" si="42"/>
        <v>82</v>
      </c>
      <c r="J123" s="493">
        <f t="shared" si="42"/>
        <v>79</v>
      </c>
      <c r="K123" s="493">
        <f t="shared" si="42"/>
        <v>76</v>
      </c>
      <c r="L123" s="493">
        <f t="shared" si="42"/>
        <v>73</v>
      </c>
      <c r="M123" s="493">
        <f t="shared" si="42"/>
        <v>70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t="str">
        <f>B44</f>
        <v>建成年份</v>
      </c>
      <c r="C126" s="503">
        <f>C44</f>
        <v>1999</v>
      </c>
      <c r="D126" s="503">
        <f>E44</f>
        <v>2009</v>
      </c>
      <c r="E126" s="503">
        <f>G44</f>
        <v>1990</v>
      </c>
      <c r="F126" s="503">
        <f>I44</f>
        <v>1989</v>
      </c>
      <c r="G126" s="503"/>
      <c r="H126" s="504"/>
      <c r="I126" s="504"/>
      <c r="J126" s="504"/>
      <c r="K126" s="504"/>
      <c r="L126" s="505"/>
      <c r="M126" s="506"/>
      <c r="N126" s="935"/>
      <c r="O126" s="935"/>
      <c r="P126" s="1922"/>
      <c r="Q126" s="508"/>
    </row>
    <row r="127" spans="1:17" s="422" customFormat="1" ht="15.75" thickBot="1">
      <c r="A127" s="502"/>
      <c r="B127" s="492"/>
      <c r="C127" s="509">
        <v>100</v>
      </c>
      <c r="D127" s="485">
        <v>101</v>
      </c>
      <c r="E127" s="485">
        <v>99.1</v>
      </c>
      <c r="F127" s="485">
        <v>99</v>
      </c>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1" priority="19" stopIfTrue="1" operator="containsText" text="超过">
      <formula>NOT(ISERROR(SEARCH("超过",F52)))</formula>
    </cfRule>
  </conditionalFormatting>
  <conditionalFormatting sqref="J54">
    <cfRule type="containsText" dxfId="170" priority="18" stopIfTrue="1" operator="containsText" text="超过">
      <formula>NOT(ISERROR(SEARCH("超过",J54)))</formula>
    </cfRule>
  </conditionalFormatting>
  <conditionalFormatting sqref="H54">
    <cfRule type="containsText" dxfId="169" priority="17" stopIfTrue="1" operator="containsText" text="超过">
      <formula>NOT(ISERROR(SEARCH("超过",H54)))</formula>
    </cfRule>
  </conditionalFormatting>
  <conditionalFormatting sqref="F54">
    <cfRule type="containsText" dxfId="168" priority="16" stopIfTrue="1" operator="containsText" text="超过">
      <formula>NOT(ISERROR(SEARCH("超过",F54)))</formula>
    </cfRule>
  </conditionalFormatting>
  <conditionalFormatting sqref="F53 H53 J53">
    <cfRule type="containsText" dxfId="167" priority="15" stopIfTrue="1" operator="containsText" text="超过">
      <formula>NOT(ISERROR(SEARCH("超过",F53)))</formula>
    </cfRule>
  </conditionalFormatting>
  <conditionalFormatting sqref="E52">
    <cfRule type="expression" dxfId="166" priority="14" stopIfTrue="1">
      <formula>$F$52="超过30%"</formula>
    </cfRule>
  </conditionalFormatting>
  <conditionalFormatting sqref="G54">
    <cfRule type="expression" dxfId="165" priority="12" stopIfTrue="1">
      <formula>$H$54="超过30%"</formula>
    </cfRule>
  </conditionalFormatting>
  <conditionalFormatting sqref="E53">
    <cfRule type="expression" dxfId="164" priority="11" stopIfTrue="1">
      <formula>$F$53="超过20%"</formula>
    </cfRule>
  </conditionalFormatting>
  <conditionalFormatting sqref="E54">
    <cfRule type="expression" dxfId="163" priority="10" stopIfTrue="1">
      <formula>$F$54="超过30%"</formula>
    </cfRule>
  </conditionalFormatting>
  <conditionalFormatting sqref="G52">
    <cfRule type="expression" dxfId="162" priority="9" stopIfTrue="1">
      <formula>$H$52="超过30%"</formula>
    </cfRule>
  </conditionalFormatting>
  <conditionalFormatting sqref="G53">
    <cfRule type="expression" dxfId="161" priority="8" stopIfTrue="1">
      <formula>$H$53="超过20%"</formula>
    </cfRule>
  </conditionalFormatting>
  <conditionalFormatting sqref="I52">
    <cfRule type="expression" dxfId="160" priority="7" stopIfTrue="1">
      <formula>$J$52="超过30%"</formula>
    </cfRule>
  </conditionalFormatting>
  <conditionalFormatting sqref="I53">
    <cfRule type="expression" dxfId="159" priority="6" stopIfTrue="1">
      <formula>$J$53="超过20%"</formula>
    </cfRule>
  </conditionalFormatting>
  <conditionalFormatting sqref="I54">
    <cfRule type="expression" dxfId="158" priority="5" stopIfTrue="1">
      <formula>$J$54="超过30%"</formula>
    </cfRule>
  </conditionalFormatting>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F7:F46 H7:H46 J7:J46">
    <cfRule type="cellIs" dxfId="154" priority="1" operator="notEqual">
      <formula>100</formula>
    </cfRule>
  </conditionalFormatting>
  <dataValidations count="24">
    <dataValidation type="list" allowBlank="1" showInputMessage="1" showErrorMessage="1" sqref="E24 G24 I24 C24" xr:uid="{00000000-0002-0000-1400-000000000000}">
      <formula1>环境</formula1>
    </dataValidation>
    <dataValidation type="list" allowBlank="1" showInputMessage="1" showErrorMessage="1" sqref="E16 G16 I16 C16" xr:uid="{00000000-0002-0000-1400-000001000000}">
      <formula1>居住社区成熟度</formula1>
    </dataValidation>
    <dataValidation type="list" allowBlank="1" showInputMessage="1" showErrorMessage="1" sqref="E18 G18 I18 C18" xr:uid="{00000000-0002-0000-1400-000002000000}">
      <formula1>交通便捷度</formula1>
    </dataValidation>
    <dataValidation type="list" allowBlank="1" showInputMessage="1" showErrorMessage="1" sqref="C20 G20 E20 I20" xr:uid="{00000000-0002-0000-1400-000003000000}">
      <formula1>公共配套设施</formula1>
    </dataValidation>
    <dataValidation type="list" allowBlank="1" showInputMessage="1" showErrorMessage="1" sqref="E25 G25 I25 C25" xr:uid="{00000000-0002-0000-1400-000004000000}">
      <formula1>住宅楼层</formula1>
    </dataValidation>
    <dataValidation type="list" allowBlank="1" showInputMessage="1" showErrorMessage="1" sqref="E26 G26 I26 C26" xr:uid="{00000000-0002-0000-1400-000005000000}">
      <formula1>住宅朝向</formula1>
    </dataValidation>
    <dataValidation type="list" allowBlank="1" showInputMessage="1" showErrorMessage="1" sqref="E32 G32 I32 C32" xr:uid="{00000000-0002-0000-1400-000006000000}">
      <formula1>住宅建筑类型</formula1>
    </dataValidation>
    <dataValidation type="list" allowBlank="1" showInputMessage="1" showErrorMessage="1" sqref="E34 G34 I34 C34" xr:uid="{00000000-0002-0000-1400-000007000000}">
      <formula1>住宅建筑结构</formula1>
    </dataValidation>
    <dataValidation type="list" allowBlank="1" showInputMessage="1" showErrorMessage="1" sqref="E35 G35 I35 C35" xr:uid="{00000000-0002-0000-1400-000008000000}">
      <formula1>住宅建筑品质</formula1>
    </dataValidation>
    <dataValidation type="list" allowBlank="1" showInputMessage="1" showErrorMessage="1" sqref="E36 G36 I36 C36" xr:uid="{00000000-0002-0000-1400-000009000000}">
      <formula1>住宅公共部分装修</formula1>
    </dataValidation>
    <dataValidation type="list" allowBlank="1" showInputMessage="1" showErrorMessage="1" sqref="E38 G38 I38 C38" xr:uid="{00000000-0002-0000-1400-00000A000000}">
      <formula1>住宅物业管理</formula1>
    </dataValidation>
    <dataValidation type="list" allowBlank="1" showInputMessage="1" showErrorMessage="1" sqref="E39 G39 I39 C39" xr:uid="{00000000-0002-0000-1400-00000B000000}">
      <formula1>住宅基础设施水平</formula1>
    </dataValidation>
    <dataValidation type="list" allowBlank="1" showInputMessage="1" showErrorMessage="1" sqref="E40 G40 I40 C40" xr:uid="{00000000-0002-0000-1400-00000C000000}">
      <formula1>住宅房型</formula1>
    </dataValidation>
    <dataValidation type="list" allowBlank="1" showInputMessage="1" showErrorMessage="1" sqref="E42 G42 I42 C42" xr:uid="{00000000-0002-0000-1400-00000D000000}">
      <formula1>住宅内部装修</formula1>
    </dataValidation>
    <dataValidation type="list" allowBlank="1" showInputMessage="1" showErrorMessage="1" sqref="E43 G43 I43 C43" xr:uid="{00000000-0002-0000-1400-00000E000000}">
      <formula1>内部装修维护情况</formula1>
    </dataValidation>
    <dataValidation type="list" allowBlank="1" showInputMessage="1" showErrorMessage="1" sqref="E8 G8 I8 C8" xr:uid="{00000000-0002-0000-1400-00000F000000}">
      <formula1>住宅交易情况</formula1>
    </dataValidation>
    <dataValidation type="list" allowBlank="1" showInputMessage="1" showErrorMessage="1" sqref="D1" xr:uid="{00000000-0002-0000-1400-000010000000}">
      <formula1>项目类型</formula1>
    </dataValidation>
    <dataValidation type="list" allowBlank="1" showInputMessage="1" showErrorMessage="1" sqref="E9 G9 I9" xr:uid="{00000000-0002-0000-1400-000011000000}">
      <formula1>住宅用途</formula1>
    </dataValidation>
    <dataValidation type="list" allowBlank="1" showInputMessage="1" showErrorMessage="1" sqref="C22 E22 G22 I22" xr:uid="{00000000-0002-0000-1400-000012000000}">
      <formula1>基础设施水平</formula1>
    </dataValidation>
    <dataValidation type="list" allowBlank="1" showInputMessage="1" showErrorMessage="1" sqref="F1" xr:uid="{00000000-0002-0000-1400-000013000000}">
      <formula1>"售价,租金"</formula1>
    </dataValidation>
    <dataValidation type="list" allowBlank="1" showInputMessage="1" showErrorMessage="1" sqref="C2" xr:uid="{00000000-0002-0000-1400-000014000000}">
      <formula1>"需扣减承租人权益,——"</formula1>
    </dataValidation>
    <dataValidation type="list" allowBlank="1" showInputMessage="1" showErrorMessage="1" sqref="F2" xr:uid="{00000000-0002-0000-1400-000015000000}">
      <formula1>估价方法</formula1>
    </dataValidation>
    <dataValidation type="list" allowBlank="1" showInputMessage="1" showErrorMessage="1" sqref="D48" xr:uid="{00000000-0002-0000-1400-000016000000}">
      <formula1>"简单平均,加权平均"</formula1>
    </dataValidation>
    <dataValidation type="list" allowBlank="1" showInputMessage="1" showErrorMessage="1" sqref="E1" xr:uid="{00000000-0002-0000-14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80" zoomScaleNormal="70" zoomScaleSheetLayoutView="80" workbookViewId="0">
      <selection activeCell="F44" sqref="F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3383</v>
      </c>
      <c r="D1" s="1361" t="s">
        <v>43</v>
      </c>
      <c r="E1" s="1362" t="s">
        <v>678</v>
      </c>
      <c r="F1" s="1062">
        <f ca="1">J53</f>
        <v>40.39</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1840</v>
      </c>
      <c r="C2" s="1386" t="s">
        <v>805</v>
      </c>
      <c r="D2" s="1386"/>
      <c r="E2" s="1387"/>
      <c r="F2" s="1388"/>
      <c r="G2" s="2705"/>
      <c r="H2" s="2694"/>
      <c r="I2" s="2694"/>
      <c r="J2" s="2694"/>
      <c r="K2" s="2695"/>
      <c r="L2" s="2694"/>
      <c r="M2" s="2694"/>
    </row>
    <row r="3" spans="1:37" ht="18" customHeight="1" thickBot="1">
      <c r="A3" s="1389" t="s">
        <v>806</v>
      </c>
      <c r="B3" s="1390">
        <f ca="1">IF(ISERROR(B2*10000/F43),0,ROUND(B2*10000/F43,0))</f>
        <v>52957</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55</v>
      </c>
      <c r="D5" s="1363" t="s">
        <v>693</v>
      </c>
      <c r="E5" s="1071"/>
      <c r="F5" s="1072"/>
      <c r="G5" s="1383"/>
      <c r="H5" s="299">
        <v>1</v>
      </c>
      <c r="I5" s="300" t="s">
        <v>692</v>
      </c>
      <c r="J5" s="1070">
        <f ca="1">J6+J10+J12</f>
        <v>0</v>
      </c>
      <c r="K5" s="1363" t="s">
        <v>693</v>
      </c>
      <c r="L5" s="1071"/>
      <c r="M5" s="1072"/>
    </row>
    <row r="6" spans="1:37" ht="18" customHeight="1">
      <c r="A6" s="1069" t="s">
        <v>398</v>
      </c>
      <c r="B6" s="3739" t="s">
        <v>694</v>
      </c>
      <c r="C6" s="1074">
        <f ca="1">ROUND(F6*F8*F7*(1-F9)/10000,0)</f>
        <v>55</v>
      </c>
      <c r="D6" s="155" t="s">
        <v>2109</v>
      </c>
      <c r="E6" s="302" t="s">
        <v>696</v>
      </c>
      <c r="F6" s="303">
        <f ca="1">INDIRECT("'数据-取费表'!u"&amp;$G$1)</f>
        <v>48000</v>
      </c>
      <c r="G6" s="1383"/>
      <c r="H6" s="1069" t="s">
        <v>398</v>
      </c>
      <c r="I6" s="3739" t="s">
        <v>694</v>
      </c>
      <c r="J6" s="301">
        <f ca="1">ROUND(M6*M8*M7*(1-M9)/10000,0)</f>
        <v>0</v>
      </c>
      <c r="K6" s="155" t="s">
        <v>2108</v>
      </c>
      <c r="L6" s="302" t="s">
        <v>696</v>
      </c>
      <c r="M6" s="303">
        <f ca="1">INDIRECT("'数据-取费表'!z"&amp;$G$1)</f>
        <v>0</v>
      </c>
    </row>
    <row r="7" spans="1:37" ht="18" customHeight="1">
      <c r="A7" s="1073"/>
      <c r="B7" s="3740"/>
      <c r="C7" s="1075"/>
      <c r="D7" s="307"/>
      <c r="E7" s="1076" t="s">
        <v>697</v>
      </c>
      <c r="F7" s="303">
        <f ca="1">IF(INDIRECT("'数据-取费表'!ah"&amp;$G$1)="",INDIRECT("'数据-取费表'!k"&amp;$G$1),INDIRECT("'数据-取费表'!ah"&amp;$G$1))</f>
        <v>1</v>
      </c>
      <c r="G7" s="1383"/>
      <c r="H7" s="304"/>
      <c r="I7" s="3740"/>
      <c r="J7" s="306"/>
      <c r="K7" s="307"/>
      <c r="L7" s="302" t="s">
        <v>697</v>
      </c>
      <c r="M7" s="303">
        <f ca="1">F7</f>
        <v>1</v>
      </c>
    </row>
    <row r="8" spans="1:37" ht="18" customHeight="1">
      <c r="A8" s="304"/>
      <c r="B8" s="3740"/>
      <c r="C8" s="306"/>
      <c r="D8" s="307"/>
      <c r="E8" s="302" t="s">
        <v>698</v>
      </c>
      <c r="F8" s="303">
        <f ca="1">INDIRECT("'数据-取费表'!ai"&amp;$G$1)</f>
        <v>12</v>
      </c>
      <c r="G8" s="1383"/>
      <c r="H8" s="304"/>
      <c r="I8" s="3740"/>
      <c r="J8" s="306"/>
      <c r="K8" s="307"/>
      <c r="L8" s="302" t="s">
        <v>698</v>
      </c>
      <c r="M8" s="303">
        <f ca="1">INDIRECT("'数据-取费表'!ai"&amp;$G$1)</f>
        <v>12</v>
      </c>
    </row>
    <row r="9" spans="1:37" ht="18" customHeight="1">
      <c r="A9" s="304"/>
      <c r="B9" s="3741"/>
      <c r="C9" s="306"/>
      <c r="D9" s="307"/>
      <c r="E9" s="302" t="s">
        <v>699</v>
      </c>
      <c r="F9" s="312">
        <f ca="1">INDIRECT("'数据-取费表'!w"&amp;$G$1)</f>
        <v>0.05</v>
      </c>
      <c r="G9" s="1383"/>
      <c r="H9" s="304"/>
      <c r="I9" s="3741"/>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t="s">
        <v>3457</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141</v>
      </c>
      <c r="D13" s="1081" t="s">
        <v>705</v>
      </c>
      <c r="E13" s="1081" t="s">
        <v>706</v>
      </c>
      <c r="F13" s="1082">
        <f ca="1">INDIRECT("'数据-取费表'!y"&amp;$G$1)</f>
        <v>0.7</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122</v>
      </c>
      <c r="D14" s="1344" t="s">
        <v>708</v>
      </c>
      <c r="E14" s="1341"/>
      <c r="F14" s="319"/>
      <c r="G14" s="1383"/>
      <c r="H14" s="982" t="s">
        <v>398</v>
      </c>
      <c r="I14" s="302" t="s">
        <v>709</v>
      </c>
      <c r="J14" s="21">
        <f ca="1">C29</f>
        <v>202</v>
      </c>
      <c r="K14" s="12"/>
      <c r="L14" s="807"/>
      <c r="M14" s="808"/>
    </row>
    <row r="15" spans="1:37" s="1396" customFormat="1" ht="18" customHeight="1" thickBot="1">
      <c r="A15" s="982" t="s">
        <v>399</v>
      </c>
      <c r="B15" s="302" t="s">
        <v>710</v>
      </c>
      <c r="C15" s="21">
        <f ca="1">ROUND(C14*F15,0)</f>
        <v>4</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6</v>
      </c>
      <c r="D16" s="302" t="s">
        <v>711</v>
      </c>
      <c r="E16" s="302" t="s">
        <v>712</v>
      </c>
      <c r="F16" s="322">
        <f ca="1">IF(INDIRECT("'数据-取费表'!c"&amp;$G$1)="住宅",'数据-取费表'!B34,0)</f>
        <v>0.05</v>
      </c>
      <c r="G16" s="1383"/>
      <c r="H16" s="1079" t="s">
        <v>393</v>
      </c>
      <c r="I16" s="1080" t="s">
        <v>714</v>
      </c>
      <c r="J16" s="310">
        <f ca="1">ROUND(J17+J22+J23+J24,0)</f>
        <v>1</v>
      </c>
      <c r="K16" s="1087" t="s">
        <v>715</v>
      </c>
      <c r="L16" s="1088"/>
      <c r="M16" s="1072"/>
    </row>
    <row r="17" spans="1:37" s="1396" customFormat="1" ht="18" customHeight="1">
      <c r="A17" s="982" t="s">
        <v>681</v>
      </c>
      <c r="B17" s="302" t="s">
        <v>716</v>
      </c>
      <c r="C17" s="21">
        <f ca="1">ROUND(F17*(F43+INDIRECT("'数据-取费表'!S"&amp;$G$1))/10000,0)</f>
        <v>7</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2</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141</v>
      </c>
      <c r="D19" s="131" t="s">
        <v>726</v>
      </c>
      <c r="E19" s="1359"/>
      <c r="F19" s="23"/>
      <c r="G19" s="1383"/>
      <c r="H19" s="982" t="s">
        <v>399</v>
      </c>
      <c r="I19" s="302" t="s">
        <v>727</v>
      </c>
      <c r="J19" s="21">
        <f ca="1">IF(K19="按租金收入计税",ROUND(J6*M19/(1+'数据-取费表'!C42),2),ROUND(C29*M19*0.7,2))</f>
        <v>0</v>
      </c>
      <c r="K19" s="1369" t="s">
        <v>3341</v>
      </c>
      <c r="L19" s="302" t="s">
        <v>712</v>
      </c>
      <c r="M19" s="322">
        <f>IF(K19="按租金收入计税",'数据-取费表'!B51,'数据-取费表'!B50)</f>
        <v>0.12</v>
      </c>
    </row>
    <row r="20" spans="1:37" s="1396" customFormat="1" ht="18" customHeight="1">
      <c r="A20" s="982" t="s">
        <v>402</v>
      </c>
      <c r="B20" s="302" t="s">
        <v>728</v>
      </c>
      <c r="C20" s="21">
        <f ca="1">ROUND(C19*F20,0)</f>
        <v>3</v>
      </c>
      <c r="D20" s="323" t="s">
        <v>729</v>
      </c>
      <c r="E20" s="302" t="s">
        <v>712</v>
      </c>
      <c r="F20" s="322">
        <f>'数据-取费表'!B37</f>
        <v>0.02</v>
      </c>
      <c r="G20" s="1395"/>
      <c r="H20" s="982" t="s">
        <v>680</v>
      </c>
      <c r="I20" s="155" t="s">
        <v>730</v>
      </c>
      <c r="J20" s="22">
        <f ca="1">ROUND(M20*M21/10000,2)</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1.01</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6</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5.0000000000000001E-4</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4.5499999999999999E-2</v>
      </c>
      <c r="G24" s="1395"/>
      <c r="H24" s="1089" t="s">
        <v>684</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-1</v>
      </c>
      <c r="K25" s="1095" t="s">
        <v>753</v>
      </c>
      <c r="L25" s="1096"/>
      <c r="M25" s="1097"/>
    </row>
    <row r="26" spans="1:37">
      <c r="A26" s="982" t="s">
        <v>397</v>
      </c>
      <c r="B26" s="302" t="s">
        <v>754</v>
      </c>
      <c r="C26" s="21">
        <f ca="1">ROUND((C19+C20)*F26,0)</f>
        <v>36</v>
      </c>
      <c r="D26" s="323" t="s">
        <v>755</v>
      </c>
      <c r="E26" s="313" t="s">
        <v>756</v>
      </c>
      <c r="F26" s="312">
        <f ca="1">INDIRECT("'数据-取费表'!q"&amp;$G$1)</f>
        <v>0.25</v>
      </c>
      <c r="G26" s="1383"/>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5.0000000000000001E-3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202</v>
      </c>
      <c r="D29" s="1092"/>
      <c r="E29" s="1090"/>
      <c r="F29" s="1093"/>
      <c r="G29" s="1395"/>
      <c r="H29" s="334" t="s">
        <v>396</v>
      </c>
      <c r="I29" s="335" t="s">
        <v>768</v>
      </c>
      <c r="J29" s="336">
        <f ca="1">ROUND(J26/(1+F40)^F41,0)</f>
        <v>0</v>
      </c>
      <c r="K29" s="337" t="s">
        <v>769</v>
      </c>
      <c r="L29" s="338"/>
      <c r="M29" s="339">
        <f ca="1">INDIRECT("'数据-取费表'!k"&amp;$G$1)</f>
        <v>347.45</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3</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1.31</v>
      </c>
      <c r="D31" s="1344" t="s">
        <v>720</v>
      </c>
      <c r="E31" s="1343" t="s">
        <v>770</v>
      </c>
      <c r="F31" s="2314">
        <f ca="1">IF(项目基本情况!B11="企业","——",IF(M47="住宅",IF(F6*F7*F8/12/(1+'数据-取费表'!F30)&gt;100000,4%,2.5%),IF(F6*F7*F8/12/(1+'数据-取费表'!F30)&gt;100000,12%,7%)))</f>
        <v>2.5000000000000001E-2</v>
      </c>
      <c r="G31" s="1383"/>
      <c r="H31" s="2807" t="s">
        <v>2310</v>
      </c>
      <c r="I31" s="1397"/>
      <c r="J31" s="1398"/>
      <c r="K31" s="2474"/>
      <c r="L31" s="2697"/>
      <c r="M31" s="2698"/>
    </row>
    <row r="32" spans="1:37" ht="18" customHeight="1">
      <c r="A32" s="982" t="s">
        <v>397</v>
      </c>
      <c r="B32" s="302" t="s">
        <v>723</v>
      </c>
      <c r="C32" s="21" t="str">
        <f>IF(项目基本情况!B11="自然人","——",ROUND(C6*F32/(1+'数据-取费表'!C42),2))</f>
        <v>——</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3341</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18</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ROUND(C29*F36,2)</f>
        <v>1.01</v>
      </c>
      <c r="D36" s="1343" t="s">
        <v>771</v>
      </c>
      <c r="E36" s="302" t="s">
        <v>712</v>
      </c>
      <c r="F36" s="328">
        <f ca="1">INDIRECT("'数据-取费表'!Ak"&amp;$G$1)</f>
        <v>5.0000000000000001E-3</v>
      </c>
      <c r="G36" s="1383"/>
      <c r="H36" s="2699"/>
      <c r="I36" s="1397"/>
      <c r="J36" s="1398"/>
      <c r="K36" s="2543"/>
      <c r="L36" s="2699"/>
      <c r="M36" s="2699"/>
    </row>
    <row r="37" spans="1:18" ht="18" customHeight="1">
      <c r="A37" s="982" t="s">
        <v>437</v>
      </c>
      <c r="B37" s="302" t="s">
        <v>742</v>
      </c>
      <c r="C37" s="21">
        <f ca="1">ROUND(C13*F37,2)</f>
        <v>7.0000000000000007E-2</v>
      </c>
      <c r="D37" s="1343" t="s">
        <v>743</v>
      </c>
      <c r="E37" s="302" t="s">
        <v>744</v>
      </c>
      <c r="F37" s="330">
        <f ca="1">INDIRECT("'数据-取费表'!Al"&amp;$G$1)</f>
        <v>5.0000000000000001E-4</v>
      </c>
      <c r="G37" s="1383"/>
      <c r="H37" s="2699"/>
      <c r="I37" s="1397"/>
      <c r="J37" s="1398"/>
      <c r="K37" s="2543"/>
      <c r="L37" s="2699"/>
      <c r="M37" s="2699"/>
    </row>
    <row r="38" spans="1:18" ht="18" customHeight="1" thickBot="1">
      <c r="A38" s="1089" t="s">
        <v>684</v>
      </c>
      <c r="B38" s="1090" t="s">
        <v>728</v>
      </c>
      <c r="C38" s="1091">
        <f ca="1">ROUND(C5*F38,2)</f>
        <v>0.28000000000000003</v>
      </c>
      <c r="D38" s="1092" t="s">
        <v>748</v>
      </c>
      <c r="E38" s="1090" t="s">
        <v>744</v>
      </c>
      <c r="F38" s="1086">
        <f ca="1">INDIRECT("'数据-取费表'!Am"&amp;$G$1)</f>
        <v>5.0000000000000001E-3</v>
      </c>
      <c r="G38" s="1383"/>
      <c r="H38" s="2699"/>
      <c r="I38" s="1397"/>
      <c r="J38" s="1398"/>
      <c r="K38" s="2703"/>
      <c r="L38" s="2699"/>
      <c r="M38" s="2699"/>
    </row>
    <row r="39" spans="1:18" ht="24.6" customHeight="1" thickTop="1">
      <c r="A39" s="1079" t="s">
        <v>394</v>
      </c>
      <c r="B39" s="1094" t="s">
        <v>772</v>
      </c>
      <c r="C39" s="310">
        <f ca="1">C5-C30</f>
        <v>52</v>
      </c>
      <c r="D39" s="1095" t="s">
        <v>773</v>
      </c>
      <c r="E39" s="1096"/>
      <c r="F39" s="1097"/>
      <c r="G39" s="1383"/>
      <c r="H39" s="2699"/>
      <c r="I39" s="1397"/>
      <c r="J39" s="1398"/>
      <c r="K39" s="2703"/>
      <c r="L39" s="2699"/>
      <c r="M39" s="2699"/>
    </row>
    <row r="40" spans="1:18" ht="18" customHeight="1">
      <c r="A40" s="299" t="s">
        <v>395</v>
      </c>
      <c r="B40" s="300" t="s">
        <v>774</v>
      </c>
      <c r="C40" s="301">
        <f ca="1">ROUND(C39*(1-((1+F42)/(1+F40))^F41)/(F40-F42),0)</f>
        <v>1840</v>
      </c>
      <c r="D40" s="324" t="s">
        <v>758</v>
      </c>
      <c r="E40" s="302" t="s">
        <v>759</v>
      </c>
      <c r="F40" s="312">
        <f ca="1">INDIRECT("'数据-取费表'!I"&amp;$G$1)</f>
        <v>0.04</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40.39</v>
      </c>
      <c r="G41" s="1383"/>
      <c r="H41" s="1190"/>
      <c r="I41" s="1397"/>
      <c r="J41" s="1398"/>
      <c r="K41" s="2543"/>
      <c r="L41" s="1190"/>
      <c r="M41" s="1190"/>
    </row>
    <row r="42" spans="1:18" ht="18" customHeight="1">
      <c r="A42" s="308"/>
      <c r="B42" s="309"/>
      <c r="C42" s="310"/>
      <c r="D42" s="327"/>
      <c r="E42" s="302" t="s">
        <v>766</v>
      </c>
      <c r="F42" s="312">
        <f ca="1">INDIRECT("'数据-取费表'!v"&amp;$G$1)</f>
        <v>3.5000000000000003E-2</v>
      </c>
      <c r="G42" s="1383"/>
      <c r="H42" s="1190"/>
      <c r="I42" s="1397"/>
      <c r="J42" s="1398"/>
      <c r="K42" s="2543"/>
      <c r="L42" s="1190"/>
      <c r="M42" s="1190"/>
    </row>
    <row r="43" spans="1:18" ht="18" customHeight="1" thickBot="1">
      <c r="A43" s="334" t="s">
        <v>396</v>
      </c>
      <c r="B43" s="335" t="s">
        <v>776</v>
      </c>
      <c r="C43" s="336">
        <f ca="1">ROUND(C40*10000/F43,0)</f>
        <v>52957</v>
      </c>
      <c r="D43" s="337" t="s">
        <v>777</v>
      </c>
      <c r="E43" s="338" t="s">
        <v>778</v>
      </c>
      <c r="F43" s="339">
        <f ca="1">INDIRECT("'数据-取费表'!k"&amp;$G$1)</f>
        <v>347.45</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-1860</v>
      </c>
      <c r="D46" s="1405" t="str">
        <f>C2</f>
        <v>万元</v>
      </c>
      <c r="E46" s="1399"/>
      <c r="F46" s="1399"/>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3435</v>
      </c>
      <c r="K47" s="1415" t="s">
        <v>816</v>
      </c>
      <c r="L47" s="1416">
        <f ca="1">INDIRECT("'数据-取费表'!d"&amp;$G$1)</f>
        <v>70</v>
      </c>
      <c r="M47" s="1379" t="str">
        <f>IF(ISNUMBER(FIND("住宅",C1)),"住宅","非住宅")</f>
        <v>住宅</v>
      </c>
      <c r="O47" s="1417" t="s">
        <v>403</v>
      </c>
      <c r="P47" s="1418" t="s">
        <v>817</v>
      </c>
      <c r="Q47" s="1419">
        <f ca="1">C40+J29</f>
        <v>1840</v>
      </c>
      <c r="R47" s="1419" t="s">
        <v>818</v>
      </c>
    </row>
    <row r="48" spans="1:18" s="1383" customFormat="1" ht="28.5" thickBot="1">
      <c r="A48" s="1110" t="s">
        <v>438</v>
      </c>
      <c r="B48" s="300" t="s">
        <v>692</v>
      </c>
      <c r="C48" s="1358">
        <f ca="1">C49+C53+C55</f>
        <v>0</v>
      </c>
      <c r="D48" s="1112"/>
      <c r="E48" s="1113"/>
      <c r="F48" s="962"/>
      <c r="G48" s="722"/>
      <c r="H48" s="723"/>
      <c r="I48" s="1420" t="s">
        <v>819</v>
      </c>
      <c r="J48" s="1421" t="s">
        <v>3458</v>
      </c>
      <c r="K48" s="1422" t="s">
        <v>820</v>
      </c>
      <c r="L48" s="1423">
        <f ca="1">INDIRECT("'数据-取费表'!f"&amp;$G$1)</f>
        <v>40.39</v>
      </c>
      <c r="O48" s="1417" t="s">
        <v>404</v>
      </c>
      <c r="P48" s="1418" t="s">
        <v>821</v>
      </c>
      <c r="Q48" s="1419" t="str">
        <f ca="1">J60</f>
        <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v>2003</v>
      </c>
      <c r="K49" s="1422" t="s">
        <v>824</v>
      </c>
      <c r="L49" s="1426"/>
      <c r="O49" s="1427" t="s">
        <v>405</v>
      </c>
      <c r="P49" s="1418" t="s">
        <v>825</v>
      </c>
      <c r="Q49" s="1419">
        <f ca="1">C29</f>
        <v>202</v>
      </c>
      <c r="R49" s="1419" t="s">
        <v>818</v>
      </c>
    </row>
    <row r="50" spans="1:18" s="1383" customFormat="1" ht="13.5" thickBot="1">
      <c r="A50" s="976"/>
      <c r="B50" s="979"/>
      <c r="C50" s="1118"/>
      <c r="D50" s="953"/>
      <c r="E50" s="1056" t="s">
        <v>697</v>
      </c>
      <c r="F50" s="1057">
        <f ca="1">F7</f>
        <v>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40</v>
      </c>
      <c r="K51" s="1433" t="s">
        <v>830</v>
      </c>
      <c r="L51" s="1434">
        <f ca="1">ROUND(-PV(INDIRECT("'数据-取费表'!h"&amp;$G$1),J51,(C39-C13*C76),0),0)</f>
        <v>848</v>
      </c>
      <c r="M51" s="1435"/>
      <c r="O51" s="1427" t="s">
        <v>407</v>
      </c>
      <c r="P51" s="1418" t="s">
        <v>831</v>
      </c>
      <c r="Q51" s="1430">
        <f>J52</f>
        <v>6.5000000000000002E-2</v>
      </c>
      <c r="R51" s="1419"/>
    </row>
    <row r="52" spans="1:18" s="1383" customFormat="1" ht="13.5" thickBot="1">
      <c r="A52" s="977"/>
      <c r="B52" s="979"/>
      <c r="C52" s="980"/>
      <c r="D52" s="953"/>
      <c r="E52" s="981" t="s">
        <v>699</v>
      </c>
      <c r="F52" s="1054"/>
      <c r="I52" s="1436" t="s">
        <v>832</v>
      </c>
      <c r="J52" s="1437">
        <v>6.5000000000000002E-2</v>
      </c>
      <c r="K52" s="1436" t="s">
        <v>833</v>
      </c>
      <c r="L52" s="1437"/>
      <c r="O52" s="1427" t="s">
        <v>408</v>
      </c>
      <c r="P52" s="1418" t="s">
        <v>834</v>
      </c>
      <c r="Q52" s="1419">
        <f ca="1">J53</f>
        <v>40.39</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40.39</v>
      </c>
      <c r="K53" s="3737" t="s">
        <v>837</v>
      </c>
      <c r="L53" s="3738"/>
      <c r="O53" s="1417" t="s">
        <v>409</v>
      </c>
      <c r="P53" s="1418" t="s">
        <v>838</v>
      </c>
      <c r="Q53" s="1419">
        <f ca="1">Q47+Q48</f>
        <v>1840</v>
      </c>
      <c r="R53" s="1419" t="s">
        <v>410</v>
      </c>
    </row>
    <row r="54" spans="1:18" s="1383" customFormat="1" ht="13.5" thickBot="1">
      <c r="A54" s="1153"/>
      <c r="B54" s="1366" t="s">
        <v>679</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7">
        <v>2</v>
      </c>
      <c r="B56" s="958" t="s">
        <v>704</v>
      </c>
      <c r="C56" s="232">
        <f ca="1">C13</f>
        <v>141</v>
      </c>
      <c r="D56" s="1446"/>
      <c r="E56" s="1447"/>
      <c r="F56" s="1439"/>
      <c r="I56" s="1448" t="s">
        <v>842</v>
      </c>
      <c r="J56" s="1449" t="s">
        <v>3459</v>
      </c>
      <c r="K56" s="1420" t="s">
        <v>843</v>
      </c>
      <c r="L56" s="1423">
        <f ca="1">IF(L48&lt;J51,"——",L48-J53)</f>
        <v>0</v>
      </c>
      <c r="O56" s="1417" t="s">
        <v>403</v>
      </c>
      <c r="P56" s="1418" t="s">
        <v>817</v>
      </c>
      <c r="Q56" s="1419">
        <f ca="1">C40+J29</f>
        <v>1840</v>
      </c>
      <c r="R56" s="1419" t="s">
        <v>818</v>
      </c>
    </row>
    <row r="57" spans="1:18" s="1383" customFormat="1" ht="24.75" thickBot="1">
      <c r="A57" s="1450"/>
      <c r="B57" s="950" t="s">
        <v>767</v>
      </c>
      <c r="C57" s="238">
        <f ca="1">C29</f>
        <v>202</v>
      </c>
      <c r="D57" s="1451"/>
      <c r="E57" s="1452"/>
      <c r="F57" s="1453"/>
      <c r="I57" s="1454" t="s">
        <v>844</v>
      </c>
      <c r="J57" s="1455" t="str">
        <f ca="1">IF(OR(M47="住宅",J51&lt;L48,J56="是"),"——",J51-L48)</f>
        <v>——</v>
      </c>
      <c r="K57" s="1420" t="s">
        <v>845</v>
      </c>
      <c r="L57" s="1423">
        <f ca="1">IF(L48&lt;J51,"——",IF(L55="比较法",L49,IF(L55="基准地价",L50,L51)))</f>
        <v>848</v>
      </c>
      <c r="O57" s="1417" t="s">
        <v>404</v>
      </c>
      <c r="P57" s="1418" t="s">
        <v>846</v>
      </c>
      <c r="Q57" s="1419">
        <f ca="1">L60</f>
        <v>0</v>
      </c>
      <c r="R57" s="1419" t="s">
        <v>847</v>
      </c>
    </row>
    <row r="58" spans="1:18" s="1383" customFormat="1" ht="24.75" thickBot="1">
      <c r="A58" s="315" t="s">
        <v>393</v>
      </c>
      <c r="B58" s="958" t="s">
        <v>714</v>
      </c>
      <c r="C58" s="316">
        <f ca="1">ROUND(C59+C64+C65+C66,0)</f>
        <v>1</v>
      </c>
      <c r="D58" s="960" t="s">
        <v>715</v>
      </c>
      <c r="E58" s="961"/>
      <c r="F58" s="962"/>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IF(项目基本情况!B11="自然人","——",IF(D61="按租金收入计税",ROUND(C49*F61/(1+'数据-取费表'!C42),2),IF(D61="按房产原值计税",ROUND(C57*F61*0.7,2),INDIRECT("'数据-取费表'!Aj"&amp;$G$1))))</f>
        <v>——</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IF(项目基本情况!B11="自然人","——",ROUND(F62*F63/10000,2))</f>
        <v>——</v>
      </c>
      <c r="D62" s="965" t="s">
        <v>786</v>
      </c>
      <c r="E62" s="950" t="s">
        <v>787</v>
      </c>
      <c r="F62" s="325">
        <f t="shared" si="0"/>
        <v>18</v>
      </c>
      <c r="I62" s="1461" t="s">
        <v>858</v>
      </c>
      <c r="J62" s="1462" t="s">
        <v>859</v>
      </c>
      <c r="K62" s="1462" t="s">
        <v>860</v>
      </c>
      <c r="L62" s="1462" t="s">
        <v>861</v>
      </c>
      <c r="M62" s="1463" t="s">
        <v>862</v>
      </c>
      <c r="O62" s="1417" t="s">
        <v>409</v>
      </c>
      <c r="P62" s="1418" t="s">
        <v>863</v>
      </c>
      <c r="Q62" s="1419">
        <f ca="1">Q56+Q57</f>
        <v>1840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1.01</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7.0000000000000007E-2</v>
      </c>
      <c r="D65" s="964" t="s">
        <v>743</v>
      </c>
      <c r="E65" s="950" t="s">
        <v>744</v>
      </c>
      <c r="F65" s="330">
        <f t="shared" ca="1" si="0"/>
        <v>5.0000000000000001E-4</v>
      </c>
      <c r="I65" s="1461" t="s">
        <v>867</v>
      </c>
      <c r="J65" s="1462">
        <v>40</v>
      </c>
      <c r="K65" s="1462">
        <v>30</v>
      </c>
      <c r="L65" s="1462">
        <v>50</v>
      </c>
      <c r="M65" s="1464">
        <v>0.02</v>
      </c>
      <c r="O65" s="1417" t="s">
        <v>403</v>
      </c>
      <c r="P65" s="1418" t="s">
        <v>868</v>
      </c>
      <c r="Q65" s="1419">
        <f ca="1">C40+J29</f>
        <v>1840</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-1</v>
      </c>
      <c r="D67" s="963" t="s">
        <v>753</v>
      </c>
      <c r="E67" s="968"/>
      <c r="F67" s="969"/>
      <c r="O67" s="1427" t="s">
        <v>405</v>
      </c>
      <c r="P67" s="1418" t="s">
        <v>850</v>
      </c>
      <c r="Q67" s="1465">
        <f ca="1">L51</f>
        <v>848</v>
      </c>
      <c r="R67" s="1419" t="s">
        <v>870</v>
      </c>
    </row>
    <row r="68" spans="1:18" s="1383" customFormat="1" ht="16.5" thickBot="1">
      <c r="A68" s="947" t="s">
        <v>395</v>
      </c>
      <c r="B68" s="948" t="s">
        <v>774</v>
      </c>
      <c r="C68" s="301">
        <f ca="1">ROUND(C67*(1-((1+F70)/(1+F68))^F69)/(F68-F70),0)</f>
        <v>-20</v>
      </c>
      <c r="D68" s="965" t="s">
        <v>758</v>
      </c>
      <c r="E68" s="950" t="s">
        <v>759</v>
      </c>
      <c r="F68" s="312">
        <f ca="1">F40</f>
        <v>0.04</v>
      </c>
      <c r="O68" s="1427" t="s">
        <v>406</v>
      </c>
      <c r="P68" s="1466" t="s">
        <v>871</v>
      </c>
      <c r="Q68" s="1419">
        <f ca="1">ROUND(Q69-Q70*Q71,0)</f>
        <v>43</v>
      </c>
      <c r="R68" s="1419" t="s">
        <v>414</v>
      </c>
    </row>
    <row r="69" spans="1:18" s="1383" customFormat="1" ht="13.5" thickBot="1">
      <c r="A69" s="951"/>
      <c r="B69" s="952"/>
      <c r="C69" s="306"/>
      <c r="D69" s="970" t="s">
        <v>762</v>
      </c>
      <c r="E69" s="950" t="s">
        <v>763</v>
      </c>
      <c r="F69" s="333">
        <f ca="1">F41</f>
        <v>40.39</v>
      </c>
      <c r="O69" s="1427" t="s">
        <v>411</v>
      </c>
      <c r="P69" s="1466" t="s">
        <v>872</v>
      </c>
      <c r="Q69" s="1419">
        <f ca="1">C39</f>
        <v>52</v>
      </c>
      <c r="R69" s="1419" t="s">
        <v>818</v>
      </c>
    </row>
    <row r="70" spans="1:18" s="1383" customFormat="1" ht="13.5" thickBot="1">
      <c r="A70" s="954"/>
      <c r="B70" s="955"/>
      <c r="C70" s="310"/>
      <c r="D70" s="966"/>
      <c r="E70" s="950" t="s">
        <v>766</v>
      </c>
      <c r="F70" s="1054"/>
      <c r="O70" s="1427" t="s">
        <v>412</v>
      </c>
      <c r="P70" s="1466" t="s">
        <v>873</v>
      </c>
      <c r="Q70" s="1419">
        <f ca="1">C13</f>
        <v>141</v>
      </c>
      <c r="R70" s="1419" t="s">
        <v>818</v>
      </c>
    </row>
    <row r="71" spans="1:18" s="1383" customFormat="1" ht="13.5" thickBot="1">
      <c r="A71" s="971" t="s">
        <v>396</v>
      </c>
      <c r="B71" s="972" t="s">
        <v>776</v>
      </c>
      <c r="C71" s="336">
        <f ca="1">ROUND(C68*10000/F71,0)</f>
        <v>-576</v>
      </c>
      <c r="D71" s="973" t="s">
        <v>777</v>
      </c>
      <c r="E71" s="974" t="s">
        <v>778</v>
      </c>
      <c r="F71" s="339">
        <f ca="1">F43</f>
        <v>347.45</v>
      </c>
      <c r="O71" s="1427" t="s">
        <v>413</v>
      </c>
      <c r="P71" s="1466" t="s">
        <v>874</v>
      </c>
      <c r="Q71" s="1430">
        <f ca="1">C76</f>
        <v>6.5000000000000002E-2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9</v>
      </c>
      <c r="D75" s="1383"/>
      <c r="E75" s="1383"/>
      <c r="F75" s="1383"/>
      <c r="K75" s="1401"/>
      <c r="L75" s="1383"/>
      <c r="O75" s="1417" t="s">
        <v>409</v>
      </c>
      <c r="P75" s="1418" t="s">
        <v>838</v>
      </c>
      <c r="Q75" s="1419">
        <f ca="1">Q65+Q66</f>
        <v>1840</v>
      </c>
      <c r="R75" s="1419" t="s">
        <v>410</v>
      </c>
    </row>
    <row r="76" spans="1:18">
      <c r="B76" s="342" t="s">
        <v>796</v>
      </c>
      <c r="C76" s="343">
        <f ca="1">INDIRECT("'数据-取费表'!j"&amp;$G$1)</f>
        <v>6.5000000000000002E-2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0.82699999999999996</v>
      </c>
    </row>
    <row r="80" spans="1:18">
      <c r="B80" s="340" t="s">
        <v>800</v>
      </c>
      <c r="C80" s="274">
        <f ca="1">ROUND(C75/C39,3)</f>
        <v>0.17299999999999999</v>
      </c>
    </row>
    <row r="81" spans="2:3">
      <c r="B81" s="270" t="s">
        <v>801</v>
      </c>
      <c r="C81" s="238"/>
    </row>
    <row r="82" spans="2:3">
      <c r="B82" s="273" t="s">
        <v>802</v>
      </c>
      <c r="C82" s="275">
        <f ca="1">1-C83</f>
        <v>0.92300000000000004</v>
      </c>
    </row>
    <row r="83" spans="2:3">
      <c r="B83" s="273" t="s">
        <v>803</v>
      </c>
      <c r="C83" s="274">
        <f ca="1">ROUND(C13/C40,3)</f>
        <v>7.6999999999999999E-2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3" priority="56">
      <formula>$L$48&gt;$J$51</formula>
    </cfRule>
  </conditionalFormatting>
  <conditionalFormatting sqref="I55 I60">
    <cfRule type="expression" dxfId="152" priority="57">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J15"/>
  <sheetViews>
    <sheetView workbookViewId="0">
      <selection activeCell="I17" sqref="I17"/>
    </sheetView>
  </sheetViews>
  <sheetFormatPr defaultRowHeight="13.5"/>
  <cols>
    <col min="4" max="4" width="11.375" customWidth="1"/>
    <col min="6" max="6" width="11.5" customWidth="1"/>
    <col min="7" max="7" width="14.625" customWidth="1"/>
  </cols>
  <sheetData>
    <row r="1" spans="1:10">
      <c r="A1" s="3493" t="s">
        <v>3467</v>
      </c>
      <c r="B1" s="3493" t="s">
        <v>3468</v>
      </c>
      <c r="C1" s="3494"/>
      <c r="D1" s="3494"/>
      <c r="E1" s="3494"/>
      <c r="F1" s="3494"/>
      <c r="G1" s="3494"/>
      <c r="H1" s="3494"/>
      <c r="I1" s="3494"/>
      <c r="J1" s="3494"/>
    </row>
    <row r="2" spans="1:10">
      <c r="A2" s="3493">
        <v>100.61</v>
      </c>
      <c r="B2" s="3493">
        <v>81.489999999999995</v>
      </c>
      <c r="C2" s="3493">
        <f>ROUND(B2/A2,2)</f>
        <v>0.81</v>
      </c>
      <c r="D2" s="3493"/>
      <c r="E2" s="3493"/>
      <c r="F2" s="3493"/>
      <c r="G2" s="3493"/>
      <c r="H2" s="3494"/>
      <c r="I2" s="3494"/>
      <c r="J2" s="3494"/>
    </row>
    <row r="3" spans="1:10">
      <c r="A3" s="3493"/>
      <c r="B3" s="3493"/>
      <c r="C3" s="3493"/>
      <c r="D3" s="3493"/>
      <c r="E3" s="3493"/>
      <c r="F3" s="3493"/>
      <c r="G3" s="3493"/>
      <c r="H3" s="3494"/>
      <c r="I3" s="3494"/>
      <c r="J3" s="3494"/>
    </row>
    <row r="4" spans="1:10">
      <c r="A4" s="3493" t="s">
        <v>3469</v>
      </c>
      <c r="B4" s="3493">
        <v>26.83</v>
      </c>
      <c r="C4" s="3493"/>
      <c r="D4" s="3493"/>
      <c r="E4" s="3493"/>
      <c r="F4" s="3493"/>
      <c r="G4" s="3493"/>
      <c r="H4" s="3494"/>
      <c r="I4" s="3494"/>
      <c r="J4" s="3494"/>
    </row>
    <row r="5" spans="1:10">
      <c r="A5" s="3493"/>
      <c r="B5" s="3493" t="s">
        <v>3472</v>
      </c>
      <c r="C5" s="3493" t="s">
        <v>3473</v>
      </c>
      <c r="D5" s="3493" t="s">
        <v>3474</v>
      </c>
      <c r="E5" s="3493"/>
      <c r="F5" s="3498" t="s">
        <v>3476</v>
      </c>
      <c r="G5" s="3498" t="s">
        <v>3477</v>
      </c>
      <c r="H5" s="3494"/>
      <c r="I5" s="3494"/>
      <c r="J5" s="3494"/>
    </row>
    <row r="6" spans="1:10">
      <c r="A6" s="3493" t="s">
        <v>3470</v>
      </c>
      <c r="B6" s="3493">
        <v>2.7</v>
      </c>
      <c r="C6" s="3493">
        <v>5.27</v>
      </c>
      <c r="D6" s="3493">
        <f>ROUND(B6*C6/C2,2)</f>
        <v>17.57</v>
      </c>
      <c r="E6" s="3493" t="s">
        <v>3467</v>
      </c>
      <c r="F6" s="3498">
        <f ca="1">'收益法 (元)'!B3</f>
        <v>20839</v>
      </c>
      <c r="G6" s="3498">
        <f ca="1">ROUND(D6*F6/10000,4)</f>
        <v>36.614100000000001</v>
      </c>
      <c r="H6" s="3494"/>
      <c r="I6" s="3494"/>
      <c r="J6" s="3494"/>
    </row>
    <row r="7" spans="1:10">
      <c r="A7" s="3493" t="s">
        <v>3471</v>
      </c>
      <c r="B7" s="3493">
        <v>2.5</v>
      </c>
      <c r="C7" s="3493">
        <v>5</v>
      </c>
      <c r="D7" s="3493">
        <f>B7*C7</f>
        <v>12.5</v>
      </c>
      <c r="E7" s="3493" t="s">
        <v>3475</v>
      </c>
      <c r="F7" s="3493"/>
      <c r="G7" s="3493">
        <f ca="1">结果表!G20*100.61/10000</f>
        <v>805.81567299999995</v>
      </c>
      <c r="H7" s="3494"/>
      <c r="I7" s="3494"/>
      <c r="J7" s="3494"/>
    </row>
    <row r="8" spans="1:10">
      <c r="A8" s="3493"/>
      <c r="B8" s="3493"/>
      <c r="C8" s="3493" t="s">
        <v>3478</v>
      </c>
      <c r="D8" s="3493">
        <f>D7/D6</f>
        <v>0.71143995446784292</v>
      </c>
      <c r="E8" s="3493"/>
      <c r="F8" s="3493"/>
      <c r="G8" s="3493">
        <f ca="1">G7+G6</f>
        <v>842.42977299999995</v>
      </c>
      <c r="H8" s="3494"/>
      <c r="I8" s="3494"/>
      <c r="J8" s="3494"/>
    </row>
    <row r="9" spans="1:10">
      <c r="A9" s="3493"/>
      <c r="B9" s="3493"/>
      <c r="C9" s="3493"/>
      <c r="D9" s="3493"/>
      <c r="E9" s="3493"/>
      <c r="F9" s="3493"/>
      <c r="G9" s="3493">
        <f ca="1">G8/(100.61+D6)*10000</f>
        <v>71283.615924860365</v>
      </c>
      <c r="H9" s="3494"/>
      <c r="I9" s="3494"/>
      <c r="J9" s="3494"/>
    </row>
    <row r="10" spans="1:10">
      <c r="A10" s="3493"/>
      <c r="B10" s="3493"/>
      <c r="C10" s="3493"/>
      <c r="D10" s="3493"/>
      <c r="E10" s="3493"/>
      <c r="F10" s="3493"/>
      <c r="G10" s="3493">
        <f ca="1">G8/100.61*10000</f>
        <v>83732.210814034377</v>
      </c>
      <c r="H10" s="3494"/>
      <c r="I10" s="3494"/>
      <c r="J10" s="3494"/>
    </row>
    <row r="11" spans="1:10">
      <c r="A11" s="3493"/>
      <c r="B11" s="3493"/>
      <c r="C11" s="3493"/>
      <c r="D11" s="3493"/>
      <c r="E11" s="3493"/>
      <c r="F11" s="3493"/>
      <c r="G11" s="3493"/>
      <c r="H11" s="3494"/>
      <c r="I11" s="3494"/>
      <c r="J11" s="3494"/>
    </row>
    <row r="12" spans="1:10">
      <c r="A12" s="3493"/>
      <c r="B12" s="3493"/>
      <c r="C12" s="3493"/>
      <c r="D12" s="3493"/>
      <c r="E12" s="3493"/>
      <c r="F12" s="3493"/>
      <c r="G12" s="3493">
        <f ca="1">G6+结果表!G22/10000</f>
        <v>2819.4453849999995</v>
      </c>
      <c r="H12" s="3494"/>
      <c r="I12" s="3494"/>
      <c r="J12" s="3494"/>
    </row>
    <row r="13" spans="1:10">
      <c r="A13" s="3493"/>
      <c r="B13" s="3493"/>
      <c r="C13" s="3493"/>
      <c r="D13" s="3493"/>
      <c r="E13" s="3493"/>
      <c r="F13" s="3493"/>
      <c r="G13" s="3493">
        <f ca="1">(G12-866)/866</f>
        <v>2.2557106062355654</v>
      </c>
      <c r="H13" s="3494"/>
      <c r="I13" s="3494"/>
      <c r="J13" s="3494"/>
    </row>
    <row r="14" spans="1:10">
      <c r="A14" s="3493"/>
      <c r="B14" s="3493"/>
      <c r="C14" s="3493">
        <v>23.358000000000001</v>
      </c>
      <c r="D14" s="3493"/>
      <c r="E14" s="3493"/>
      <c r="F14" s="3493"/>
      <c r="G14" s="3493">
        <f ca="1">G12-866</f>
        <v>1953.4453849999995</v>
      </c>
      <c r="H14" s="3494"/>
      <c r="I14" s="3494"/>
      <c r="J14" s="3494"/>
    </row>
    <row r="15" spans="1:10">
      <c r="A15" s="3493"/>
      <c r="B15" s="3493"/>
      <c r="C15" s="3493"/>
      <c r="D15" s="3493">
        <v>8.9700000000000006</v>
      </c>
      <c r="E15" s="3493"/>
      <c r="F15" s="3493"/>
      <c r="G15" s="3493"/>
      <c r="H15" s="3494"/>
      <c r="I15" s="3494"/>
      <c r="J15" s="3494"/>
    </row>
  </sheetData>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80" zoomScaleNormal="70" zoomScaleSheetLayoutView="80" workbookViewId="0">
      <selection activeCell="E42" sqref="E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1.875" style="258" customWidth="1"/>
    <col min="7"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3383</v>
      </c>
      <c r="D1" s="1361" t="s">
        <v>43</v>
      </c>
      <c r="E1" s="1362" t="s">
        <v>678</v>
      </c>
      <c r="F1" s="1062">
        <f ca="1">J53</f>
        <v>40.39</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20</v>
      </c>
      <c r="C2" s="1386" t="s">
        <v>805</v>
      </c>
      <c r="D2" s="1386"/>
      <c r="E2" s="1387"/>
      <c r="F2" s="1388"/>
      <c r="G2" s="2705"/>
      <c r="H2" s="2694"/>
      <c r="I2" s="2694"/>
      <c r="J2" s="2694"/>
      <c r="K2" s="2695"/>
      <c r="L2" s="2694"/>
      <c r="M2" s="2694"/>
    </row>
    <row r="3" spans="1:37" ht="18" customHeight="1" thickBot="1">
      <c r="A3" s="1389" t="s">
        <v>806</v>
      </c>
      <c r="B3" s="1390">
        <f ca="1">IF(ISERROR(B2*10000/F43),0,ROUND(B2*10000/F43,0))</f>
        <v>11383</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2</v>
      </c>
      <c r="D5" s="1363" t="s">
        <v>693</v>
      </c>
      <c r="E5" s="1071"/>
      <c r="F5" s="1072"/>
      <c r="G5" s="1383"/>
      <c r="H5" s="299">
        <v>1</v>
      </c>
      <c r="I5" s="300" t="s">
        <v>692</v>
      </c>
      <c r="J5" s="1070">
        <f ca="1">J6+J10+J12</f>
        <v>0</v>
      </c>
      <c r="K5" s="1363" t="s">
        <v>693</v>
      </c>
      <c r="L5" s="1071"/>
      <c r="M5" s="1072"/>
    </row>
    <row r="6" spans="1:37" ht="18" customHeight="1">
      <c r="A6" s="1069" t="s">
        <v>398</v>
      </c>
      <c r="B6" s="3739" t="s">
        <v>694</v>
      </c>
      <c r="C6" s="1074">
        <f ca="1">ROUND(F6*F8*F7*(1-F9)/10000,0)</f>
        <v>2</v>
      </c>
      <c r="D6" s="155" t="s">
        <v>2109</v>
      </c>
      <c r="E6" s="302" t="s">
        <v>696</v>
      </c>
      <c r="F6" s="3496">
        <v>1800</v>
      </c>
      <c r="G6" s="1383">
        <f>ROUND(14000/100.61,0)</f>
        <v>139</v>
      </c>
      <c r="H6" s="1069" t="s">
        <v>398</v>
      </c>
      <c r="I6" s="3739" t="s">
        <v>694</v>
      </c>
      <c r="J6" s="301">
        <f ca="1">ROUND(M6*M8*M7*(1-M9)/10000,0)</f>
        <v>0</v>
      </c>
      <c r="K6" s="155" t="s">
        <v>2108</v>
      </c>
      <c r="L6" s="302" t="s">
        <v>696</v>
      </c>
      <c r="M6" s="303">
        <f ca="1">INDIRECT("'数据-取费表'!z"&amp;$G$1)</f>
        <v>0</v>
      </c>
    </row>
    <row r="7" spans="1:37" ht="18" customHeight="1">
      <c r="A7" s="1073"/>
      <c r="B7" s="3740"/>
      <c r="C7" s="1075"/>
      <c r="D7" s="307"/>
      <c r="E7" s="3490" t="s">
        <v>697</v>
      </c>
      <c r="F7" s="303">
        <v>1</v>
      </c>
      <c r="G7" s="1383">
        <f>120*0.8</f>
        <v>96</v>
      </c>
      <c r="H7" s="304"/>
      <c r="I7" s="3740"/>
      <c r="J7" s="306"/>
      <c r="K7" s="307"/>
      <c r="L7" s="302" t="s">
        <v>697</v>
      </c>
      <c r="M7" s="303">
        <f>F7</f>
        <v>1</v>
      </c>
    </row>
    <row r="8" spans="1:37" ht="18" customHeight="1">
      <c r="A8" s="304"/>
      <c r="B8" s="3740"/>
      <c r="C8" s="306"/>
      <c r="D8" s="307"/>
      <c r="E8" s="302" t="s">
        <v>698</v>
      </c>
      <c r="F8" s="303">
        <f ca="1">INDIRECT("'数据-取费表'!ai"&amp;$G$1)</f>
        <v>12</v>
      </c>
      <c r="G8" s="1383">
        <f>G7*F43</f>
        <v>1686.72</v>
      </c>
      <c r="H8" s="304"/>
      <c r="I8" s="3740"/>
      <c r="J8" s="306"/>
      <c r="K8" s="307"/>
      <c r="L8" s="302" t="s">
        <v>698</v>
      </c>
      <c r="M8" s="303">
        <f ca="1">INDIRECT("'数据-取费表'!ai"&amp;$G$1)</f>
        <v>12</v>
      </c>
    </row>
    <row r="9" spans="1:37" ht="18" customHeight="1">
      <c r="A9" s="304"/>
      <c r="B9" s="3741"/>
      <c r="C9" s="306"/>
      <c r="D9" s="307"/>
      <c r="E9" s="302" t="s">
        <v>699</v>
      </c>
      <c r="F9" s="312">
        <v>0.1</v>
      </c>
      <c r="G9" s="1383"/>
      <c r="H9" s="304"/>
      <c r="I9" s="3741"/>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t="s">
        <v>3457</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119</v>
      </c>
      <c r="D13" s="3482" t="s">
        <v>705</v>
      </c>
      <c r="E13" s="3482" t="s">
        <v>706</v>
      </c>
      <c r="F13" s="1082">
        <f ca="1">INDIRECT("'数据-取费表'!y"&amp;$G$1)</f>
        <v>0.7</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122</v>
      </c>
      <c r="D14" s="3486" t="s">
        <v>708</v>
      </c>
      <c r="E14" s="3484"/>
      <c r="F14" s="319"/>
      <c r="G14" s="1383"/>
      <c r="H14" s="982" t="s">
        <v>398</v>
      </c>
      <c r="I14" s="302" t="s">
        <v>709</v>
      </c>
      <c r="J14" s="21">
        <f ca="1">C29</f>
        <v>170</v>
      </c>
      <c r="K14" s="3489"/>
      <c r="L14" s="807"/>
      <c r="M14" s="808"/>
    </row>
    <row r="15" spans="1:37" s="1396" customFormat="1" ht="18" customHeight="1" thickBot="1">
      <c r="A15" s="982" t="s">
        <v>399</v>
      </c>
      <c r="B15" s="302" t="s">
        <v>710</v>
      </c>
      <c r="C15" s="21">
        <f ca="1">ROUND(C14*F15,0)</f>
        <v>4</v>
      </c>
      <c r="D15" s="3483" t="s">
        <v>711</v>
      </c>
      <c r="E15" s="3483"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6</v>
      </c>
      <c r="D16" s="302" t="s">
        <v>711</v>
      </c>
      <c r="E16" s="302" t="s">
        <v>712</v>
      </c>
      <c r="F16" s="322">
        <f ca="1">IF(INDIRECT("'数据-取费表'!c"&amp;$G$1)="住宅",'数据-取费表'!B34,0)</f>
        <v>0.05</v>
      </c>
      <c r="G16" s="1383"/>
      <c r="H16" s="1079" t="s">
        <v>393</v>
      </c>
      <c r="I16" s="1080" t="s">
        <v>714</v>
      </c>
      <c r="J16" s="310">
        <f ca="1">ROUND(J17+J22+J23+J24,0)</f>
        <v>1</v>
      </c>
      <c r="K16" s="1087" t="s">
        <v>715</v>
      </c>
      <c r="L16" s="3487"/>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3486" t="s">
        <v>720</v>
      </c>
      <c r="L17" s="3485"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2</v>
      </c>
      <c r="D18" s="302" t="s">
        <v>711</v>
      </c>
      <c r="E18" s="302" t="s">
        <v>712</v>
      </c>
      <c r="F18" s="322">
        <f>'数据-取费表'!B36</f>
        <v>1.4999999999999999E-2</v>
      </c>
      <c r="G18" s="1395"/>
      <c r="H18" s="982" t="s">
        <v>397</v>
      </c>
      <c r="I18" s="302" t="s">
        <v>723</v>
      </c>
      <c r="J18" s="21">
        <f ca="1">ROUND(J6*M18/(1+'数据-取费表'!C42),2)</f>
        <v>0</v>
      </c>
      <c r="K18" s="3485"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134</v>
      </c>
      <c r="D19" s="131" t="s">
        <v>726</v>
      </c>
      <c r="E19" s="3492"/>
      <c r="F19" s="23"/>
      <c r="G19" s="1383"/>
      <c r="H19" s="982" t="s">
        <v>399</v>
      </c>
      <c r="I19" s="302" t="s">
        <v>727</v>
      </c>
      <c r="J19" s="21">
        <f ca="1">IF(K19="按租金收入计税",ROUND(J6*M19/(1+'数据-取费表'!C42),2),ROUND(C29*M19*0.7,2))</f>
        <v>0</v>
      </c>
      <c r="K19" s="1369" t="s">
        <v>3341</v>
      </c>
      <c r="L19" s="302" t="s">
        <v>712</v>
      </c>
      <c r="M19" s="322">
        <f>IF(K19="按租金收入计税",'数据-取费表'!B51,'数据-取费表'!B50)</f>
        <v>0.12</v>
      </c>
    </row>
    <row r="20" spans="1:37" s="1396" customFormat="1" ht="18" customHeight="1">
      <c r="A20" s="982" t="s">
        <v>402</v>
      </c>
      <c r="B20" s="302" t="s">
        <v>728</v>
      </c>
      <c r="C20" s="21">
        <f ca="1">ROUND(C19*F20,0)</f>
        <v>3</v>
      </c>
      <c r="D20" s="2427" t="s">
        <v>729</v>
      </c>
      <c r="E20" s="302" t="s">
        <v>712</v>
      </c>
      <c r="F20" s="322">
        <f>'数据-取费表'!B37</f>
        <v>0.02</v>
      </c>
      <c r="G20" s="1395"/>
      <c r="H20" s="982" t="s">
        <v>680</v>
      </c>
      <c r="I20" s="155" t="s">
        <v>730</v>
      </c>
      <c r="J20" s="22">
        <f ca="1">ROUND(M20*M21/10000,2)</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2427"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92"/>
      <c r="F22" s="23"/>
      <c r="G22" s="1383"/>
      <c r="H22" s="982" t="s">
        <v>402</v>
      </c>
      <c r="I22" s="302" t="s">
        <v>738</v>
      </c>
      <c r="J22" s="21">
        <f ca="1">ROUND(J14*M22,2)</f>
        <v>0.85</v>
      </c>
      <c r="K22" s="3485"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6</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3485" t="s">
        <v>743</v>
      </c>
      <c r="L23" s="302" t="s">
        <v>712</v>
      </c>
      <c r="M23" s="330">
        <f ca="1">INDIRECT("'数据-取费表'!Al"&amp;$G$1)</f>
        <v>5.0000000000000001E-4</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399</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4.5499999999999999E-2</v>
      </c>
      <c r="G24" s="1395"/>
      <c r="H24" s="1089" t="s">
        <v>683</v>
      </c>
      <c r="I24" s="1090" t="s">
        <v>728</v>
      </c>
      <c r="J24" s="1091">
        <f ca="1">ROUND(J5*M24,2)</f>
        <v>0</v>
      </c>
      <c r="K24" s="1092" t="s">
        <v>748</v>
      </c>
      <c r="L24" s="1090" t="s">
        <v>712</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92"/>
      <c r="F25" s="23"/>
      <c r="G25" s="1383"/>
      <c r="H25" s="1079" t="s">
        <v>394</v>
      </c>
      <c r="I25" s="1094" t="s">
        <v>752</v>
      </c>
      <c r="J25" s="310">
        <f ca="1">J5-J16</f>
        <v>-1</v>
      </c>
      <c r="K25" s="1095" t="s">
        <v>753</v>
      </c>
      <c r="L25" s="1096"/>
      <c r="M25" s="1097"/>
    </row>
    <row r="26" spans="1:37">
      <c r="A26" s="982" t="s">
        <v>397</v>
      </c>
      <c r="B26" s="302" t="s">
        <v>754</v>
      </c>
      <c r="C26" s="21">
        <f ca="1">ROUND((C19+C20)*F26,0)</f>
        <v>14</v>
      </c>
      <c r="D26" s="2427" t="s">
        <v>755</v>
      </c>
      <c r="E26" s="313" t="s">
        <v>756</v>
      </c>
      <c r="F26" s="3495">
        <v>0.1</v>
      </c>
      <c r="G26" s="1383"/>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ROUND(F21*F26,4)</f>
        <v>2E-3</v>
      </c>
      <c r="D27" s="2427" t="s">
        <v>761</v>
      </c>
      <c r="E27" s="3483"/>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2427"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170</v>
      </c>
      <c r="D29" s="1092"/>
      <c r="E29" s="1090"/>
      <c r="F29" s="1093"/>
      <c r="G29" s="1395"/>
      <c r="H29" s="334" t="s">
        <v>396</v>
      </c>
      <c r="I29" s="335" t="s">
        <v>768</v>
      </c>
      <c r="J29" s="336">
        <f ca="1">ROUND(J26/(1+F40)^F41,0)</f>
        <v>0</v>
      </c>
      <c r="K29" s="337" t="s">
        <v>769</v>
      </c>
      <c r="L29" s="338"/>
      <c r="M29" s="339">
        <f ca="1">INDIRECT("'数据-取费表'!k"&amp;$G$1)</f>
        <v>347.45</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v>
      </c>
      <c r="D30" s="1087" t="s">
        <v>715</v>
      </c>
      <c r="E30" s="3487"/>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0.05</v>
      </c>
      <c r="D31" s="3486" t="s">
        <v>720</v>
      </c>
      <c r="E31" s="3485" t="s">
        <v>770</v>
      </c>
      <c r="F31" s="2314">
        <f ca="1">IF(项目基本情况!B11="企业","——",IF(M47="住宅",IF(F6*F7*F8/12/(1+'数据-取费表'!F30)&gt;100000,4%,2.5%),IF(F6*F7*F8/12/(1+'数据-取费表'!F30)&gt;100000,12%,7%)))</f>
        <v>2.5000000000000001E-2</v>
      </c>
      <c r="G31" s="1383"/>
      <c r="H31" s="2807" t="s">
        <v>2310</v>
      </c>
      <c r="I31" s="1397"/>
      <c r="J31" s="1398"/>
      <c r="K31" s="2474"/>
      <c r="L31" s="2697"/>
      <c r="M31" s="2698"/>
    </row>
    <row r="32" spans="1:37" ht="18" customHeight="1">
      <c r="A32" s="982" t="s">
        <v>397</v>
      </c>
      <c r="B32" s="302" t="s">
        <v>723</v>
      </c>
      <c r="C32" s="21" t="str">
        <f>IF(项目基本情况!B11="自然人","——",ROUND(C6*F32/(1+'数据-取费表'!C42),2))</f>
        <v>——</v>
      </c>
      <c r="D32" s="3485"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3341</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18</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ROUND(C29*F36,2)</f>
        <v>0.85</v>
      </c>
      <c r="D36" s="3485" t="s">
        <v>771</v>
      </c>
      <c r="E36" s="302" t="s">
        <v>712</v>
      </c>
      <c r="F36" s="328">
        <f ca="1">INDIRECT("'数据-取费表'!Ak"&amp;$G$1)</f>
        <v>5.0000000000000001E-3</v>
      </c>
      <c r="G36" s="1383"/>
      <c r="H36" s="2699"/>
      <c r="I36" s="1397"/>
      <c r="J36" s="1398"/>
      <c r="K36" s="2543"/>
      <c r="L36" s="2699"/>
      <c r="M36" s="2699"/>
    </row>
    <row r="37" spans="1:18" ht="18" customHeight="1">
      <c r="A37" s="982" t="s">
        <v>437</v>
      </c>
      <c r="B37" s="302" t="s">
        <v>742</v>
      </c>
      <c r="C37" s="21">
        <f ca="1">ROUND(C13*F37,2)</f>
        <v>0.06</v>
      </c>
      <c r="D37" s="3485" t="s">
        <v>743</v>
      </c>
      <c r="E37" s="302" t="s">
        <v>712</v>
      </c>
      <c r="F37" s="330">
        <f ca="1">INDIRECT("'数据-取费表'!Al"&amp;$G$1)</f>
        <v>5.0000000000000001E-4</v>
      </c>
      <c r="G37" s="1383"/>
      <c r="H37" s="2699"/>
      <c r="I37" s="1397"/>
      <c r="J37" s="1398"/>
      <c r="K37" s="2543"/>
      <c r="L37" s="2699"/>
      <c r="M37" s="2699"/>
    </row>
    <row r="38" spans="1:18" ht="18" customHeight="1" thickBot="1">
      <c r="A38" s="1089" t="s">
        <v>683</v>
      </c>
      <c r="B38" s="1090" t="s">
        <v>728</v>
      </c>
      <c r="C38" s="1091">
        <f ca="1">ROUND(C5*F38,2)</f>
        <v>0.01</v>
      </c>
      <c r="D38" s="1092" t="s">
        <v>748</v>
      </c>
      <c r="E38" s="1090" t="s">
        <v>712</v>
      </c>
      <c r="F38" s="1086">
        <f ca="1">INDIRECT("'数据-取费表'!Am"&amp;$G$1)</f>
        <v>5.0000000000000001E-3</v>
      </c>
      <c r="G38" s="1383"/>
      <c r="H38" s="2699"/>
      <c r="I38" s="1397"/>
      <c r="J38" s="1398"/>
      <c r="K38" s="2703"/>
      <c r="L38" s="2699"/>
      <c r="M38" s="2699"/>
    </row>
    <row r="39" spans="1:18" ht="24.6" customHeight="1" thickTop="1">
      <c r="A39" s="1079" t="s">
        <v>394</v>
      </c>
      <c r="B39" s="1094" t="s">
        <v>752</v>
      </c>
      <c r="C39" s="310">
        <f ca="1">C5-C30</f>
        <v>1</v>
      </c>
      <c r="D39" s="1095" t="s">
        <v>753</v>
      </c>
      <c r="E39" s="1096"/>
      <c r="F39" s="1097"/>
      <c r="G39" s="1383"/>
      <c r="H39" s="2699"/>
      <c r="I39" s="1397"/>
      <c r="J39" s="1398"/>
      <c r="K39" s="2703"/>
      <c r="L39" s="2699"/>
      <c r="M39" s="2699"/>
    </row>
    <row r="40" spans="1:18" ht="18" customHeight="1">
      <c r="A40" s="299" t="s">
        <v>395</v>
      </c>
      <c r="B40" s="300" t="s">
        <v>774</v>
      </c>
      <c r="C40" s="301">
        <f ca="1">ROUND(C39*(1-((1+F42)/(1+F40))^F41)/(F40-F42),0)</f>
        <v>20</v>
      </c>
      <c r="D40" s="324" t="s">
        <v>758</v>
      </c>
      <c r="E40" s="302" t="s">
        <v>759</v>
      </c>
      <c r="F40" s="312">
        <f ca="1">INDIRECT("'数据-取费表'!I"&amp;$G$1)</f>
        <v>0.04</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40.39</v>
      </c>
      <c r="G41" s="1383"/>
      <c r="H41" s="1190"/>
      <c r="I41" s="1397"/>
      <c r="J41" s="1398"/>
      <c r="K41" s="2543"/>
      <c r="L41" s="1190"/>
      <c r="M41" s="1190"/>
    </row>
    <row r="42" spans="1:18" ht="18" customHeight="1">
      <c r="A42" s="308"/>
      <c r="B42" s="309"/>
      <c r="C42" s="310"/>
      <c r="D42" s="327"/>
      <c r="E42" s="302" t="s">
        <v>766</v>
      </c>
      <c r="F42" s="3495">
        <v>0</v>
      </c>
      <c r="G42" s="1383"/>
      <c r="H42" s="1190"/>
      <c r="I42" s="1397"/>
      <c r="J42" s="1398"/>
      <c r="K42" s="2543"/>
      <c r="L42" s="1190"/>
      <c r="M42" s="1190"/>
    </row>
    <row r="43" spans="1:18" ht="18" customHeight="1" thickBot="1">
      <c r="A43" s="334" t="s">
        <v>396</v>
      </c>
      <c r="B43" s="335" t="s">
        <v>776</v>
      </c>
      <c r="C43" s="336">
        <f ca="1">ROUND(C40*10000/F43,0)</f>
        <v>11383</v>
      </c>
      <c r="D43" s="337" t="s">
        <v>777</v>
      </c>
      <c r="E43" s="338" t="s">
        <v>778</v>
      </c>
      <c r="F43" s="3497">
        <f>公共部分!D6</f>
        <v>17.57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-40</v>
      </c>
      <c r="D46" s="1405" t="str">
        <f>C2</f>
        <v>万元</v>
      </c>
      <c r="E46" s="1399"/>
      <c r="F46" s="1399"/>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3435</v>
      </c>
      <c r="K47" s="1415" t="s">
        <v>816</v>
      </c>
      <c r="L47" s="1416">
        <f ca="1">INDIRECT("'数据-取费表'!d"&amp;$G$1)</f>
        <v>70</v>
      </c>
      <c r="M47" s="1379" t="str">
        <f>IF(ISNUMBER(FIND("住宅",C1)),"住宅","非住宅")</f>
        <v>住宅</v>
      </c>
      <c r="O47" s="1417" t="s">
        <v>403</v>
      </c>
      <c r="P47" s="1418" t="s">
        <v>817</v>
      </c>
      <c r="Q47" s="1419">
        <f ca="1">C40+J29</f>
        <v>20</v>
      </c>
      <c r="R47" s="1419" t="s">
        <v>818</v>
      </c>
    </row>
    <row r="48" spans="1:18" s="1383" customFormat="1" ht="28.5" thickBot="1">
      <c r="A48" s="1110" t="s">
        <v>438</v>
      </c>
      <c r="B48" s="300" t="s">
        <v>692</v>
      </c>
      <c r="C48" s="3491">
        <f ca="1">C49+C53+C55</f>
        <v>0</v>
      </c>
      <c r="D48" s="1112"/>
      <c r="E48" s="1113"/>
      <c r="F48" s="962"/>
      <c r="G48" s="722"/>
      <c r="H48" s="723"/>
      <c r="I48" s="1420" t="s">
        <v>819</v>
      </c>
      <c r="J48" s="1421" t="s">
        <v>3458</v>
      </c>
      <c r="K48" s="1422" t="s">
        <v>820</v>
      </c>
      <c r="L48" s="1423">
        <f ca="1">INDIRECT("'数据-取费表'!f"&amp;$G$1)</f>
        <v>40.39</v>
      </c>
      <c r="O48" s="1417" t="s">
        <v>404</v>
      </c>
      <c r="P48" s="1418" t="s">
        <v>821</v>
      </c>
      <c r="Q48" s="1419" t="str">
        <f ca="1">J60</f>
        <v>0</v>
      </c>
      <c r="R48" s="1419" t="s">
        <v>822</v>
      </c>
    </row>
    <row r="49" spans="1:18" s="1383" customFormat="1" ht="13.5" thickBot="1">
      <c r="A49" s="975" t="s">
        <v>439</v>
      </c>
      <c r="B49" s="1370" t="s">
        <v>779</v>
      </c>
      <c r="C49" s="1114">
        <f ca="1">ROUND(F49*F51*F50*(1-F52)/10000,0)</f>
        <v>0</v>
      </c>
      <c r="D49" s="1055" t="s">
        <v>2108</v>
      </c>
      <c r="E49" s="1371" t="s">
        <v>780</v>
      </c>
      <c r="F49" s="1060"/>
      <c r="G49" s="1424"/>
      <c r="H49" s="723"/>
      <c r="I49" s="1420" t="s">
        <v>823</v>
      </c>
      <c r="J49" s="1425">
        <v>2003</v>
      </c>
      <c r="K49" s="1422" t="s">
        <v>824</v>
      </c>
      <c r="L49" s="1426"/>
      <c r="O49" s="1427" t="s">
        <v>405</v>
      </c>
      <c r="P49" s="1418" t="s">
        <v>825</v>
      </c>
      <c r="Q49" s="1419">
        <f ca="1">C29</f>
        <v>170</v>
      </c>
      <c r="R49" s="1419" t="s">
        <v>818</v>
      </c>
    </row>
    <row r="50" spans="1:18" s="1383" customFormat="1" ht="13.5" thickBot="1">
      <c r="A50" s="976"/>
      <c r="B50" s="979"/>
      <c r="C50" s="1118"/>
      <c r="D50" s="953"/>
      <c r="E50" s="1056" t="s">
        <v>697</v>
      </c>
      <c r="F50" s="1057">
        <f>F7</f>
        <v>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40</v>
      </c>
      <c r="K51" s="1433" t="s">
        <v>830</v>
      </c>
      <c r="L51" s="1434">
        <f ca="1">ROUND(-PV(INDIRECT("'数据-取费表'!h"&amp;$G$1),J51,(C39-C13*C76),0),0)</f>
        <v>-133</v>
      </c>
      <c r="M51" s="1435"/>
      <c r="O51" s="1427" t="s">
        <v>407</v>
      </c>
      <c r="P51" s="1418" t="s">
        <v>831</v>
      </c>
      <c r="Q51" s="1430">
        <f>J52</f>
        <v>6.5000000000000002E-2</v>
      </c>
      <c r="R51" s="1419"/>
    </row>
    <row r="52" spans="1:18" s="1383" customFormat="1" ht="13.5" thickBot="1">
      <c r="A52" s="977"/>
      <c r="B52" s="979"/>
      <c r="C52" s="980"/>
      <c r="D52" s="953"/>
      <c r="E52" s="981" t="s">
        <v>699</v>
      </c>
      <c r="F52" s="1054"/>
      <c r="I52" s="1436" t="s">
        <v>832</v>
      </c>
      <c r="J52" s="1437">
        <v>6.5000000000000002E-2</v>
      </c>
      <c r="K52" s="1436" t="s">
        <v>833</v>
      </c>
      <c r="L52" s="1437"/>
      <c r="O52" s="1427" t="s">
        <v>408</v>
      </c>
      <c r="P52" s="1418" t="s">
        <v>834</v>
      </c>
      <c r="Q52" s="1419">
        <f ca="1">J53</f>
        <v>40.39</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40.39</v>
      </c>
      <c r="K53" s="3737" t="s">
        <v>837</v>
      </c>
      <c r="L53" s="3738"/>
      <c r="O53" s="1417" t="s">
        <v>409</v>
      </c>
      <c r="P53" s="1418" t="s">
        <v>838</v>
      </c>
      <c r="Q53" s="1419">
        <f ca="1">Q47+Q48</f>
        <v>20</v>
      </c>
      <c r="R53" s="1419" t="s">
        <v>410</v>
      </c>
    </row>
    <row r="54" spans="1:18" s="1383" customFormat="1" ht="13.5" thickBot="1">
      <c r="A54" s="1153"/>
      <c r="B54" s="1366" t="s">
        <v>679</v>
      </c>
      <c r="C54" s="959"/>
      <c r="D54" s="1365"/>
      <c r="E54" s="3488"/>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3" t="s">
        <v>437</v>
      </c>
      <c r="B55" s="1368" t="s">
        <v>703</v>
      </c>
      <c r="C55" s="1084"/>
      <c r="D55" s="1365"/>
      <c r="E55" s="3488"/>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7">
        <v>2</v>
      </c>
      <c r="B56" s="958" t="s">
        <v>704</v>
      </c>
      <c r="C56" s="232">
        <f ca="1">C13</f>
        <v>119</v>
      </c>
      <c r="D56" s="1446"/>
      <c r="E56" s="1447"/>
      <c r="F56" s="1439"/>
      <c r="I56" s="1448" t="s">
        <v>842</v>
      </c>
      <c r="J56" s="1449" t="s">
        <v>3459</v>
      </c>
      <c r="K56" s="1420" t="s">
        <v>843</v>
      </c>
      <c r="L56" s="1423">
        <f ca="1">IF(L48&lt;J51,"——",L48-J53)</f>
        <v>0</v>
      </c>
      <c r="O56" s="1417" t="s">
        <v>403</v>
      </c>
      <c r="P56" s="1418" t="s">
        <v>817</v>
      </c>
      <c r="Q56" s="1419">
        <f ca="1">C40+J29</f>
        <v>20</v>
      </c>
      <c r="R56" s="1419" t="s">
        <v>818</v>
      </c>
    </row>
    <row r="57" spans="1:18" s="1383" customFormat="1" ht="24.75" thickBot="1">
      <c r="A57" s="1450"/>
      <c r="B57" s="950" t="s">
        <v>767</v>
      </c>
      <c r="C57" s="238">
        <f ca="1">C29</f>
        <v>170</v>
      </c>
      <c r="D57" s="1451"/>
      <c r="E57" s="1452"/>
      <c r="F57" s="1453"/>
      <c r="I57" s="1454" t="s">
        <v>844</v>
      </c>
      <c r="J57" s="1455" t="str">
        <f ca="1">IF(OR(M47="住宅",J51&lt;L48,J56="是"),"——",J51-L48)</f>
        <v>——</v>
      </c>
      <c r="K57" s="1420" t="s">
        <v>845</v>
      </c>
      <c r="L57" s="1423">
        <f ca="1">IF(L48&lt;J51,"——",IF(L55="比较法",L49,IF(L55="基准地价",L50,L51)))</f>
        <v>-133</v>
      </c>
      <c r="O57" s="1417" t="s">
        <v>404</v>
      </c>
      <c r="P57" s="1418" t="s">
        <v>846</v>
      </c>
      <c r="Q57" s="1419">
        <f ca="1">L60</f>
        <v>0</v>
      </c>
      <c r="R57" s="1419" t="s">
        <v>847</v>
      </c>
    </row>
    <row r="58" spans="1:18" s="1383" customFormat="1" ht="24.75" thickBot="1">
      <c r="A58" s="315" t="s">
        <v>393</v>
      </c>
      <c r="B58" s="958" t="s">
        <v>714</v>
      </c>
      <c r="C58" s="316">
        <f ca="1">ROUND(C59+C64+C65+C66,0)</f>
        <v>1</v>
      </c>
      <c r="D58" s="960" t="s">
        <v>715</v>
      </c>
      <c r="E58" s="961"/>
      <c r="F58" s="962"/>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727</v>
      </c>
      <c r="C61" s="21" t="str">
        <f ca="1">IF(项目基本情况!B11="自然人","——",IF(D61="按租金收入计税",ROUND(C49*F61/(1+'数据-取费表'!C42),2),IF(D61="按房产原值计税",ROUND(C57*F61*0.7,2),INDIRECT("'数据-取费表'!Aj"&amp;$G$1))))</f>
        <v>——</v>
      </c>
      <c r="D61" s="1369" t="s">
        <v>3341</v>
      </c>
      <c r="E61" s="950" t="s">
        <v>712</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730</v>
      </c>
      <c r="C62" s="22" t="str">
        <f>IF(项目基本情况!B11="自然人","——",ROUND(F62*F63/10000,2))</f>
        <v>——</v>
      </c>
      <c r="D62" s="965" t="s">
        <v>731</v>
      </c>
      <c r="E62" s="950" t="s">
        <v>732</v>
      </c>
      <c r="F62" s="325">
        <f t="shared" si="0"/>
        <v>18</v>
      </c>
      <c r="I62" s="1461" t="s">
        <v>858</v>
      </c>
      <c r="J62" s="1462" t="s">
        <v>859</v>
      </c>
      <c r="K62" s="1462" t="s">
        <v>860</v>
      </c>
      <c r="L62" s="1462" t="s">
        <v>861</v>
      </c>
      <c r="M62" s="1463" t="s">
        <v>862</v>
      </c>
      <c r="O62" s="1417" t="s">
        <v>409</v>
      </c>
      <c r="P62" s="1418" t="s">
        <v>838</v>
      </c>
      <c r="Q62" s="1419">
        <f ca="1">Q56+Q57</f>
        <v>20</v>
      </c>
      <c r="R62" s="1419" t="s">
        <v>410</v>
      </c>
    </row>
    <row r="63" spans="1:18" s="1383" customFormat="1" ht="13.5" thickBot="1">
      <c r="A63" s="326"/>
      <c r="B63" s="956"/>
      <c r="C63" s="26"/>
      <c r="D63" s="966"/>
      <c r="E63" s="950" t="s">
        <v>736</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402</v>
      </c>
      <c r="B64" s="950" t="s">
        <v>738</v>
      </c>
      <c r="C64" s="21">
        <f ca="1">ROUND(C57*F64,2)</f>
        <v>0.85</v>
      </c>
      <c r="D64" s="964" t="s">
        <v>771</v>
      </c>
      <c r="E64" s="950" t="s">
        <v>712</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0.06</v>
      </c>
      <c r="D65" s="964" t="s">
        <v>743</v>
      </c>
      <c r="E65" s="950" t="s">
        <v>712</v>
      </c>
      <c r="F65" s="330">
        <f t="shared" ca="1" si="0"/>
        <v>5.0000000000000001E-4</v>
      </c>
      <c r="I65" s="1461" t="s">
        <v>867</v>
      </c>
      <c r="J65" s="1462">
        <v>40</v>
      </c>
      <c r="K65" s="1462">
        <v>30</v>
      </c>
      <c r="L65" s="1462">
        <v>50</v>
      </c>
      <c r="M65" s="1464">
        <v>0.02</v>
      </c>
      <c r="O65" s="1417" t="s">
        <v>403</v>
      </c>
      <c r="P65" s="1418" t="s">
        <v>817</v>
      </c>
      <c r="Q65" s="1419">
        <f ca="1">C40+J29</f>
        <v>20</v>
      </c>
      <c r="R65" s="1419" t="s">
        <v>818</v>
      </c>
    </row>
    <row r="66" spans="1:18" s="1383" customFormat="1" ht="16.5" thickBot="1">
      <c r="A66" s="982" t="s">
        <v>793</v>
      </c>
      <c r="B66" s="950" t="s">
        <v>728</v>
      </c>
      <c r="C66" s="21">
        <f ca="1">ROUND(C48*F66,2)</f>
        <v>0</v>
      </c>
      <c r="D66" s="964" t="s">
        <v>748</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-1</v>
      </c>
      <c r="D67" s="963" t="s">
        <v>753</v>
      </c>
      <c r="E67" s="968"/>
      <c r="F67" s="969"/>
      <c r="O67" s="1427" t="s">
        <v>405</v>
      </c>
      <c r="P67" s="1418" t="s">
        <v>850</v>
      </c>
      <c r="Q67" s="1465">
        <f ca="1">L51</f>
        <v>-133</v>
      </c>
      <c r="R67" s="1419" t="s">
        <v>870</v>
      </c>
    </row>
    <row r="68" spans="1:18" s="1383" customFormat="1" ht="16.5" thickBot="1">
      <c r="A68" s="947" t="s">
        <v>395</v>
      </c>
      <c r="B68" s="948" t="s">
        <v>774</v>
      </c>
      <c r="C68" s="301">
        <f ca="1">ROUND(C67*(1-((1+F70)/(1+F68))^F69)/(F68-F70),0)</f>
        <v>-20</v>
      </c>
      <c r="D68" s="965" t="s">
        <v>758</v>
      </c>
      <c r="E68" s="950" t="s">
        <v>759</v>
      </c>
      <c r="F68" s="312">
        <f ca="1">F40</f>
        <v>0.04</v>
      </c>
      <c r="O68" s="1427" t="s">
        <v>406</v>
      </c>
      <c r="P68" s="1466" t="s">
        <v>871</v>
      </c>
      <c r="Q68" s="1419">
        <f ca="1">ROUND(Q69-Q70*Q71,0)</f>
        <v>-7</v>
      </c>
      <c r="R68" s="1419" t="s">
        <v>414</v>
      </c>
    </row>
    <row r="69" spans="1:18" s="1383" customFormat="1" ht="13.5" thickBot="1">
      <c r="A69" s="951"/>
      <c r="B69" s="952"/>
      <c r="C69" s="306"/>
      <c r="D69" s="970" t="s">
        <v>762</v>
      </c>
      <c r="E69" s="950" t="s">
        <v>763</v>
      </c>
      <c r="F69" s="333">
        <f ca="1">F41</f>
        <v>40.39</v>
      </c>
      <c r="O69" s="1427" t="s">
        <v>411</v>
      </c>
      <c r="P69" s="1466" t="s">
        <v>872</v>
      </c>
      <c r="Q69" s="1419">
        <f ca="1">C39</f>
        <v>1</v>
      </c>
      <c r="R69" s="1419" t="s">
        <v>818</v>
      </c>
    </row>
    <row r="70" spans="1:18" s="1383" customFormat="1" ht="13.5" thickBot="1">
      <c r="A70" s="954"/>
      <c r="B70" s="955"/>
      <c r="C70" s="310"/>
      <c r="D70" s="966"/>
      <c r="E70" s="950" t="s">
        <v>766</v>
      </c>
      <c r="F70" s="1054"/>
      <c r="O70" s="1427" t="s">
        <v>412</v>
      </c>
      <c r="P70" s="1466" t="s">
        <v>873</v>
      </c>
      <c r="Q70" s="1419">
        <f ca="1">C13</f>
        <v>119</v>
      </c>
      <c r="R70" s="1419" t="s">
        <v>818</v>
      </c>
    </row>
    <row r="71" spans="1:18" s="1383" customFormat="1" ht="13.5" thickBot="1">
      <c r="A71" s="971" t="s">
        <v>396</v>
      </c>
      <c r="B71" s="972" t="s">
        <v>776</v>
      </c>
      <c r="C71" s="336">
        <f ca="1">ROUND(C68*10000/F71,0)</f>
        <v>-11383</v>
      </c>
      <c r="D71" s="973" t="s">
        <v>777</v>
      </c>
      <c r="E71" s="974" t="s">
        <v>778</v>
      </c>
      <c r="F71" s="339">
        <f>F43</f>
        <v>17.57</v>
      </c>
      <c r="O71" s="1427" t="s">
        <v>413</v>
      </c>
      <c r="P71" s="1466" t="s">
        <v>874</v>
      </c>
      <c r="Q71" s="1430">
        <f ca="1">C76</f>
        <v>6.5000000000000002E-2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8</v>
      </c>
      <c r="D75" s="1383"/>
      <c r="E75" s="1383"/>
      <c r="F75" s="1383"/>
      <c r="K75" s="1401"/>
      <c r="L75" s="1383"/>
      <c r="O75" s="1417" t="s">
        <v>409</v>
      </c>
      <c r="P75" s="1418" t="s">
        <v>838</v>
      </c>
      <c r="Q75" s="1419">
        <f ca="1">Q65+Q66</f>
        <v>20</v>
      </c>
      <c r="R75" s="1419" t="s">
        <v>410</v>
      </c>
    </row>
    <row r="76" spans="1:18">
      <c r="B76" s="342" t="s">
        <v>796</v>
      </c>
      <c r="C76" s="343">
        <f ca="1">INDIRECT("'数据-取费表'!j"&amp;$G$1)</f>
        <v>6.5000000000000002E-2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-7</v>
      </c>
    </row>
    <row r="80" spans="1:18">
      <c r="B80" s="340" t="s">
        <v>800</v>
      </c>
      <c r="C80" s="274">
        <f ca="1">ROUND(C75/C39,3)</f>
        <v>8</v>
      </c>
    </row>
    <row r="81" spans="2:3">
      <c r="B81" s="270" t="s">
        <v>801</v>
      </c>
      <c r="C81" s="238"/>
    </row>
    <row r="82" spans="2:3">
      <c r="B82" s="273" t="s">
        <v>802</v>
      </c>
      <c r="C82" s="275">
        <f ca="1">1-C83</f>
        <v>-4.95</v>
      </c>
    </row>
    <row r="83" spans="2:3">
      <c r="B83" s="273" t="s">
        <v>803</v>
      </c>
      <c r="C83" s="274">
        <f ca="1">ROUND(C13/C40,3)</f>
        <v>5.95</v>
      </c>
    </row>
  </sheetData>
  <sheetProtection formatCells="0" formatColumns="0" formatRows="0"/>
  <mergeCells count="3">
    <mergeCell ref="B6:B9"/>
    <mergeCell ref="I6:I9"/>
    <mergeCell ref="K53:L53"/>
  </mergeCells>
  <phoneticPr fontId="134"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D1" xr:uid="{00000000-0002-0000-1700-000000000000}">
      <formula1>"在建（套用方法）,土地（套用方法）,——"</formula1>
    </dataValidation>
    <dataValidation type="list" allowBlank="1" showInputMessage="1" showErrorMessage="1" sqref="M10 F10 F53" xr:uid="{00000000-0002-0000-1700-000001000000}">
      <formula1>"押一,押二,押三,自定义"</formula1>
    </dataValidation>
    <dataValidation type="list" allowBlank="1" showInputMessage="1" showErrorMessage="1" sqref="L55" xr:uid="{00000000-0002-0000-1700-000002000000}">
      <formula1>"比较法,基准地价,收益还原"</formula1>
    </dataValidation>
    <dataValidation type="list" allowBlank="1" showInputMessage="1" showErrorMessage="1" sqref="J56" xr:uid="{00000000-0002-0000-1700-000003000000}">
      <formula1>估价范围判定</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47" xr:uid="{00000000-0002-0000-1700-000005000000}">
      <formula1>"钢,钢混,砖混"</formula1>
    </dataValidation>
    <dataValidation type="list" allowBlank="1" showInputMessage="1" showErrorMessage="1" sqref="C1" xr:uid="{00000000-0002-0000-1700-000006000000}">
      <formula1>项目类型</formula1>
    </dataValidation>
    <dataValidation type="list" allowBlank="1" showInputMessage="1" showErrorMessage="1" sqref="D33 D61" xr:uid="{00000000-0002-0000-1700-000007000000}">
      <formula1>"按租金收入计税,按房产原值计税,按票据"</formula1>
    </dataValidation>
    <dataValidation type="list" allowBlank="1" showInputMessage="1" showErrorMessage="1" sqref="K19" xr:uid="{00000000-0002-0000-17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topLeftCell="A34" zoomScale="80" zoomScaleNormal="70" zoomScaleSheetLayoutView="80" workbookViewId="0">
      <selection activeCell="K44" sqref="K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11.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3383</v>
      </c>
      <c r="D1" s="1361" t="s">
        <v>43</v>
      </c>
      <c r="E1" s="1362" t="s">
        <v>678</v>
      </c>
      <c r="F1" s="1062">
        <f ca="1">J53</f>
        <v>40.39</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f ca="1">ROUND(D2/10000,4)</f>
        <v>36.613799999999998</v>
      </c>
      <c r="C2" s="1386" t="s">
        <v>879</v>
      </c>
      <c r="D2" s="1470">
        <f ca="1">C40+J29+L46</f>
        <v>366138</v>
      </c>
      <c r="E2" s="1387" t="s">
        <v>880</v>
      </c>
      <c r="F2" s="1388"/>
      <c r="G2" s="2705"/>
      <c r="H2" s="2694"/>
      <c r="I2" s="2694"/>
      <c r="J2" s="2694"/>
      <c r="K2" s="2695"/>
      <c r="L2" s="2694"/>
      <c r="M2" s="2694"/>
    </row>
    <row r="3" spans="1:37" ht="18" customHeight="1" thickBot="1">
      <c r="A3" s="1389" t="s">
        <v>881</v>
      </c>
      <c r="B3" s="1390">
        <f ca="1">IF(ISERROR(D2/F43),0,ROUND(D2/F43,0))</f>
        <v>20839</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19464</v>
      </c>
      <c r="D5" s="1363" t="s">
        <v>889</v>
      </c>
      <c r="E5" s="1071"/>
      <c r="F5" s="1072"/>
      <c r="G5" s="1383"/>
      <c r="H5" s="299">
        <v>1</v>
      </c>
      <c r="I5" s="300" t="s">
        <v>888</v>
      </c>
      <c r="J5" s="1070">
        <f ca="1">J6+J10+J12</f>
        <v>0</v>
      </c>
      <c r="K5" s="1363" t="s">
        <v>889</v>
      </c>
      <c r="L5" s="1071"/>
      <c r="M5" s="1072"/>
    </row>
    <row r="6" spans="1:37" ht="18" customHeight="1">
      <c r="A6" s="1069" t="s">
        <v>398</v>
      </c>
      <c r="B6" s="3739" t="s">
        <v>694</v>
      </c>
      <c r="C6" s="1074">
        <f ca="1">ROUND(F6*F8*F7*(1-F9),0)</f>
        <v>19440</v>
      </c>
      <c r="D6" s="155" t="s">
        <v>2106</v>
      </c>
      <c r="E6" s="302" t="s">
        <v>696</v>
      </c>
      <c r="F6" s="303">
        <v>1800</v>
      </c>
      <c r="G6" s="1383">
        <v>1800</v>
      </c>
      <c r="H6" s="1069" t="s">
        <v>398</v>
      </c>
      <c r="I6" s="3739" t="s">
        <v>694</v>
      </c>
      <c r="J6" s="301">
        <f ca="1">ROUND(M6*M8*M7*(1-M9),0)</f>
        <v>0</v>
      </c>
      <c r="K6" s="1375" t="s">
        <v>2107</v>
      </c>
      <c r="L6" s="302" t="s">
        <v>696</v>
      </c>
      <c r="M6" s="303">
        <f ca="1">INDIRECT("'数据-取费表'!z"&amp;$G$1)</f>
        <v>0</v>
      </c>
    </row>
    <row r="7" spans="1:37" ht="18" customHeight="1">
      <c r="A7" s="1073"/>
      <c r="B7" s="3740"/>
      <c r="C7" s="1075"/>
      <c r="D7" s="307"/>
      <c r="E7" s="1076" t="s">
        <v>697</v>
      </c>
      <c r="F7" s="303">
        <f ca="1">IF(INDIRECT("'数据-取费表'!ah"&amp;$G$1)="",INDIRECT("'数据-取费表'!k"&amp;$G$1),INDIRECT("'数据-取费表'!ah"&amp;$G$1))</f>
        <v>1</v>
      </c>
      <c r="G7" s="1383"/>
      <c r="H7" s="304"/>
      <c r="I7" s="3740"/>
      <c r="J7" s="306"/>
      <c r="K7" s="307"/>
      <c r="L7" s="302" t="s">
        <v>697</v>
      </c>
      <c r="M7" s="303">
        <f ca="1">F7</f>
        <v>1</v>
      </c>
    </row>
    <row r="8" spans="1:37" ht="18" customHeight="1">
      <c r="A8" s="304"/>
      <c r="B8" s="3740"/>
      <c r="C8" s="306"/>
      <c r="D8" s="307"/>
      <c r="E8" s="302" t="s">
        <v>698</v>
      </c>
      <c r="F8" s="303">
        <f ca="1">INDIRECT("'数据-取费表'!ai"&amp;$G$1)</f>
        <v>12</v>
      </c>
      <c r="G8" s="1383"/>
      <c r="H8" s="304"/>
      <c r="I8" s="3740"/>
      <c r="J8" s="306"/>
      <c r="K8" s="307"/>
      <c r="L8" s="302" t="s">
        <v>698</v>
      </c>
      <c r="M8" s="303">
        <f ca="1">INDIRECT("'数据-取费表'!ai"&amp;$G$1)</f>
        <v>12</v>
      </c>
    </row>
    <row r="9" spans="1:37" ht="18" customHeight="1">
      <c r="A9" s="304"/>
      <c r="B9" s="3741"/>
      <c r="C9" s="306"/>
      <c r="D9" s="307"/>
      <c r="E9" s="302" t="s">
        <v>699</v>
      </c>
      <c r="F9" s="312">
        <v>0.1</v>
      </c>
      <c r="G9" s="1383"/>
      <c r="H9" s="304"/>
      <c r="I9" s="3741"/>
      <c r="J9" s="306"/>
      <c r="K9" s="307"/>
      <c r="L9" s="313" t="s">
        <v>699</v>
      </c>
      <c r="M9" s="314">
        <f ca="1">INDIRECT("'数据-取费表'!ab"&amp;$G$1)</f>
        <v>0</v>
      </c>
    </row>
    <row r="10" spans="1:37" ht="18" customHeight="1">
      <c r="A10" s="1069" t="s">
        <v>402</v>
      </c>
      <c r="B10" s="1364" t="s">
        <v>700</v>
      </c>
      <c r="C10" s="316">
        <f ca="1">ROUND(IF(F10="押一",C6/12*F11,IF(F10="押二",C6/12*2*F11,IF(F10="押三",C6/12*3*F11,C11*F11))),0)</f>
        <v>24</v>
      </c>
      <c r="D10" s="1365" t="s">
        <v>2116</v>
      </c>
      <c r="E10" s="313" t="s">
        <v>701</v>
      </c>
      <c r="F10" s="1116" t="s">
        <v>3457</v>
      </c>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62728</v>
      </c>
      <c r="D13" s="1081" t="s">
        <v>705</v>
      </c>
      <c r="E13" s="1081" t="s">
        <v>706</v>
      </c>
      <c r="F13" s="1082">
        <f ca="1">INDIRECT("'数据-取费表'!y"&amp;$G$1)</f>
        <v>0.7</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61495</v>
      </c>
      <c r="D14" s="1344" t="s">
        <v>708</v>
      </c>
      <c r="E14" s="1341"/>
      <c r="F14" s="319"/>
      <c r="G14" s="1383"/>
      <c r="H14" s="982" t="s">
        <v>398</v>
      </c>
      <c r="I14" s="302" t="s">
        <v>709</v>
      </c>
      <c r="J14" s="21">
        <f ca="1">C29</f>
        <v>89611</v>
      </c>
      <c r="K14" s="12"/>
      <c r="L14" s="807"/>
      <c r="M14" s="808"/>
    </row>
    <row r="15" spans="1:37" s="1396" customFormat="1" ht="18" customHeight="1" thickBot="1">
      <c r="A15" s="982" t="s">
        <v>399</v>
      </c>
      <c r="B15" s="302" t="s">
        <v>710</v>
      </c>
      <c r="C15" s="21">
        <f ca="1">ROUND(C14*F15,0)</f>
        <v>1845</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3075</v>
      </c>
      <c r="D16" s="302" t="s">
        <v>711</v>
      </c>
      <c r="E16" s="302" t="s">
        <v>712</v>
      </c>
      <c r="F16" s="322">
        <f ca="1">IF(INDIRECT("'数据-取费表'!c"&amp;$G$1)="住宅",'数据-取费表'!B34,0)</f>
        <v>0.05</v>
      </c>
      <c r="G16" s="1383"/>
      <c r="H16" s="1079" t="s">
        <v>393</v>
      </c>
      <c r="I16" s="1080" t="s">
        <v>714</v>
      </c>
      <c r="J16" s="310">
        <f ca="1">ROUND(J17+J22+J23+J24,0)</f>
        <v>448</v>
      </c>
      <c r="K16" s="1087" t="s">
        <v>715</v>
      </c>
      <c r="L16" s="1088"/>
      <c r="M16" s="1072"/>
    </row>
    <row r="17" spans="1:37" s="1396" customFormat="1" ht="18" customHeight="1">
      <c r="A17" s="982" t="s">
        <v>681</v>
      </c>
      <c r="B17" s="302" t="s">
        <v>716</v>
      </c>
      <c r="C17" s="21">
        <f ca="1">ROUND(F17*(F43+INDIRECT("'数据-取费表'!S"&amp;$G$1)),0)</f>
        <v>3514</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922</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70851</v>
      </c>
      <c r="D19" s="131" t="s">
        <v>726</v>
      </c>
      <c r="E19" s="1359"/>
      <c r="F19" s="23"/>
      <c r="G19" s="1383"/>
      <c r="H19" s="982" t="s">
        <v>399</v>
      </c>
      <c r="I19" s="302" t="s">
        <v>727</v>
      </c>
      <c r="J19" s="21">
        <f ca="1">IF(K19="按租金收入计税",ROUND(J6*M19/(1+'数据-取费表'!C42),0),ROUND(C29*M19*0.7,0))</f>
        <v>0</v>
      </c>
      <c r="K19" s="1369" t="s">
        <v>3341</v>
      </c>
      <c r="L19" s="302" t="s">
        <v>712</v>
      </c>
      <c r="M19" s="322">
        <f>IF(K19="按租金收入计税",'数据-取费表'!B51,'数据-取费表'!B50)</f>
        <v>0.12</v>
      </c>
    </row>
    <row r="20" spans="1:37" s="1396" customFormat="1" ht="18" customHeight="1">
      <c r="A20" s="982" t="s">
        <v>402</v>
      </c>
      <c r="B20" s="302" t="s">
        <v>728</v>
      </c>
      <c r="C20" s="21">
        <f ca="1">ROUND(C19*F20,0)</f>
        <v>1417</v>
      </c>
      <c r="D20" s="323" t="s">
        <v>729</v>
      </c>
      <c r="E20" s="302" t="s">
        <v>712</v>
      </c>
      <c r="F20" s="322">
        <f>'数据-取费表'!B37</f>
        <v>0.02</v>
      </c>
      <c r="G20" s="1395"/>
      <c r="H20" s="982" t="s">
        <v>680</v>
      </c>
      <c r="I20" s="155" t="s">
        <v>730</v>
      </c>
      <c r="J20" s="22">
        <f ca="1">ROUND(M20*M21,0)</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448</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3288</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5.0000000000000001E-4</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4.5499999999999999E-2</v>
      </c>
      <c r="G24" s="1395"/>
      <c r="H24" s="1089" t="s">
        <v>684</v>
      </c>
      <c r="I24" s="1090" t="s">
        <v>728</v>
      </c>
      <c r="J24" s="1091">
        <f ca="1">ROUND(J5*M24,0)</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-448</v>
      </c>
      <c r="K25" s="1095" t="s">
        <v>753</v>
      </c>
      <c r="L25" s="1096"/>
      <c r="M25" s="1097"/>
    </row>
    <row r="26" spans="1:37" ht="18" customHeight="1">
      <c r="A26" s="982" t="s">
        <v>397</v>
      </c>
      <c r="B26" s="302" t="s">
        <v>754</v>
      </c>
      <c r="C26" s="21">
        <f ca="1">ROUND((C19+C20)*F26,0)</f>
        <v>7227</v>
      </c>
      <c r="D26" s="323" t="s">
        <v>755</v>
      </c>
      <c r="E26" s="313" t="s">
        <v>756</v>
      </c>
      <c r="F26" s="312">
        <v>0.1</v>
      </c>
      <c r="G26" s="1383"/>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ROUND(F21*F26,4)</f>
        <v>2E-3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89611</v>
      </c>
      <c r="D29" s="1092"/>
      <c r="E29" s="1090"/>
      <c r="F29" s="1093"/>
      <c r="G29" s="1395"/>
      <c r="H29" s="334" t="s">
        <v>396</v>
      </c>
      <c r="I29" s="335" t="s">
        <v>768</v>
      </c>
      <c r="J29" s="336">
        <f ca="1">ROUND(J26/(1+F40)^F41,0)</f>
        <v>0</v>
      </c>
      <c r="K29" s="337" t="s">
        <v>769</v>
      </c>
      <c r="L29" s="338"/>
      <c r="M29" s="339">
        <f ca="1">INDIRECT("'数据-取费表'!k"&amp;$G$1)</f>
        <v>347.45</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1039</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463</v>
      </c>
      <c r="D31" s="1344" t="s">
        <v>720</v>
      </c>
      <c r="E31" s="1343" t="s">
        <v>770</v>
      </c>
      <c r="F31" s="2314">
        <f ca="1">IF(项目基本情况!B11="企业","——",IF(M47="住宅",IF(F6*F7*F8/12/(1+'数据-取费表'!F30)&gt;100000,4%,2.5%),IF(F6*F7*F8/12/(1+'数据-取费表'!F30)&gt;100000,12%,7%)))</f>
        <v>2.5000000000000001E-2</v>
      </c>
      <c r="G31" s="1383"/>
      <c r="H31" s="2807" t="s">
        <v>2310</v>
      </c>
      <c r="I31" s="1397"/>
      <c r="J31" s="1398"/>
      <c r="K31" s="2474"/>
      <c r="L31" s="2697"/>
      <c r="M31" s="2698"/>
    </row>
    <row r="32" spans="1:37" ht="18" customHeight="1">
      <c r="A32" s="982" t="s">
        <v>397</v>
      </c>
      <c r="B32" s="302" t="s">
        <v>723</v>
      </c>
      <c r="C32" s="21" t="str">
        <f>IF(项目基本情况!B11="自然人","——",ROUND(C6*F32/(1+'数据-取费表'!C42),0))</f>
        <v>——</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3341</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t="str">
        <f>IF(项目基本情况!B11="自然人","——",ROUND(F34*F35,0))</f>
        <v>——</v>
      </c>
      <c r="D34" s="324" t="s">
        <v>731</v>
      </c>
      <c r="E34" s="302" t="s">
        <v>732</v>
      </c>
      <c r="F34" s="325">
        <f>'数据-取费表'!B52</f>
        <v>18</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448</v>
      </c>
      <c r="D36" s="1343" t="s">
        <v>771</v>
      </c>
      <c r="E36" s="302" t="s">
        <v>712</v>
      </c>
      <c r="F36" s="328">
        <f ca="1">INDIRECT("'数据-取费表'!Ak"&amp;$G$1)</f>
        <v>5.0000000000000001E-3</v>
      </c>
      <c r="G36" s="1383"/>
      <c r="H36" s="2699"/>
      <c r="I36" s="1397"/>
      <c r="J36" s="1398"/>
      <c r="K36" s="2543"/>
      <c r="L36" s="2699"/>
      <c r="M36" s="2699"/>
    </row>
    <row r="37" spans="1:18" ht="18" customHeight="1">
      <c r="A37" s="982" t="s">
        <v>437</v>
      </c>
      <c r="B37" s="302" t="s">
        <v>742</v>
      </c>
      <c r="C37" s="21">
        <f ca="1">ROUND(C13*F37,0)</f>
        <v>31</v>
      </c>
      <c r="D37" s="1343" t="s">
        <v>743</v>
      </c>
      <c r="E37" s="302" t="s">
        <v>744</v>
      </c>
      <c r="F37" s="330">
        <f ca="1">INDIRECT("'数据-取费表'!Al"&amp;$G$1)</f>
        <v>5.0000000000000001E-4</v>
      </c>
      <c r="G37" s="1383"/>
      <c r="H37" s="2699"/>
      <c r="I37" s="1397"/>
      <c r="J37" s="1398"/>
      <c r="K37" s="2543"/>
      <c r="L37" s="2699"/>
      <c r="M37" s="2699"/>
    </row>
    <row r="38" spans="1:18" ht="18" customHeight="1" thickBot="1">
      <c r="A38" s="1089" t="s">
        <v>684</v>
      </c>
      <c r="B38" s="1090" t="s">
        <v>728</v>
      </c>
      <c r="C38" s="1091">
        <f ca="1">ROUND(C5*F38,0)</f>
        <v>97</v>
      </c>
      <c r="D38" s="1092" t="s">
        <v>748</v>
      </c>
      <c r="E38" s="1090" t="s">
        <v>744</v>
      </c>
      <c r="F38" s="1086">
        <f ca="1">INDIRECT("'数据-取费表'!Am"&amp;$G$1)</f>
        <v>5.0000000000000001E-3</v>
      </c>
      <c r="G38" s="1383"/>
      <c r="H38" s="2699"/>
      <c r="I38" s="1397"/>
      <c r="J38" s="1398"/>
      <c r="K38" s="2703"/>
      <c r="L38" s="2699"/>
      <c r="M38" s="2699"/>
    </row>
    <row r="39" spans="1:18" ht="24.6" customHeight="1" thickTop="1">
      <c r="A39" s="1079" t="s">
        <v>394</v>
      </c>
      <c r="B39" s="1094" t="s">
        <v>772</v>
      </c>
      <c r="C39" s="310">
        <f ca="1">C5-C30</f>
        <v>18425</v>
      </c>
      <c r="D39" s="1095" t="s">
        <v>773</v>
      </c>
      <c r="E39" s="1096"/>
      <c r="F39" s="1097"/>
      <c r="G39" s="1383"/>
      <c r="H39" s="2699"/>
      <c r="I39" s="1397"/>
      <c r="J39" s="1398"/>
      <c r="K39" s="2703"/>
      <c r="L39" s="2699"/>
      <c r="M39" s="2699"/>
    </row>
    <row r="40" spans="1:18" ht="18" customHeight="1">
      <c r="A40" s="299" t="s">
        <v>395</v>
      </c>
      <c r="B40" s="300" t="s">
        <v>774</v>
      </c>
      <c r="C40" s="301">
        <f ca="1">ROUND(C39*(1-((1+F42)/(1+F40))^F41)/(F40-F42),0)</f>
        <v>366138</v>
      </c>
      <c r="D40" s="324" t="s">
        <v>758</v>
      </c>
      <c r="E40" s="302" t="s">
        <v>759</v>
      </c>
      <c r="F40" s="312">
        <f ca="1">INDIRECT("'数据-取费表'!I"&amp;$G$1)</f>
        <v>0.04</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40.39</v>
      </c>
      <c r="G41" s="1383"/>
      <c r="H41" s="1190"/>
      <c r="I41" s="1397"/>
      <c r="J41" s="1398"/>
      <c r="K41" s="2543"/>
      <c r="L41" s="1190"/>
      <c r="M41" s="1190"/>
    </row>
    <row r="42" spans="1:18" ht="18" customHeight="1">
      <c r="A42" s="308"/>
      <c r="B42" s="309"/>
      <c r="C42" s="310"/>
      <c r="D42" s="327"/>
      <c r="E42" s="302" t="s">
        <v>766</v>
      </c>
      <c r="F42" s="312">
        <v>0</v>
      </c>
      <c r="G42" s="1383"/>
      <c r="H42" s="1190"/>
      <c r="I42" s="1397"/>
      <c r="J42" s="1398"/>
      <c r="K42" s="2543"/>
      <c r="L42" s="1190"/>
      <c r="M42" s="1190"/>
    </row>
    <row r="43" spans="1:18" ht="18" customHeight="1" thickBot="1">
      <c r="A43" s="334" t="s">
        <v>396</v>
      </c>
      <c r="B43" s="335" t="s">
        <v>776</v>
      </c>
      <c r="C43" s="336">
        <f ca="1">ROUND(C40/F43,0)</f>
        <v>20839</v>
      </c>
      <c r="D43" s="337" t="s">
        <v>777</v>
      </c>
      <c r="E43" s="338" t="s">
        <v>778</v>
      </c>
      <c r="F43" s="339">
        <v>17.57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3357</v>
      </c>
      <c r="B45" s="1399"/>
      <c r="C45" s="1471">
        <f ca="1">ROUND((C68-C40)/10000,4)</f>
        <v>-37.5657</v>
      </c>
      <c r="D45" s="3431" t="s">
        <v>3358</v>
      </c>
      <c r="E45" s="1399"/>
      <c r="F45" s="1399"/>
      <c r="O45" s="1402" t="s">
        <v>808</v>
      </c>
      <c r="P45" s="1460"/>
      <c r="Q45" s="1460"/>
      <c r="R45" s="1460"/>
    </row>
    <row r="46" spans="1:18" s="1383" customFormat="1" ht="13.5" thickBot="1">
      <c r="A46" s="1403" t="s">
        <v>809</v>
      </c>
      <c r="C46" s="1404">
        <f ca="1">ROUND(C45,0)</f>
        <v>-38</v>
      </c>
      <c r="D46" s="1405" t="str">
        <f>C2</f>
        <v>万元</v>
      </c>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70</v>
      </c>
      <c r="M47" s="1379" t="str">
        <f>IF(ISNUMBER(FIND("住宅",C1)),"住宅","非住宅")</f>
        <v>住宅</v>
      </c>
      <c r="O47" s="1417" t="s">
        <v>403</v>
      </c>
      <c r="P47" s="1418" t="s">
        <v>817</v>
      </c>
      <c r="Q47" s="1419">
        <f ca="1">C40+J29</f>
        <v>366138</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40.39</v>
      </c>
      <c r="O48" s="1417" t="s">
        <v>404</v>
      </c>
      <c r="P48" s="1418" t="s">
        <v>821</v>
      </c>
      <c r="Q48" s="1419" t="str">
        <f ca="1">J60</f>
        <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89611</v>
      </c>
      <c r="R49" s="1419" t="s">
        <v>818</v>
      </c>
    </row>
    <row r="50" spans="1:18" s="1383" customFormat="1" ht="13.5" thickBot="1">
      <c r="A50" s="976"/>
      <c r="B50" s="979"/>
      <c r="C50" s="980"/>
      <c r="D50" s="953"/>
      <c r="E50" s="1056" t="s">
        <v>697</v>
      </c>
      <c r="F50" s="1057">
        <f ca="1">F7</f>
        <v>1</v>
      </c>
      <c r="H50" s="723"/>
      <c r="I50" s="1420" t="s">
        <v>826</v>
      </c>
      <c r="J50" s="1428">
        <f>SUMPRODUCT((I63:I65=J47)*(J62:L62=J48)*(J63:L65))</f>
        <v>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40.39</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7">
        <f ca="1">IF(M47="住宅",IF(D1="——",MAX(J51,L48),MAX(J51,L48-'数据-取费表'!B24)),IF(D1="——",MIN(J51,L48),MIN(J51,L48-'数据-取费表'!B24)))</f>
        <v>40.39</v>
      </c>
      <c r="K53" s="3737" t="s">
        <v>837</v>
      </c>
      <c r="L53" s="3738"/>
      <c r="O53" s="1417" t="s">
        <v>409</v>
      </c>
      <c r="P53" s="1418" t="s">
        <v>838</v>
      </c>
      <c r="Q53" s="1419">
        <f ca="1">Q47+Q48</f>
        <v>366138</v>
      </c>
      <c r="R53" s="1419" t="s">
        <v>410</v>
      </c>
    </row>
    <row r="54" spans="1:18" s="1383" customFormat="1" ht="13.5" thickBot="1">
      <c r="A54" s="975"/>
      <c r="B54" s="1472" t="s">
        <v>891</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62728</v>
      </c>
      <c r="D56" s="1446"/>
      <c r="E56" s="1447"/>
      <c r="F56" s="1439"/>
      <c r="I56" s="1448" t="s">
        <v>842</v>
      </c>
      <c r="J56" s="1449"/>
      <c r="K56" s="1420" t="s">
        <v>843</v>
      </c>
      <c r="L56" s="1423">
        <f ca="1">IF(L48&lt;J51,"——",L48-J51)</f>
        <v>40.39</v>
      </c>
      <c r="O56" s="1417" t="s">
        <v>403</v>
      </c>
      <c r="P56" s="1418" t="s">
        <v>817</v>
      </c>
      <c r="Q56" s="1419">
        <f ca="1">C40+J29</f>
        <v>366138</v>
      </c>
      <c r="R56" s="1419" t="s">
        <v>818</v>
      </c>
    </row>
    <row r="57" spans="1:18" s="1383" customFormat="1" ht="24.75" thickBot="1">
      <c r="A57" s="1450"/>
      <c r="B57" s="950" t="s">
        <v>767</v>
      </c>
      <c r="C57" s="238">
        <f ca="1">C29</f>
        <v>89611</v>
      </c>
      <c r="D57" s="1451"/>
      <c r="E57" s="1452"/>
      <c r="F57" s="1453"/>
      <c r="I57" s="1454" t="s">
        <v>844</v>
      </c>
      <c r="J57" s="1455" t="str">
        <f ca="1">IF(OR(M47="住宅",J51&lt;L48,J56="是"),"——",J51-L48)</f>
        <v>——</v>
      </c>
      <c r="K57" s="1420" t="s">
        <v>892</v>
      </c>
      <c r="L57" s="1423">
        <f ca="1">IF(L48&lt;J51,"——",IF(L55="比较法",L49,IF(L55="基准地价",L50,L51)))</f>
        <v>0</v>
      </c>
      <c r="O57" s="1417" t="s">
        <v>404</v>
      </c>
      <c r="P57" s="1418" t="s">
        <v>893</v>
      </c>
      <c r="Q57" s="1419">
        <f ca="1">L60</f>
        <v>0</v>
      </c>
      <c r="R57" s="1419" t="s">
        <v>894</v>
      </c>
    </row>
    <row r="58" spans="1:18" s="1383" customFormat="1" ht="24.75" thickBot="1">
      <c r="A58" s="315" t="s">
        <v>393</v>
      </c>
      <c r="B58" s="958" t="s">
        <v>714</v>
      </c>
      <c r="C58" s="316">
        <f ca="1">ROUND(C59+C64+C65+C66,0)</f>
        <v>479</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IF(项目基本情况!B11="自然人","——",IF(D61="按租金收入计税",ROUND(C49*F61/(1+'数据-取费表'!C42),0),IF(D61="按房产原值计税",ROUND(C57*F61*0.7,0),INDIRECT("'数据-取费表'!Aj"&amp;$G$1))))</f>
        <v>——</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IF(项目基本情况!B11="自然人","——",ROUND(F62*F63,0))</f>
        <v>——</v>
      </c>
      <c r="D62" s="965" t="s">
        <v>786</v>
      </c>
      <c r="E62" s="950" t="s">
        <v>787</v>
      </c>
      <c r="F62" s="325">
        <f t="shared" si="0"/>
        <v>18</v>
      </c>
      <c r="I62" s="1461" t="s">
        <v>858</v>
      </c>
      <c r="J62" s="1462" t="s">
        <v>859</v>
      </c>
      <c r="K62" s="1462" t="s">
        <v>860</v>
      </c>
      <c r="L62" s="1462" t="s">
        <v>861</v>
      </c>
      <c r="M62" s="1463" t="s">
        <v>862</v>
      </c>
      <c r="O62" s="1417" t="s">
        <v>409</v>
      </c>
      <c r="P62" s="1418" t="s">
        <v>863</v>
      </c>
      <c r="Q62" s="1419">
        <f ca="1">Q56+Q57</f>
        <v>366138</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448</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31</v>
      </c>
      <c r="D65" s="964" t="s">
        <v>743</v>
      </c>
      <c r="E65" s="950" t="s">
        <v>744</v>
      </c>
      <c r="F65" s="330">
        <f t="shared" ca="1" si="0"/>
        <v>5.0000000000000001E-4</v>
      </c>
      <c r="I65" s="1461" t="s">
        <v>867</v>
      </c>
      <c r="J65" s="1462">
        <v>40</v>
      </c>
      <c r="K65" s="1462">
        <v>30</v>
      </c>
      <c r="L65" s="1462">
        <v>50</v>
      </c>
      <c r="M65" s="1464">
        <v>0.02</v>
      </c>
      <c r="O65" s="1417" t="s">
        <v>403</v>
      </c>
      <c r="P65" s="1418" t="s">
        <v>868</v>
      </c>
      <c r="Q65" s="1419">
        <f ca="1">C40+J29</f>
        <v>366138</v>
      </c>
      <c r="R65" s="1419" t="s">
        <v>818</v>
      </c>
    </row>
    <row r="66" spans="1:18" s="1383" customFormat="1" ht="16.5" thickBot="1">
      <c r="A66" s="982" t="s">
        <v>793</v>
      </c>
      <c r="B66" s="950" t="s">
        <v>728</v>
      </c>
      <c r="C66" s="21">
        <f ca="1">ROUND(C48*F66,0)</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-479</v>
      </c>
      <c r="D67" s="963" t="s">
        <v>753</v>
      </c>
      <c r="E67" s="968"/>
      <c r="F67" s="969"/>
      <c r="O67" s="1427" t="s">
        <v>405</v>
      </c>
      <c r="P67" s="1418" t="s">
        <v>850</v>
      </c>
      <c r="Q67" s="1465">
        <f ca="1">L51</f>
        <v>0</v>
      </c>
      <c r="R67" s="1419" t="s">
        <v>870</v>
      </c>
    </row>
    <row r="68" spans="1:18" s="1383" customFormat="1" ht="16.5" thickBot="1">
      <c r="A68" s="947" t="s">
        <v>395</v>
      </c>
      <c r="B68" s="948" t="s">
        <v>774</v>
      </c>
      <c r="C68" s="301">
        <f ca="1">ROUND(C67*(1-((1+F70)/(1+F68))^F69)/(F68-F70),0)</f>
        <v>-9519</v>
      </c>
      <c r="D68" s="965" t="s">
        <v>758</v>
      </c>
      <c r="E68" s="950" t="s">
        <v>759</v>
      </c>
      <c r="F68" s="312">
        <f ca="1">F40</f>
        <v>0.04</v>
      </c>
      <c r="O68" s="1427" t="s">
        <v>406</v>
      </c>
      <c r="P68" s="1466" t="s">
        <v>871</v>
      </c>
      <c r="Q68" s="1419">
        <f ca="1">ROUND(Q69-Q70*Q71,0)</f>
        <v>14348</v>
      </c>
      <c r="R68" s="1419" t="s">
        <v>414</v>
      </c>
    </row>
    <row r="69" spans="1:18" s="1383" customFormat="1" ht="13.5" thickBot="1">
      <c r="A69" s="951"/>
      <c r="B69" s="952"/>
      <c r="C69" s="306"/>
      <c r="D69" s="970" t="s">
        <v>762</v>
      </c>
      <c r="E69" s="950" t="s">
        <v>763</v>
      </c>
      <c r="F69" s="333">
        <f ca="1">F41</f>
        <v>40.39</v>
      </c>
      <c r="O69" s="1427" t="s">
        <v>411</v>
      </c>
      <c r="P69" s="1466" t="s">
        <v>872</v>
      </c>
      <c r="Q69" s="1419">
        <f ca="1">C39</f>
        <v>18425</v>
      </c>
      <c r="R69" s="1419" t="s">
        <v>818</v>
      </c>
    </row>
    <row r="70" spans="1:18" s="1383" customFormat="1" ht="13.5" thickBot="1">
      <c r="A70" s="954"/>
      <c r="B70" s="955"/>
      <c r="C70" s="310"/>
      <c r="D70" s="966"/>
      <c r="E70" s="950" t="s">
        <v>766</v>
      </c>
      <c r="F70" s="1054"/>
      <c r="O70" s="1427" t="s">
        <v>412</v>
      </c>
      <c r="P70" s="1466" t="s">
        <v>873</v>
      </c>
      <c r="Q70" s="1419">
        <f ca="1">C13</f>
        <v>62728</v>
      </c>
      <c r="R70" s="1419" t="s">
        <v>818</v>
      </c>
    </row>
    <row r="71" spans="1:18" s="1383" customFormat="1" ht="13.5" thickBot="1">
      <c r="A71" s="971" t="s">
        <v>396</v>
      </c>
      <c r="B71" s="972" t="s">
        <v>776</v>
      </c>
      <c r="C71" s="336">
        <f ca="1">ROUND(C68/F71,0)</f>
        <v>-542</v>
      </c>
      <c r="D71" s="973" t="s">
        <v>777</v>
      </c>
      <c r="E71" s="974" t="s">
        <v>778</v>
      </c>
      <c r="F71" s="339">
        <f>F43</f>
        <v>17.57</v>
      </c>
      <c r="O71" s="1427" t="s">
        <v>413</v>
      </c>
      <c r="P71" s="1466" t="s">
        <v>874</v>
      </c>
      <c r="Q71" s="1430">
        <f ca="1">C76</f>
        <v>6.5000000000000002E-2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4077</v>
      </c>
      <c r="D75" s="1383"/>
      <c r="E75" s="1383"/>
      <c r="F75" s="1383"/>
      <c r="K75" s="1401"/>
      <c r="L75" s="1383"/>
      <c r="O75" s="1417" t="s">
        <v>409</v>
      </c>
      <c r="P75" s="1418" t="s">
        <v>838</v>
      </c>
      <c r="Q75" s="1419">
        <f ca="1">Q65+Q66</f>
        <v>366138</v>
      </c>
      <c r="R75" s="1419" t="s">
        <v>410</v>
      </c>
    </row>
    <row r="76" spans="1:18">
      <c r="B76" s="342" t="s">
        <v>796</v>
      </c>
      <c r="C76" s="343">
        <f ca="1">INDIRECT("'数据-取费表'!j"&amp;$G$1)</f>
        <v>6.5000000000000002E-2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0.77900000000000003</v>
      </c>
    </row>
    <row r="80" spans="1:18">
      <c r="B80" s="340" t="s">
        <v>800</v>
      </c>
      <c r="C80" s="274">
        <f ca="1">ROUND(C75/C39,3)</f>
        <v>0.221</v>
      </c>
    </row>
    <row r="81" spans="2:3">
      <c r="B81" s="270" t="s">
        <v>801</v>
      </c>
      <c r="C81" s="238"/>
    </row>
    <row r="82" spans="2:3">
      <c r="B82" s="273" t="s">
        <v>802</v>
      </c>
      <c r="C82" s="275">
        <f ca="1">1-C83</f>
        <v>0.82899999999999996</v>
      </c>
    </row>
    <row r="83" spans="2:3">
      <c r="B83" s="273" t="s">
        <v>803</v>
      </c>
      <c r="C83" s="274">
        <f ca="1">ROUND(C13/C40,3)</f>
        <v>0.17100000000000001</v>
      </c>
    </row>
  </sheetData>
  <sheetProtection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估价范围判定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tint="-4.9989318521683403E-2"/>
  </sheetPr>
  <dimension ref="K3:K19"/>
  <sheetViews>
    <sheetView workbookViewId="0">
      <selection activeCell="K9" sqref="K9"/>
    </sheetView>
  </sheetViews>
  <sheetFormatPr defaultRowHeight="13.5"/>
  <sheetData>
    <row r="3" spans="11:11">
      <c r="K3">
        <f>46000/284</f>
        <v>161.97183098591549</v>
      </c>
    </row>
    <row r="4" spans="11:11">
      <c r="K4">
        <f>12000/82.46</f>
        <v>145.52510308028135</v>
      </c>
    </row>
    <row r="5" spans="11:11">
      <c r="K5">
        <f>17000/180.28</f>
        <v>94.29775904149102</v>
      </c>
    </row>
    <row r="6" spans="11:11">
      <c r="K6">
        <f>17900/190</f>
        <v>94.21052631578948</v>
      </c>
    </row>
    <row r="7" spans="11:11">
      <c r="K7">
        <f>AVERAGE(K5:K6)</f>
        <v>94.25414267864025</v>
      </c>
    </row>
    <row r="9" spans="11:11">
      <c r="K9" s="3459">
        <f>140*'数据-汇总表'!E19</f>
        <v>48643</v>
      </c>
    </row>
    <row r="19" spans="11:11">
      <c r="K19" s="3449"/>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H57"/>
  <sheetViews>
    <sheetView view="pageBreakPreview" zoomScale="80" zoomScaleNormal="70" zoomScaleSheetLayoutView="80" workbookViewId="0">
      <selection activeCell="D37" sqref="D3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t="s">
        <v>3383</v>
      </c>
      <c r="C1" s="1858" t="s">
        <v>1563</v>
      </c>
      <c r="D1" s="198"/>
      <c r="E1" s="198"/>
      <c r="F1" s="198"/>
      <c r="G1" s="1126">
        <f>MATCH(B1,'数据-取费表'!A6:A16,0)+5</f>
        <v>6</v>
      </c>
      <c r="H1" s="1061" t="str">
        <f>IF(ISERROR(FIND("住宅",B1)),"非住宅","住宅")</f>
        <v>住宅</v>
      </c>
    </row>
    <row r="2" spans="1:8" s="200" customFormat="1" ht="18" customHeight="1">
      <c r="A2" s="201" t="s">
        <v>1462</v>
      </c>
      <c r="B2" s="3423">
        <f ca="1">ROUND(IF(D2="——",C52/10000,C52/10000-E2),4)</f>
        <v>159.3426</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4586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55592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55592</v>
      </c>
      <c r="D8" s="222"/>
      <c r="E8" s="220"/>
      <c r="F8" s="221"/>
      <c r="G8" s="1855"/>
    </row>
    <row r="9" spans="1:8" s="214" customFormat="1" ht="13.5" customHeight="1">
      <c r="A9" s="779" t="s">
        <v>355</v>
      </c>
      <c r="B9" s="224" t="s">
        <v>1478</v>
      </c>
      <c r="C9" s="225">
        <f ca="1">ROUND(D9*E9,0)</f>
        <v>55592</v>
      </c>
      <c r="D9" s="845">
        <f ca="1">IF(B1="",'数据-汇总表'!E5,IF(INDIRECT("'数据-取费表'!c"&amp;$G$1)="住宅",INDIRECT("'数据-取费表'!k"&amp;$G$1),0))</f>
        <v>347.45</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69490</v>
      </c>
      <c r="D19" s="849">
        <f ca="1">D9+D10</f>
        <v>347.45</v>
      </c>
      <c r="E19" s="211">
        <f>'数据-取费表'!B31</f>
        <v>200</v>
      </c>
      <c r="F19" s="231"/>
      <c r="G19" s="1855"/>
    </row>
    <row r="20" spans="1:7" s="214" customFormat="1" ht="13.5" customHeight="1">
      <c r="A20" s="255" t="s">
        <v>1574</v>
      </c>
      <c r="B20" s="210" t="s">
        <v>1575</v>
      </c>
      <c r="C20" s="232">
        <f ca="1">ROUND((C5+C19)*F20,0)</f>
        <v>2502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11755</v>
      </c>
      <c r="D22" s="235">
        <f ca="1">C26</f>
        <v>8.9999999999999998E-4</v>
      </c>
      <c r="E22" s="236" t="s">
        <v>1579</v>
      </c>
      <c r="F22" s="237">
        <f ca="1">'数据-取费表'!B40</f>
        <v>4.5499999999999999E-2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5174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6467</v>
      </c>
      <c r="D24" s="238"/>
      <c r="E24" s="238"/>
      <c r="F24" s="239"/>
      <c r="G24" s="240" t="s">
        <v>1586</v>
      </c>
    </row>
    <row r="25" spans="1:7" s="214" customFormat="1" ht="24">
      <c r="A25" s="780" t="s">
        <v>1476</v>
      </c>
      <c r="B25" s="215" t="s">
        <v>1587</v>
      </c>
      <c r="C25" s="1128">
        <f ca="1">ROUND(IF('数据-取费表'!B22&lt;=1,C20*F22*'数据-取费表'!B22/2,C20*(POWER((1+F22),'数据-取费表'!B22/2)-1)),0)</f>
        <v>114</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4.75">
      <c r="A27" s="255" t="s">
        <v>1512</v>
      </c>
      <c r="B27" s="244" t="s">
        <v>1513</v>
      </c>
      <c r="C27" s="245">
        <f ca="1">C28</f>
        <v>31896</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31896</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185963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1401092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1216075</v>
      </c>
      <c r="D34" s="217"/>
      <c r="E34" s="220"/>
      <c r="F34" s="257"/>
      <c r="G34" s="219"/>
    </row>
    <row r="35" spans="1:7" ht="13.5" customHeight="1">
      <c r="A35" s="780" t="s">
        <v>351</v>
      </c>
      <c r="B35" s="215" t="s">
        <v>1527</v>
      </c>
      <c r="C35" s="220">
        <f ca="1">ROUND(C34*F35,0)</f>
        <v>36482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60804</v>
      </c>
      <c r="D36" s="220"/>
      <c r="E36" s="220"/>
      <c r="F36" s="259">
        <f>'数据-取费表'!B34</f>
        <v>0.05</v>
      </c>
      <c r="G36" s="260" t="s">
        <v>1530</v>
      </c>
    </row>
    <row r="37" spans="1:7" s="258" customFormat="1" ht="13.5" customHeight="1">
      <c r="A37" s="780" t="s">
        <v>353</v>
      </c>
      <c r="B37" s="215" t="s">
        <v>1531</v>
      </c>
      <c r="C37" s="249">
        <f ca="1">ROUND(E37*D37,0)</f>
        <v>69490</v>
      </c>
      <c r="D37" s="217">
        <f ca="1">D19</f>
        <v>347.45</v>
      </c>
      <c r="E37" s="249">
        <f>'数据-取费表'!B35</f>
        <v>200</v>
      </c>
      <c r="F37" s="259"/>
      <c r="G37" s="261"/>
    </row>
    <row r="38" spans="1:7" ht="13.5" customHeight="1">
      <c r="A38" s="780" t="s">
        <v>354</v>
      </c>
      <c r="B38" s="215" t="s">
        <v>1533</v>
      </c>
      <c r="C38" s="220">
        <f ca="1">ROUND(C34*F38,0)</f>
        <v>18241</v>
      </c>
      <c r="D38" s="220"/>
      <c r="E38" s="220"/>
      <c r="F38" s="259">
        <f>'数据-取费表'!B36</f>
        <v>1.4999999999999999E-2</v>
      </c>
      <c r="G38" s="219" t="s">
        <v>1528</v>
      </c>
    </row>
    <row r="39" spans="1:7" s="214" customFormat="1" ht="13.5" customHeight="1">
      <c r="A39" s="255" t="s">
        <v>1534</v>
      </c>
      <c r="B39" s="210" t="s">
        <v>1535</v>
      </c>
      <c r="C39" s="232">
        <f ca="1">ROUND(C33*F20,0)</f>
        <v>28022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65025</v>
      </c>
      <c r="D41" s="235">
        <f ca="1">C44</f>
        <v>8.9999999999999998E-4</v>
      </c>
      <c r="E41" s="236" t="s">
        <v>1539</v>
      </c>
      <c r="F41" s="237">
        <f ca="1">F22</f>
        <v>4.5499999999999999E-2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63750</v>
      </c>
      <c r="D42" s="238"/>
      <c r="E42" s="238"/>
      <c r="F42" s="239"/>
      <c r="G42" s="3687" t="s">
        <v>1591</v>
      </c>
    </row>
    <row r="43" spans="1:7" ht="13.5" customHeight="1">
      <c r="A43" s="780" t="s">
        <v>347</v>
      </c>
      <c r="B43" s="215" t="s">
        <v>1545</v>
      </c>
      <c r="C43" s="238">
        <f ca="1">ROUND(IF('数据-取费表'!B22&lt;=1,C39*F22*'数据-取费表'!B20/2,C39*(POWER((1+F22),'数据-取费表'!B20/2)-1)),0)</f>
        <v>1275</v>
      </c>
      <c r="D43" s="238"/>
      <c r="E43" s="238"/>
      <c r="F43" s="239"/>
      <c r="G43" s="3688"/>
    </row>
    <row r="44" spans="1:7" ht="13.5" customHeight="1">
      <c r="A44" s="780" t="s">
        <v>348</v>
      </c>
      <c r="B44" s="215" t="s">
        <v>1546</v>
      </c>
      <c r="C44" s="238">
        <f ca="1">ROUND(IF('数据-取费表'!B22&lt;=1,C40*F22*'数据-取费表'!B20/2,C40*(POWER((1+F22),'数据-取费表'!B20/2)-1)),4)</f>
        <v>8.9999999999999998E-4</v>
      </c>
      <c r="D44" s="238"/>
      <c r="E44" s="238"/>
      <c r="F44" s="239"/>
      <c r="G44" s="3689"/>
    </row>
    <row r="45" spans="1:7" s="214" customFormat="1" ht="13.5" customHeight="1">
      <c r="A45" s="255" t="s">
        <v>1547</v>
      </c>
      <c r="B45" s="244" t="s">
        <v>1513</v>
      </c>
      <c r="C45" s="245">
        <f ca="1">C46</f>
        <v>357279</v>
      </c>
      <c r="D45" s="235">
        <f ca="1">C47</f>
        <v>5.0000000000000001E-3</v>
      </c>
      <c r="E45" s="236" t="s">
        <v>1539</v>
      </c>
      <c r="F45" s="246">
        <f ca="1">F27</f>
        <v>0.25</v>
      </c>
      <c r="G45" s="247" t="s">
        <v>1548</v>
      </c>
    </row>
    <row r="46" spans="1:7" s="214" customFormat="1" ht="13.5" customHeight="1">
      <c r="A46" s="780" t="s">
        <v>346</v>
      </c>
      <c r="B46" s="248" t="s">
        <v>1549</v>
      </c>
      <c r="C46" s="249">
        <f ca="1">ROUND((C33+C39)*F27,0)</f>
        <v>357279</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2010662</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1407463</v>
      </c>
      <c r="D51" s="232"/>
      <c r="E51" s="232"/>
      <c r="F51" s="264"/>
      <c r="G51" s="234" t="s">
        <v>1560</v>
      </c>
    </row>
    <row r="52" spans="1:7" s="208" customFormat="1" ht="16.5" thickBot="1">
      <c r="A52" s="265" t="s">
        <v>1561</v>
      </c>
      <c r="B52" s="266"/>
      <c r="C52" s="267">
        <f ca="1">C31+C51</f>
        <v>1593426</v>
      </c>
      <c r="D52" s="266"/>
      <c r="E52" s="266"/>
      <c r="F52" s="266"/>
      <c r="G52" s="268"/>
    </row>
    <row r="55" spans="1:7" ht="15">
      <c r="B55" s="270" t="s">
        <v>1562</v>
      </c>
      <c r="C55" s="271"/>
    </row>
    <row r="56" spans="1:7">
      <c r="B56" s="273" t="s">
        <v>802</v>
      </c>
      <c r="C56" s="275">
        <f ca="1">1-C57</f>
        <v>0.11699999999999999</v>
      </c>
    </row>
    <row r="57" spans="1:7">
      <c r="B57" s="273" t="s">
        <v>803</v>
      </c>
      <c r="C57" s="274">
        <f ca="1">ROUND(C51/C52,3)</f>
        <v>0.88300000000000001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A00-000000000000}">
      <formula1>"已包含在土地购买价格中,未包含在土地购买价格中"</formula1>
    </dataValidation>
    <dataValidation type="list" allowBlank="1" showInputMessage="1" showErrorMessage="1" sqref="G19" xr:uid="{00000000-0002-0000-1A00-000001000000}">
      <formula1>"已包含在土地取得成本中,未包含在土地取得成本中"</formula1>
    </dataValidation>
    <dataValidation type="list" allowBlank="1" showInputMessage="1" showErrorMessage="1" sqref="B1" xr:uid="{00000000-0002-0000-1A00-000002000000}">
      <formula1>项目类型</formula1>
    </dataValidation>
    <dataValidation type="list" allowBlank="1" showInputMessage="1" showErrorMessage="1" sqref="G2" xr:uid="{00000000-0002-0000-1A00-000003000000}">
      <formula1>估价方法</formula1>
    </dataValidation>
    <dataValidation type="list" allowBlank="1" showInputMessage="1" showErrorMessage="1" sqref="D2" xr:uid="{00000000-0002-0000-1A00-000004000000}">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估价对象为北京市房地产，为所有。根据《国有土地使用证》[]，估价对象（分摊）出让国有建设用地使用权面积为0平方米，建筑面积为347.45平方米。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估价对象为北京市房地产,属开发建设的，该项目尚在开发建设中。根据《国有土地使用证》[]，估价对象（分摊）出让国有建设用地使用权面积为0平方米，规划建筑面积为347.45平方米。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2023年11月1日（评估专业人员实地查勘之日）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-8</v>
      </c>
      <c r="C2" s="276" t="s">
        <v>1595</v>
      </c>
      <c r="D2" s="276"/>
      <c r="E2" s="2805"/>
      <c r="F2" s="2805"/>
      <c r="G2" s="2805"/>
      <c r="H2" s="2805"/>
      <c r="I2" s="2805"/>
      <c r="J2" s="2805"/>
      <c r="K2" s="2805"/>
    </row>
    <row r="3" spans="1:33" ht="18" customHeight="1" thickBot="1">
      <c r="A3" s="203" t="s">
        <v>1464</v>
      </c>
      <c r="B3" s="204">
        <f ca="1">ROUND(B2*10000/IF(C1="",'数据-汇总表'!E3,INDIRECT("'数据-取费表'!K"&amp;$K$1)),0)</f>
        <v>-230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347.45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347.45</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6</v>
      </c>
      <c r="D18" s="846"/>
      <c r="E18" s="21"/>
      <c r="F18" s="804"/>
      <c r="G18" s="1861"/>
      <c r="H18" s="1186"/>
      <c r="I18" s="1862" t="s">
        <v>1625</v>
      </c>
      <c r="J18" s="807"/>
      <c r="K18" s="808"/>
    </row>
    <row r="19" spans="1:33" s="803" customFormat="1" ht="13.5" customHeight="1">
      <c r="A19" s="800" t="s">
        <v>360</v>
      </c>
      <c r="B19" s="801" t="s">
        <v>1626</v>
      </c>
      <c r="C19" s="21">
        <f ca="1">ROUND(D19*E19/10000,0)</f>
        <v>6</v>
      </c>
      <c r="D19" s="846">
        <f ca="1">IF(C1="",'数据-汇总表'!E5,IF(INDIRECT("'数据-取费表'!c"&amp;$K$1)="住宅",INDIRECT("'数据-取费表'!k"&amp;$K$1),0))</f>
        <v>347.45</v>
      </c>
      <c r="E19" s="21">
        <f>'数据-取费表'!B27</f>
        <v>160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6</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4.5499999999999999E-2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2</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B00-000000000000}">
      <formula1>项目类型</formula1>
    </dataValidation>
    <dataValidation type="list" allowBlank="1" showInputMessage="1" showErrorMessage="1" sqref="G18" xr:uid="{00000000-0002-0000-1B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t="e">
        <f>IF(D2="——",C40,C40+E2)</f>
        <v>#DIV/0!</v>
      </c>
      <c r="C2" s="2843" t="s">
        <v>2319</v>
      </c>
      <c r="D2" s="3442" t="s">
        <v>3364</v>
      </c>
      <c r="E2" s="3443"/>
      <c r="F2" s="2845"/>
      <c r="G2" s="2846"/>
      <c r="H2" s="2847"/>
      <c r="I2" s="2848"/>
      <c r="J2" s="3742" t="s">
        <v>2320</v>
      </c>
      <c r="K2" s="3743"/>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744" t="s">
        <v>2330</v>
      </c>
      <c r="K3" s="3745"/>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744" t="s">
        <v>2332</v>
      </c>
      <c r="K4" s="3745"/>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746" t="s">
        <v>2336</v>
      </c>
      <c r="B6" s="3747"/>
      <c r="C6" s="3748"/>
      <c r="D6" s="2869"/>
      <c r="E6" s="2870"/>
      <c r="F6" s="2871"/>
      <c r="G6" s="2872"/>
      <c r="H6" s="2847"/>
      <c r="I6" s="2848"/>
      <c r="J6" s="3749">
        <v>1</v>
      </c>
      <c r="K6" s="3750"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749"/>
      <c r="K7" s="3751"/>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753" t="s">
        <v>2350</v>
      </c>
      <c r="C8" s="3754"/>
      <c r="D8" s="2888" t="s">
        <v>2351</v>
      </c>
      <c r="E8" s="2889" t="s">
        <v>2352</v>
      </c>
      <c r="F8" s="2890" t="s">
        <v>2353</v>
      </c>
      <c r="G8" s="2891"/>
      <c r="H8" s="2847"/>
      <c r="I8" s="2848"/>
      <c r="J8" s="3749"/>
      <c r="K8" s="3751"/>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753" t="s">
        <v>2356</v>
      </c>
      <c r="C9" s="3754"/>
      <c r="D9" s="2888">
        <f>ROUND(D6*E9,0)</f>
        <v>0</v>
      </c>
      <c r="E9" s="2892"/>
      <c r="F9" s="2893" t="s">
        <v>2357</v>
      </c>
      <c r="G9" s="2872"/>
      <c r="H9" s="2847"/>
      <c r="I9" s="2848"/>
      <c r="J9" s="3749"/>
      <c r="K9" s="3751"/>
      <c r="L9" s="2882" t="s">
        <v>2358</v>
      </c>
      <c r="M9" s="2883"/>
      <c r="N9" s="2859"/>
      <c r="O9" s="2884"/>
      <c r="P9" s="2884"/>
      <c r="Q9" s="2885">
        <v>365</v>
      </c>
      <c r="R9" s="2886">
        <f t="shared" si="0"/>
        <v>0</v>
      </c>
      <c r="S9" s="2840"/>
      <c r="T9" s="2840"/>
      <c r="U9" s="2840"/>
      <c r="V9" s="2848"/>
    </row>
    <row r="10" spans="1:22" s="2852" customFormat="1" ht="13.15" customHeight="1">
      <c r="A10" s="2887">
        <v>2</v>
      </c>
      <c r="B10" s="3753" t="s">
        <v>2359</v>
      </c>
      <c r="C10" s="3754"/>
      <c r="D10" s="2888">
        <f>ROUND(D6*E10,0)</f>
        <v>0</v>
      </c>
      <c r="E10" s="2892"/>
      <c r="F10" s="2893" t="s">
        <v>2360</v>
      </c>
      <c r="G10" s="2872"/>
      <c r="H10" s="2847"/>
      <c r="I10" s="2848"/>
      <c r="J10" s="3749"/>
      <c r="K10" s="3751"/>
      <c r="L10" s="2882" t="s">
        <v>2361</v>
      </c>
      <c r="M10" s="2883"/>
      <c r="N10" s="2859"/>
      <c r="O10" s="2884"/>
      <c r="P10" s="2884"/>
      <c r="Q10" s="2885">
        <v>365</v>
      </c>
      <c r="R10" s="2886">
        <f t="shared" si="0"/>
        <v>0</v>
      </c>
      <c r="S10" s="2840"/>
      <c r="T10" s="2840"/>
      <c r="U10" s="2840"/>
      <c r="V10" s="2848"/>
    </row>
    <row r="11" spans="1:22" s="2852" customFormat="1" ht="13.15" customHeight="1">
      <c r="A11" s="2887">
        <v>3</v>
      </c>
      <c r="B11" s="3753" t="s">
        <v>2362</v>
      </c>
      <c r="C11" s="3754"/>
      <c r="D11" s="2888">
        <f>D12+D14+D15+D16</f>
        <v>0</v>
      </c>
      <c r="E11" s="2894" t="e">
        <f>D11/D6</f>
        <v>#DIV/0!</v>
      </c>
      <c r="F11" s="2890"/>
      <c r="G11" s="2891"/>
      <c r="H11" s="2847"/>
      <c r="I11" s="2848"/>
      <c r="J11" s="3749"/>
      <c r="K11" s="3751"/>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755" t="s">
        <v>2365</v>
      </c>
      <c r="C12" s="3756"/>
      <c r="D12" s="2896">
        <f>ROUND(D13*1.2%*(1-30%),0)</f>
        <v>0</v>
      </c>
      <c r="E12" s="2897">
        <v>1.2E-2</v>
      </c>
      <c r="F12" s="2890" t="s">
        <v>2366</v>
      </c>
      <c r="G12" s="2891"/>
      <c r="H12" s="2847"/>
      <c r="I12" s="2848"/>
      <c r="J12" s="3749"/>
      <c r="K12" s="3751"/>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749"/>
      <c r="K13" s="3751"/>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755" t="s">
        <v>2371</v>
      </c>
      <c r="C14" s="3756"/>
      <c r="D14" s="2896">
        <f>ROUND(E14*B5/10000,0)</f>
        <v>0</v>
      </c>
      <c r="E14" s="2885"/>
      <c r="F14" s="2890" t="s">
        <v>2372</v>
      </c>
      <c r="G14" s="2891"/>
      <c r="H14" s="2847"/>
      <c r="I14" s="2848"/>
      <c r="J14" s="3749"/>
      <c r="K14" s="3752"/>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755" t="s">
        <v>2375</v>
      </c>
      <c r="C15" s="3756"/>
      <c r="D15" s="2896">
        <f>ROUND(D6*E15,0)</f>
        <v>0</v>
      </c>
      <c r="E15" s="2897">
        <v>5.5E-2</v>
      </c>
      <c r="F15" s="2890" t="s">
        <v>2376</v>
      </c>
      <c r="G15" s="2872"/>
      <c r="H15" s="2847"/>
      <c r="I15" s="2848"/>
      <c r="J15" s="3749">
        <v>2</v>
      </c>
      <c r="K15" s="3750"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755" t="s">
        <v>2384</v>
      </c>
      <c r="C16" s="3756"/>
      <c r="D16" s="2907">
        <f>D6*E16</f>
        <v>0</v>
      </c>
      <c r="E16" s="2908"/>
      <c r="F16" s="2893" t="s">
        <v>2385</v>
      </c>
      <c r="G16" s="2872"/>
      <c r="H16" s="2847"/>
      <c r="I16" s="2848"/>
      <c r="J16" s="3749"/>
      <c r="K16" s="3751"/>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757" t="s">
        <v>2387</v>
      </c>
      <c r="C17" s="3758"/>
      <c r="D17" s="2910">
        <f>ROUND(D6*E17,0)</f>
        <v>0</v>
      </c>
      <c r="E17" s="2911"/>
      <c r="F17" s="2912" t="s">
        <v>2388</v>
      </c>
      <c r="G17" s="2872"/>
      <c r="H17" s="2847"/>
      <c r="I17" s="2848"/>
      <c r="J17" s="3749"/>
      <c r="K17" s="3751"/>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749"/>
      <c r="K18" s="3751"/>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749"/>
      <c r="K19" s="3752"/>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49">
        <v>3</v>
      </c>
      <c r="K20" s="3750"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749"/>
      <c r="K21" s="3751"/>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749"/>
      <c r="K22" s="3751"/>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749"/>
      <c r="K23" s="3751"/>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749"/>
      <c r="K24" s="3752"/>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759">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760"/>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742" t="s">
        <v>2320</v>
      </c>
      <c r="K32" s="3743"/>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744" t="s">
        <v>2330</v>
      </c>
      <c r="K33" s="3745"/>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744" t="s">
        <v>2332</v>
      </c>
      <c r="K34" s="3745"/>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749">
        <v>1</v>
      </c>
      <c r="K36" s="3750"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749"/>
      <c r="K37" s="3751"/>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49"/>
      <c r="K38" s="3751"/>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749"/>
      <c r="K39" s="3751"/>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749"/>
      <c r="K40" s="3752"/>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759">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760"/>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C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1000000}">
      <formula1>"按明细,按比例"</formula1>
    </dataValidation>
    <dataValidation type="list" allowBlank="1" showInputMessage="1" showErrorMessage="1" sqref="D2" xr:uid="{00000000-0002-0000-1C00-000002000000}">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1840</v>
      </c>
      <c r="C2" s="1871" t="s">
        <v>1651</v>
      </c>
      <c r="D2" s="1872" t="s">
        <v>1652</v>
      </c>
      <c r="E2" s="2606">
        <f>SUM(E6:E13)</f>
        <v>347.45</v>
      </c>
      <c r="F2" s="2706"/>
      <c r="G2" s="1488"/>
      <c r="H2" s="1488"/>
      <c r="I2" s="1488"/>
      <c r="J2" s="1488"/>
      <c r="K2" s="1488"/>
      <c r="L2" s="1488"/>
      <c r="M2" s="1488"/>
      <c r="N2" s="1488"/>
      <c r="O2" s="1488"/>
      <c r="P2" s="1488"/>
      <c r="Q2" s="1488"/>
      <c r="R2" s="1488"/>
      <c r="S2" s="1488"/>
    </row>
    <row r="3" spans="1:22" ht="15.75">
      <c r="A3" s="1869" t="s">
        <v>686</v>
      </c>
      <c r="B3" s="2600">
        <f ca="1">ROUND(B2*10000/E2,0)</f>
        <v>52957</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61" t="s">
        <v>1654</v>
      </c>
      <c r="C5" s="3762"/>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1840</v>
      </c>
      <c r="C6" s="1871" t="s">
        <v>1651</v>
      </c>
      <c r="D6" s="2708"/>
      <c r="E6" s="2605">
        <f>IF(OR(A6=0,F6="否"),0,'数据-取费表'!K6+'数据-取费表'!S6)</f>
        <v>347.45</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347.45</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709" t="s">
        <v>1770</v>
      </c>
      <c r="D4" s="3710"/>
      <c r="E4" s="3711" t="s">
        <v>1771</v>
      </c>
      <c r="F4" s="3712"/>
      <c r="G4" s="3709" t="s">
        <v>1772</v>
      </c>
      <c r="H4" s="3710"/>
      <c r="I4" s="3709" t="s">
        <v>1773</v>
      </c>
      <c r="J4" s="3710"/>
      <c r="K4" s="559" t="s">
        <v>1774</v>
      </c>
      <c r="L4" s="2714"/>
      <c r="M4" s="2715"/>
      <c r="N4" s="2715"/>
      <c r="O4" s="2715"/>
      <c r="P4" s="3713" t="s">
        <v>1775</v>
      </c>
      <c r="Q4" s="3714"/>
      <c r="R4" s="3695" t="s">
        <v>1771</v>
      </c>
      <c r="S4" s="3696"/>
      <c r="T4" s="3695" t="s">
        <v>1772</v>
      </c>
      <c r="U4" s="3696"/>
      <c r="V4" s="3721" t="s">
        <v>1773</v>
      </c>
      <c r="W4" s="3721"/>
      <c r="X4" s="1354"/>
      <c r="Y4" s="3695" t="s">
        <v>1775</v>
      </c>
      <c r="Z4" s="3696"/>
      <c r="AA4" s="3690" t="s">
        <v>1771</v>
      </c>
      <c r="AB4" s="3721" t="s">
        <v>1772</v>
      </c>
      <c r="AC4" s="3690" t="s">
        <v>1773</v>
      </c>
    </row>
    <row r="5" spans="1:29" ht="15">
      <c r="A5" s="358"/>
      <c r="B5" s="359"/>
      <c r="C5" s="3705" t="s">
        <v>1673</v>
      </c>
      <c r="D5" s="3702"/>
      <c r="E5" s="3699" t="s">
        <v>1674</v>
      </c>
      <c r="F5" s="3700"/>
      <c r="G5" s="3705" t="s">
        <v>1675</v>
      </c>
      <c r="H5" s="3702"/>
      <c r="I5" s="3705" t="s">
        <v>1676</v>
      </c>
      <c r="J5" s="3702"/>
      <c r="K5" s="559"/>
      <c r="L5" s="2714"/>
      <c r="M5" s="2715"/>
      <c r="N5" s="2715"/>
      <c r="O5" s="2715"/>
      <c r="P5" s="3715"/>
      <c r="Q5" s="3716"/>
      <c r="R5" s="3697"/>
      <c r="S5" s="3698"/>
      <c r="T5" s="3697"/>
      <c r="U5" s="3698"/>
      <c r="V5" s="3721"/>
      <c r="W5" s="3721"/>
      <c r="X5" s="1354"/>
      <c r="Y5" s="3697"/>
      <c r="Z5" s="3698"/>
      <c r="AA5" s="3691"/>
      <c r="AB5" s="3721"/>
      <c r="AC5" s="3691"/>
    </row>
    <row r="6" spans="1:29" ht="15.75" thickBot="1">
      <c r="A6" s="360"/>
      <c r="B6" s="361"/>
      <c r="C6" s="3703" t="s">
        <v>1677</v>
      </c>
      <c r="D6" s="3704"/>
      <c r="E6" s="3706" t="s">
        <v>1677</v>
      </c>
      <c r="F6" s="3707"/>
      <c r="G6" s="3703" t="s">
        <v>1677</v>
      </c>
      <c r="H6" s="3704"/>
      <c r="I6" s="3703" t="s">
        <v>1677</v>
      </c>
      <c r="J6" s="3704"/>
      <c r="K6" s="559" t="s">
        <v>1678</v>
      </c>
      <c r="L6" s="2714"/>
      <c r="M6" s="2715"/>
      <c r="N6" s="2715"/>
      <c r="O6" s="2715"/>
      <c r="P6" s="3717"/>
      <c r="Q6" s="3718"/>
      <c r="R6" s="3697"/>
      <c r="S6" s="3698"/>
      <c r="T6" s="3719"/>
      <c r="U6" s="3720"/>
      <c r="V6" s="3721"/>
      <c r="W6" s="3721"/>
      <c r="X6" s="1354"/>
      <c r="Y6" s="3719"/>
      <c r="Z6" s="3720"/>
      <c r="AA6" s="3692"/>
      <c r="AB6" s="3721"/>
      <c r="AC6" s="3692"/>
    </row>
    <row r="7" spans="1:29" s="108" customFormat="1" ht="15.75" thickBot="1">
      <c r="A7" s="362" t="s">
        <v>1679</v>
      </c>
      <c r="B7" s="363"/>
      <c r="C7" s="364">
        <f>'数据-取费表'!B2</f>
        <v>45231</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93" t="s">
        <v>1680</v>
      </c>
      <c r="Q7" s="3722"/>
      <c r="R7" s="701" t="s">
        <v>14</v>
      </c>
      <c r="S7" s="702">
        <f t="shared" ref="S7:S15" si="0">F7</f>
        <v>0</v>
      </c>
      <c r="T7" s="701" t="s">
        <v>14</v>
      </c>
      <c r="U7" s="702">
        <f t="shared" ref="U7:U15" si="1">H7</f>
        <v>0</v>
      </c>
      <c r="V7" s="701" t="s">
        <v>14</v>
      </c>
      <c r="W7" s="702">
        <f t="shared" ref="W7:W15" si="2">J7</f>
        <v>0</v>
      </c>
      <c r="X7" s="703"/>
      <c r="Y7" s="3693" t="s">
        <v>1680</v>
      </c>
      <c r="Z7" s="369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93" t="s">
        <v>1683</v>
      </c>
      <c r="Q8" s="3694"/>
      <c r="R8" s="701" t="s">
        <v>14</v>
      </c>
      <c r="S8" s="702">
        <f t="shared" si="0"/>
        <v>100</v>
      </c>
      <c r="T8" s="701" t="s">
        <v>14</v>
      </c>
      <c r="U8" s="702">
        <f t="shared" si="1"/>
        <v>100</v>
      </c>
      <c r="V8" s="701" t="s">
        <v>14</v>
      </c>
      <c r="W8" s="702">
        <f t="shared" si="2"/>
        <v>100</v>
      </c>
      <c r="X8" s="703"/>
      <c r="Y8" s="3693" t="s">
        <v>1683</v>
      </c>
      <c r="Z8" s="369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08" t="s">
        <v>1686</v>
      </c>
      <c r="Q9" s="1342" t="str">
        <f t="shared" ref="Q9:Q15" si="6">B9</f>
        <v>用途</v>
      </c>
      <c r="R9" s="701" t="s">
        <v>14</v>
      </c>
      <c r="S9" s="702">
        <f t="shared" si="0"/>
        <v>100</v>
      </c>
      <c r="T9" s="701" t="s">
        <v>14</v>
      </c>
      <c r="U9" s="702">
        <f t="shared" si="1"/>
        <v>100</v>
      </c>
      <c r="V9" s="701" t="s">
        <v>14</v>
      </c>
      <c r="W9" s="702">
        <f t="shared" si="2"/>
        <v>100</v>
      </c>
      <c r="X9" s="703"/>
      <c r="Y9" s="366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08"/>
      <c r="Q10" s="1342" t="str">
        <f t="shared" si="6"/>
        <v>土地使用年限（年）</v>
      </c>
      <c r="R10" s="701" t="s">
        <v>14</v>
      </c>
      <c r="S10" s="702">
        <f t="shared" si="0"/>
        <v>100</v>
      </c>
      <c r="T10" s="701" t="s">
        <v>14</v>
      </c>
      <c r="U10" s="702">
        <f t="shared" si="1"/>
        <v>100</v>
      </c>
      <c r="V10" s="701" t="s">
        <v>14</v>
      </c>
      <c r="W10" s="702">
        <f t="shared" si="2"/>
        <v>100</v>
      </c>
      <c r="X10" s="703"/>
      <c r="Y10" s="366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08"/>
      <c r="Q11" s="1342" t="str">
        <f t="shared" si="6"/>
        <v>容积率</v>
      </c>
      <c r="R11" s="701" t="s">
        <v>14</v>
      </c>
      <c r="S11" s="702" t="e">
        <f t="shared" si="0"/>
        <v>#N/A</v>
      </c>
      <c r="T11" s="701" t="s">
        <v>14</v>
      </c>
      <c r="U11" s="702" t="e">
        <f t="shared" si="1"/>
        <v>#N/A</v>
      </c>
      <c r="V11" s="701" t="s">
        <v>14</v>
      </c>
      <c r="W11" s="702" t="e">
        <f t="shared" si="2"/>
        <v>#N/A</v>
      </c>
      <c r="X11" s="703"/>
      <c r="Y11" s="3663"/>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08"/>
      <c r="Q12" s="1342">
        <f t="shared" si="6"/>
        <v>111</v>
      </c>
      <c r="R12" s="701" t="s">
        <v>14</v>
      </c>
      <c r="S12" s="702">
        <f t="shared" si="0"/>
        <v>100</v>
      </c>
      <c r="T12" s="701" t="s">
        <v>14</v>
      </c>
      <c r="U12" s="702">
        <f t="shared" si="1"/>
        <v>100</v>
      </c>
      <c r="V12" s="701" t="s">
        <v>14</v>
      </c>
      <c r="W12" s="702">
        <f t="shared" si="2"/>
        <v>100</v>
      </c>
      <c r="X12" s="703"/>
      <c r="Y12" s="3663"/>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08"/>
      <c r="Q13" s="1342">
        <f t="shared" si="6"/>
        <v>111</v>
      </c>
      <c r="R13" s="701" t="s">
        <v>14</v>
      </c>
      <c r="S13" s="702">
        <f t="shared" si="0"/>
        <v>100</v>
      </c>
      <c r="T13" s="701" t="s">
        <v>14</v>
      </c>
      <c r="U13" s="702">
        <f t="shared" si="1"/>
        <v>100</v>
      </c>
      <c r="V13" s="701" t="s">
        <v>14</v>
      </c>
      <c r="W13" s="702">
        <f t="shared" si="2"/>
        <v>100</v>
      </c>
      <c r="X13" s="703"/>
      <c r="Y13" s="3663"/>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08"/>
      <c r="Q14" s="1342">
        <f t="shared" si="6"/>
        <v>111</v>
      </c>
      <c r="R14" s="701" t="s">
        <v>14</v>
      </c>
      <c r="S14" s="702">
        <f t="shared" si="0"/>
        <v>100</v>
      </c>
      <c r="T14" s="701" t="s">
        <v>14</v>
      </c>
      <c r="U14" s="702">
        <f t="shared" si="1"/>
        <v>100</v>
      </c>
      <c r="V14" s="701" t="s">
        <v>14</v>
      </c>
      <c r="W14" s="702">
        <f t="shared" si="2"/>
        <v>100</v>
      </c>
      <c r="X14" s="703"/>
      <c r="Y14" s="3663"/>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35" t="s">
        <v>1691</v>
      </c>
      <c r="Q15" s="1351" t="str">
        <f t="shared" si="6"/>
        <v>商业繁华度</v>
      </c>
      <c r="R15" s="705" t="s">
        <v>14</v>
      </c>
      <c r="S15" s="706">
        <f t="shared" si="0"/>
        <v>100</v>
      </c>
      <c r="T15" s="705" t="s">
        <v>14</v>
      </c>
      <c r="U15" s="706">
        <f t="shared" si="1"/>
        <v>100</v>
      </c>
      <c r="V15" s="705" t="s">
        <v>14</v>
      </c>
      <c r="W15" s="706">
        <f t="shared" si="2"/>
        <v>100</v>
      </c>
      <c r="X15" s="1354"/>
      <c r="Y15" s="3728"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36"/>
      <c r="Q16" s="1351"/>
      <c r="R16" s="705"/>
      <c r="S16" s="706"/>
      <c r="T16" s="705"/>
      <c r="U16" s="706"/>
      <c r="V16" s="705"/>
      <c r="W16" s="706"/>
      <c r="X16" s="1354"/>
      <c r="Y16" s="3729"/>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36"/>
      <c r="Q17" s="1351" t="str">
        <f>B17</f>
        <v>交通便捷度</v>
      </c>
      <c r="R17" s="705" t="s">
        <v>14</v>
      </c>
      <c r="S17" s="706">
        <f>F17</f>
        <v>100</v>
      </c>
      <c r="T17" s="705" t="s">
        <v>14</v>
      </c>
      <c r="U17" s="706">
        <f>H17</f>
        <v>100</v>
      </c>
      <c r="V17" s="705" t="s">
        <v>14</v>
      </c>
      <c r="W17" s="706">
        <f>J17</f>
        <v>100</v>
      </c>
      <c r="X17" s="1354"/>
      <c r="Y17" s="3729"/>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36"/>
      <c r="Q18" s="1351"/>
      <c r="R18" s="705"/>
      <c r="S18" s="706"/>
      <c r="T18" s="705"/>
      <c r="U18" s="706"/>
      <c r="V18" s="705"/>
      <c r="W18" s="706"/>
      <c r="X18" s="1354"/>
      <c r="Y18" s="3729"/>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36"/>
      <c r="Q19" s="1351" t="str">
        <f>B19</f>
        <v>公共配套设施</v>
      </c>
      <c r="R19" s="705" t="s">
        <v>14</v>
      </c>
      <c r="S19" s="706">
        <f>F19</f>
        <v>100</v>
      </c>
      <c r="T19" s="705" t="s">
        <v>14</v>
      </c>
      <c r="U19" s="706">
        <f>H19</f>
        <v>100</v>
      </c>
      <c r="V19" s="705" t="s">
        <v>14</v>
      </c>
      <c r="W19" s="706">
        <f>J19</f>
        <v>100</v>
      </c>
      <c r="X19" s="1354"/>
      <c r="Y19" s="3729"/>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36"/>
      <c r="Q20" s="1351"/>
      <c r="R20" s="705"/>
      <c r="S20" s="706"/>
      <c r="T20" s="705"/>
      <c r="U20" s="706"/>
      <c r="V20" s="705"/>
      <c r="W20" s="706"/>
      <c r="X20" s="1354"/>
      <c r="Y20" s="3729"/>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36"/>
      <c r="Q21" s="1351" t="str">
        <f>B21</f>
        <v>基础设施水平</v>
      </c>
      <c r="R21" s="705" t="s">
        <v>14</v>
      </c>
      <c r="S21" s="706">
        <f>F21</f>
        <v>100</v>
      </c>
      <c r="T21" s="705" t="s">
        <v>14</v>
      </c>
      <c r="U21" s="706">
        <f>H21</f>
        <v>100</v>
      </c>
      <c r="V21" s="705" t="s">
        <v>14</v>
      </c>
      <c r="W21" s="706">
        <f>J21</f>
        <v>100</v>
      </c>
      <c r="X21" s="1354"/>
      <c r="Y21" s="3729"/>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36"/>
      <c r="Q22" s="1351"/>
      <c r="R22" s="705"/>
      <c r="S22" s="706"/>
      <c r="T22" s="705"/>
      <c r="U22" s="706"/>
      <c r="V22" s="705"/>
      <c r="W22" s="706"/>
      <c r="X22" s="1354"/>
      <c r="Y22" s="3729"/>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36"/>
      <c r="Q23" s="1351" t="str">
        <f>B23</f>
        <v>自然及人文环境</v>
      </c>
      <c r="R23" s="705" t="s">
        <v>14</v>
      </c>
      <c r="S23" s="706">
        <f>F23</f>
        <v>100</v>
      </c>
      <c r="T23" s="705" t="s">
        <v>14</v>
      </c>
      <c r="U23" s="706">
        <f>H23</f>
        <v>100</v>
      </c>
      <c r="V23" s="705" t="s">
        <v>14</v>
      </c>
      <c r="W23" s="706">
        <f>J23</f>
        <v>100</v>
      </c>
      <c r="X23" s="1354"/>
      <c r="Y23" s="3729"/>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36"/>
      <c r="Q24" s="1351"/>
      <c r="R24" s="705"/>
      <c r="S24" s="706"/>
      <c r="T24" s="705"/>
      <c r="U24" s="706"/>
      <c r="V24" s="705"/>
      <c r="W24" s="706"/>
      <c r="X24" s="1354"/>
      <c r="Y24" s="3729"/>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36"/>
      <c r="Q25" s="1351" t="str">
        <f t="shared" ref="Q25:Q46" si="11">B25</f>
        <v>临街状况</v>
      </c>
      <c r="R25" s="705" t="s">
        <v>14</v>
      </c>
      <c r="S25" s="706">
        <f>F25</f>
        <v>100</v>
      </c>
      <c r="T25" s="705" t="s">
        <v>14</v>
      </c>
      <c r="U25" s="706">
        <f>H25</f>
        <v>100</v>
      </c>
      <c r="V25" s="705" t="s">
        <v>14</v>
      </c>
      <c r="W25" s="706">
        <f>J25</f>
        <v>100</v>
      </c>
      <c r="X25" s="1354"/>
      <c r="Y25" s="3729"/>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36"/>
      <c r="Q26" s="1351" t="str">
        <f t="shared" si="11"/>
        <v>平面位置/可视性</v>
      </c>
      <c r="R26" s="705" t="s">
        <v>14</v>
      </c>
      <c r="S26" s="706">
        <f>F26</f>
        <v>100</v>
      </c>
      <c r="T26" s="705" t="s">
        <v>14</v>
      </c>
      <c r="U26" s="706">
        <f>H26</f>
        <v>100</v>
      </c>
      <c r="V26" s="705" t="s">
        <v>14</v>
      </c>
      <c r="W26" s="706">
        <f>J26</f>
        <v>100</v>
      </c>
      <c r="X26" s="1354"/>
      <c r="Y26" s="3729"/>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36"/>
      <c r="Q27" s="1342" t="str">
        <f t="shared" si="11"/>
        <v>人流量</v>
      </c>
      <c r="R27" s="701" t="s">
        <v>14</v>
      </c>
      <c r="S27" s="702">
        <f>F27</f>
        <v>100</v>
      </c>
      <c r="T27" s="701" t="s">
        <v>14</v>
      </c>
      <c r="U27" s="702">
        <f>H27</f>
        <v>100</v>
      </c>
      <c r="V27" s="701" t="s">
        <v>14</v>
      </c>
      <c r="W27" s="702">
        <f>J27</f>
        <v>100</v>
      </c>
      <c r="X27" s="703"/>
      <c r="Y27" s="3729"/>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36"/>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29"/>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36"/>
      <c r="Q29" s="1351">
        <f t="shared" si="11"/>
        <v>111</v>
      </c>
      <c r="R29" s="705" t="s">
        <v>14</v>
      </c>
      <c r="S29" s="706">
        <f t="shared" si="12"/>
        <v>100</v>
      </c>
      <c r="T29" s="705" t="s">
        <v>14</v>
      </c>
      <c r="U29" s="706">
        <f t="shared" si="13"/>
        <v>100</v>
      </c>
      <c r="V29" s="705" t="s">
        <v>14</v>
      </c>
      <c r="W29" s="706">
        <f t="shared" si="14"/>
        <v>100</v>
      </c>
      <c r="X29" s="1354"/>
      <c r="Y29" s="3729"/>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36"/>
      <c r="Q30" s="1351">
        <f t="shared" si="11"/>
        <v>111</v>
      </c>
      <c r="R30" s="705" t="s">
        <v>14</v>
      </c>
      <c r="S30" s="706">
        <f t="shared" si="12"/>
        <v>100</v>
      </c>
      <c r="T30" s="705" t="s">
        <v>14</v>
      </c>
      <c r="U30" s="706">
        <f t="shared" si="13"/>
        <v>100</v>
      </c>
      <c r="V30" s="705" t="s">
        <v>14</v>
      </c>
      <c r="W30" s="706">
        <f t="shared" si="14"/>
        <v>100</v>
      </c>
      <c r="X30" s="1354"/>
      <c r="Y30" s="3729"/>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36"/>
      <c r="Q31" s="1351">
        <f t="shared" si="11"/>
        <v>111</v>
      </c>
      <c r="R31" s="705" t="s">
        <v>14</v>
      </c>
      <c r="S31" s="706">
        <f t="shared" si="12"/>
        <v>100</v>
      </c>
      <c r="T31" s="705" t="s">
        <v>14</v>
      </c>
      <c r="U31" s="706">
        <f t="shared" si="13"/>
        <v>100</v>
      </c>
      <c r="V31" s="705" t="s">
        <v>14</v>
      </c>
      <c r="W31" s="706">
        <f t="shared" si="14"/>
        <v>100</v>
      </c>
      <c r="X31" s="1354"/>
      <c r="Y31" s="3729"/>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30" t="s">
        <v>1696</v>
      </c>
      <c r="Q32" s="1351" t="str">
        <f t="shared" si="11"/>
        <v>商业类型</v>
      </c>
      <c r="R32" s="705" t="s">
        <v>14</v>
      </c>
      <c r="S32" s="706">
        <f t="shared" si="12"/>
        <v>100</v>
      </c>
      <c r="T32" s="705" t="s">
        <v>14</v>
      </c>
      <c r="U32" s="706">
        <f t="shared" si="13"/>
        <v>100</v>
      </c>
      <c r="V32" s="705" t="s">
        <v>14</v>
      </c>
      <c r="W32" s="706">
        <f t="shared" si="14"/>
        <v>100</v>
      </c>
      <c r="X32" s="1354"/>
      <c r="Y32" s="3733"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31"/>
      <c r="Q33" s="707" t="str">
        <f t="shared" si="11"/>
        <v>项目建筑规模</v>
      </c>
      <c r="R33" s="708" t="s">
        <v>14</v>
      </c>
      <c r="S33" s="709" t="e">
        <f t="shared" si="12"/>
        <v>#N/A</v>
      </c>
      <c r="T33" s="708" t="s">
        <v>14</v>
      </c>
      <c r="U33" s="709" t="e">
        <f t="shared" si="13"/>
        <v>#N/A</v>
      </c>
      <c r="V33" s="708" t="s">
        <v>14</v>
      </c>
      <c r="W33" s="709" t="e">
        <f t="shared" si="14"/>
        <v>#N/A</v>
      </c>
      <c r="X33" s="710"/>
      <c r="Y33" s="3733"/>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31"/>
      <c r="Q34" s="1351" t="str">
        <f t="shared" si="11"/>
        <v>建筑结构</v>
      </c>
      <c r="R34" s="705" t="s">
        <v>14</v>
      </c>
      <c r="S34" s="706">
        <f t="shared" si="12"/>
        <v>100</v>
      </c>
      <c r="T34" s="705" t="s">
        <v>14</v>
      </c>
      <c r="U34" s="706">
        <f t="shared" si="13"/>
        <v>100</v>
      </c>
      <c r="V34" s="705" t="s">
        <v>14</v>
      </c>
      <c r="W34" s="706">
        <f t="shared" si="14"/>
        <v>100</v>
      </c>
      <c r="X34" s="1354"/>
      <c r="Y34" s="3733"/>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31"/>
      <c r="Q35" s="1351" t="str">
        <f t="shared" si="11"/>
        <v>公共部分装修</v>
      </c>
      <c r="R35" s="705" t="s">
        <v>14</v>
      </c>
      <c r="S35" s="706">
        <f t="shared" si="12"/>
        <v>100</v>
      </c>
      <c r="T35" s="705" t="s">
        <v>14</v>
      </c>
      <c r="U35" s="706">
        <f t="shared" si="13"/>
        <v>100</v>
      </c>
      <c r="V35" s="705" t="s">
        <v>14</v>
      </c>
      <c r="W35" s="706">
        <f t="shared" si="14"/>
        <v>100</v>
      </c>
      <c r="X35" s="1354"/>
      <c r="Y35" s="3733"/>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31"/>
      <c r="Q36" s="1351" t="str">
        <f t="shared" si="11"/>
        <v>成新度</v>
      </c>
      <c r="R36" s="705" t="s">
        <v>14</v>
      </c>
      <c r="S36" s="706" t="e">
        <f t="shared" si="12"/>
        <v>#N/A</v>
      </c>
      <c r="T36" s="705" t="s">
        <v>14</v>
      </c>
      <c r="U36" s="706" t="e">
        <f t="shared" si="13"/>
        <v>#N/A</v>
      </c>
      <c r="V36" s="705" t="s">
        <v>14</v>
      </c>
      <c r="W36" s="706" t="e">
        <f t="shared" si="14"/>
        <v>#N/A</v>
      </c>
      <c r="X36" s="1354"/>
      <c r="Y36" s="3733"/>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31"/>
      <c r="Q37" s="1342" t="str">
        <f t="shared" si="11"/>
        <v>市政基础设施</v>
      </c>
      <c r="R37" s="701" t="s">
        <v>14</v>
      </c>
      <c r="S37" s="702">
        <f t="shared" si="12"/>
        <v>100</v>
      </c>
      <c r="T37" s="701" t="s">
        <v>14</v>
      </c>
      <c r="U37" s="702">
        <f t="shared" si="13"/>
        <v>100</v>
      </c>
      <c r="V37" s="701" t="s">
        <v>14</v>
      </c>
      <c r="W37" s="702">
        <f t="shared" si="14"/>
        <v>100</v>
      </c>
      <c r="X37" s="703"/>
      <c r="Y37" s="3733"/>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31" t="s">
        <v>1696</v>
      </c>
      <c r="Q38" s="1351" t="str">
        <f t="shared" si="11"/>
        <v>业态</v>
      </c>
      <c r="R38" s="705" t="s">
        <v>14</v>
      </c>
      <c r="S38" s="706">
        <f t="shared" si="12"/>
        <v>100</v>
      </c>
      <c r="T38" s="705" t="s">
        <v>14</v>
      </c>
      <c r="U38" s="706">
        <f t="shared" si="13"/>
        <v>100</v>
      </c>
      <c r="V38" s="705" t="s">
        <v>14</v>
      </c>
      <c r="W38" s="706">
        <f t="shared" si="14"/>
        <v>100</v>
      </c>
      <c r="X38" s="1354"/>
      <c r="Y38" s="3733"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31"/>
      <c r="Q39" s="1351" t="str">
        <f t="shared" si="11"/>
        <v>层高</v>
      </c>
      <c r="R39" s="705" t="s">
        <v>14</v>
      </c>
      <c r="S39" s="706">
        <f t="shared" si="12"/>
        <v>100</v>
      </c>
      <c r="T39" s="705" t="s">
        <v>14</v>
      </c>
      <c r="U39" s="706">
        <f t="shared" si="13"/>
        <v>100</v>
      </c>
      <c r="V39" s="705" t="s">
        <v>14</v>
      </c>
      <c r="W39" s="706">
        <f t="shared" si="14"/>
        <v>100</v>
      </c>
      <c r="X39" s="1354"/>
      <c r="Y39" s="3733"/>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31"/>
      <c r="Q40" s="1351" t="str">
        <f t="shared" si="11"/>
        <v>单套建筑面积</v>
      </c>
      <c r="R40" s="705" t="s">
        <v>14</v>
      </c>
      <c r="S40" s="706">
        <f t="shared" si="12"/>
        <v>100</v>
      </c>
      <c r="T40" s="705" t="s">
        <v>14</v>
      </c>
      <c r="U40" s="706">
        <f t="shared" si="13"/>
        <v>100</v>
      </c>
      <c r="V40" s="705" t="s">
        <v>14</v>
      </c>
      <c r="W40" s="706">
        <f t="shared" si="14"/>
        <v>100</v>
      </c>
      <c r="X40" s="1354"/>
      <c r="Y40" s="3733"/>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31"/>
      <c r="Q41" s="707" t="str">
        <f t="shared" si="11"/>
        <v>进深比</v>
      </c>
      <c r="R41" s="708" t="s">
        <v>14</v>
      </c>
      <c r="S41" s="709">
        <f t="shared" si="12"/>
        <v>100</v>
      </c>
      <c r="T41" s="708" t="s">
        <v>14</v>
      </c>
      <c r="U41" s="709">
        <f t="shared" si="13"/>
        <v>100</v>
      </c>
      <c r="V41" s="708" t="s">
        <v>14</v>
      </c>
      <c r="W41" s="709">
        <f t="shared" si="14"/>
        <v>100</v>
      </c>
      <c r="X41" s="710"/>
      <c r="Y41" s="3733"/>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31"/>
      <c r="Q42" s="1351" t="str">
        <f t="shared" si="11"/>
        <v>内部装修</v>
      </c>
      <c r="R42" s="705" t="s">
        <v>14</v>
      </c>
      <c r="S42" s="706">
        <f t="shared" si="12"/>
        <v>100</v>
      </c>
      <c r="T42" s="705" t="s">
        <v>14</v>
      </c>
      <c r="U42" s="706">
        <f t="shared" si="13"/>
        <v>100</v>
      </c>
      <c r="V42" s="705" t="s">
        <v>14</v>
      </c>
      <c r="W42" s="706">
        <f t="shared" si="14"/>
        <v>100</v>
      </c>
      <c r="X42" s="1354"/>
      <c r="Y42" s="3733"/>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31"/>
      <c r="Q43" s="1351" t="str">
        <f t="shared" si="11"/>
        <v>内部装修维护情况</v>
      </c>
      <c r="R43" s="705" t="s">
        <v>14</v>
      </c>
      <c r="S43" s="706">
        <f t="shared" si="12"/>
        <v>100</v>
      </c>
      <c r="T43" s="705" t="s">
        <v>14</v>
      </c>
      <c r="U43" s="706">
        <f t="shared" si="13"/>
        <v>100</v>
      </c>
      <c r="V43" s="705" t="s">
        <v>14</v>
      </c>
      <c r="W43" s="706">
        <f t="shared" si="14"/>
        <v>100</v>
      </c>
      <c r="X43" s="1354"/>
      <c r="Y43" s="3733"/>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31"/>
      <c r="Q44" s="1342">
        <f t="shared" si="11"/>
        <v>111</v>
      </c>
      <c r="R44" s="701" t="s">
        <v>14</v>
      </c>
      <c r="S44" s="702">
        <f t="shared" si="12"/>
        <v>100</v>
      </c>
      <c r="T44" s="701" t="s">
        <v>14</v>
      </c>
      <c r="U44" s="702">
        <f t="shared" si="13"/>
        <v>100</v>
      </c>
      <c r="V44" s="701" t="s">
        <v>14</v>
      </c>
      <c r="W44" s="702">
        <f t="shared" si="14"/>
        <v>100</v>
      </c>
      <c r="X44" s="703"/>
      <c r="Y44" s="373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31"/>
      <c r="Q45" s="1351">
        <f t="shared" si="11"/>
        <v>111</v>
      </c>
      <c r="R45" s="705" t="s">
        <v>14</v>
      </c>
      <c r="S45" s="706">
        <f t="shared" si="12"/>
        <v>100</v>
      </c>
      <c r="T45" s="705" t="s">
        <v>14</v>
      </c>
      <c r="U45" s="706">
        <f t="shared" si="13"/>
        <v>100</v>
      </c>
      <c r="V45" s="705" t="s">
        <v>14</v>
      </c>
      <c r="W45" s="706">
        <f t="shared" si="14"/>
        <v>100</v>
      </c>
      <c r="X45" s="1354"/>
      <c r="Y45" s="3733"/>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32"/>
      <c r="Q46" s="1351">
        <f t="shared" si="11"/>
        <v>111</v>
      </c>
      <c r="R46" s="705" t="s">
        <v>14</v>
      </c>
      <c r="S46" s="706">
        <f t="shared" si="12"/>
        <v>100</v>
      </c>
      <c r="T46" s="705" t="s">
        <v>14</v>
      </c>
      <c r="U46" s="706">
        <f t="shared" si="13"/>
        <v>100</v>
      </c>
      <c r="V46" s="705" t="s">
        <v>14</v>
      </c>
      <c r="W46" s="706">
        <f t="shared" si="14"/>
        <v>100</v>
      </c>
      <c r="X46" s="1354"/>
      <c r="Y46" s="3734"/>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3"/>
      <c r="M47" s="2724"/>
      <c r="N47" s="2715"/>
      <c r="O47" s="2724"/>
      <c r="P47" s="3726" t="str">
        <f>A47</f>
        <v>成交单价（元/平方米）</v>
      </c>
      <c r="Q47" s="3726"/>
      <c r="R47" s="3721">
        <f>E47</f>
        <v>0</v>
      </c>
      <c r="S47" s="3721"/>
      <c r="T47" s="3721">
        <f>G47</f>
        <v>0</v>
      </c>
      <c r="U47" s="3721"/>
      <c r="V47" s="3721">
        <f>I47</f>
        <v>0</v>
      </c>
      <c r="W47" s="3721"/>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726" t="str">
        <f>A48</f>
        <v>比较价值（元/平方米）</v>
      </c>
      <c r="Q48" s="3726"/>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23" t="str">
        <f>A49</f>
        <v>估价对象XX用房的比较价值（楼面单价，元/平方米）</v>
      </c>
      <c r="Q49" s="3724"/>
      <c r="R49" s="3725" t="e">
        <f>IF(F1="售价",ROUND(IF(D48="简单平均",AVERAGE(R48:V48),R48*F48+T48*H48+V48*J48),0),ROUND(IF(D48="简单平均",AVERAGE(R48:V48),R48*F48+T48*H48+V48*J48),1))</f>
        <v>#DIV/0!</v>
      </c>
      <c r="S49" s="3725"/>
      <c r="T49" s="3725"/>
      <c r="U49" s="3725"/>
      <c r="V49" s="3725"/>
      <c r="W49" s="372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2023-11</v>
      </c>
      <c r="D58" s="1184">
        <f>EDATE(C58,-1)</f>
        <v>45200</v>
      </c>
      <c r="E58" s="1184">
        <f t="shared" ref="E58:N58" si="16">EDATE(D58,-1)</f>
        <v>45170</v>
      </c>
      <c r="F58" s="1184">
        <f t="shared" si="16"/>
        <v>45139</v>
      </c>
      <c r="G58" s="1184">
        <f t="shared" si="16"/>
        <v>45108</v>
      </c>
      <c r="H58" s="1184">
        <f t="shared" si="16"/>
        <v>45078</v>
      </c>
      <c r="I58" s="1184">
        <f t="shared" si="16"/>
        <v>45047</v>
      </c>
      <c r="J58" s="1184">
        <f t="shared" si="16"/>
        <v>45017</v>
      </c>
      <c r="K58" s="1184">
        <f t="shared" si="16"/>
        <v>44986</v>
      </c>
      <c r="L58" s="1184">
        <f t="shared" si="16"/>
        <v>44958</v>
      </c>
      <c r="M58" s="1184">
        <f t="shared" si="16"/>
        <v>44927</v>
      </c>
      <c r="N58" s="1184">
        <f t="shared" si="16"/>
        <v>44896</v>
      </c>
      <c r="O58" s="1184">
        <f>EDATE(N58,-1)</f>
        <v>44866</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C43 E43 G43 I43" xr:uid="{00000000-0002-0000-1E00-000001000000}">
      <formula1>内部装修维护情况</formula1>
    </dataValidation>
    <dataValidation type="list" allowBlank="1" showInputMessage="1" showErrorMessage="1" sqref="E20 I20 G20 C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25 E25 G25 I25" xr:uid="{00000000-0002-0000-1E00-000005000000}">
      <formula1>商业临街状况</formula1>
    </dataValidation>
    <dataValidation type="list" allowBlank="1" showInputMessage="1" showErrorMessage="1" sqref="C27 E27 G27 I27" xr:uid="{00000000-0002-0000-1E00-000006000000}">
      <formula1>商业人流量</formula1>
    </dataValidation>
    <dataValidation type="list" allowBlank="1" showInputMessage="1" showErrorMessage="1" sqref="C28 E28 G28 I28" xr:uid="{00000000-0002-0000-1E00-000007000000}">
      <formula1>商业楼层</formula1>
    </dataValidation>
    <dataValidation type="list" allowBlank="1" showInputMessage="1" showErrorMessage="1" sqref="C32 E32 G32 I32" xr:uid="{00000000-0002-0000-1E00-000008000000}">
      <formula1>商业类型</formula1>
    </dataValidation>
    <dataValidation type="list" allowBlank="1" showInputMessage="1" showErrorMessage="1" sqref="C34 E34 G34 I34" xr:uid="{00000000-0002-0000-1E00-000009000000}">
      <formula1>商业建筑结构</formula1>
    </dataValidation>
    <dataValidation type="list" allowBlank="1" showInputMessage="1" showErrorMessage="1" sqref="C35 E35 G35 I35" xr:uid="{00000000-0002-0000-1E00-00000A000000}">
      <formula1>商业公共部分装修</formula1>
    </dataValidation>
    <dataValidation type="list" allowBlank="1" showInputMessage="1" showErrorMessage="1" sqref="C37 E37 G37 I37" xr:uid="{00000000-0002-0000-1E00-00000B000000}">
      <formula1>商业基础设施水平</formula1>
    </dataValidation>
    <dataValidation type="list" allowBlank="1" showInputMessage="1" showErrorMessage="1" sqref="C41 E41 G41 I41" xr:uid="{00000000-0002-0000-1E00-00000C000000}">
      <formula1>商业进深比</formula1>
    </dataValidation>
    <dataValidation type="list" allowBlank="1" showInputMessage="1" showErrorMessage="1" sqref="C42 E42 G42 I42" xr:uid="{00000000-0002-0000-1E00-00000D000000}">
      <formula1>商业内部装修</formula1>
    </dataValidation>
    <dataValidation type="list" allowBlank="1" showInputMessage="1" showErrorMessage="1" sqref="E9 G9 I9" xr:uid="{00000000-0002-0000-1E00-00000E000000}">
      <formula1>商业用途</formula1>
    </dataValidation>
    <dataValidation type="list" allowBlank="1" showInputMessage="1" showErrorMessage="1" sqref="C38 E38 G38 I38" xr:uid="{00000000-0002-0000-1E00-00000F000000}">
      <formula1>商业业态</formula1>
    </dataValidation>
    <dataValidation type="list" allowBlank="1" showInputMessage="1" showErrorMessage="1" sqref="C39 E39 G39 I39" xr:uid="{00000000-0002-0000-1E00-000010000000}">
      <formula1>商业层高</formula1>
    </dataValidation>
    <dataValidation type="list" allowBlank="1" showInputMessage="1" showErrorMessage="1" sqref="C8 E8 G8 I8" xr:uid="{00000000-0002-0000-1E00-000011000000}">
      <formula1>商业交易情况</formula1>
    </dataValidation>
    <dataValidation type="list" allowBlank="1" showInputMessage="1" showErrorMessage="1" sqref="C16 E16 G16 I16" xr:uid="{00000000-0002-0000-1E00-000012000000}">
      <formula1>商业繁华度</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8"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347.45</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09" t="s">
        <v>1770</v>
      </c>
      <c r="D4" s="3710"/>
      <c r="E4" s="3711" t="s">
        <v>1771</v>
      </c>
      <c r="F4" s="3712"/>
      <c r="G4" s="3709" t="s">
        <v>1772</v>
      </c>
      <c r="H4" s="3710"/>
      <c r="I4" s="3709" t="s">
        <v>1773</v>
      </c>
      <c r="J4" s="3710"/>
      <c r="K4" s="559" t="s">
        <v>1774</v>
      </c>
      <c r="L4" s="2714"/>
      <c r="M4" s="2715"/>
      <c r="N4" s="2715"/>
      <c r="O4" s="2715"/>
      <c r="P4" s="3769" t="s">
        <v>1775</v>
      </c>
      <c r="Q4" s="3770"/>
      <c r="R4" s="3764" t="s">
        <v>1771</v>
      </c>
      <c r="S4" s="3765"/>
      <c r="T4" s="3764" t="s">
        <v>1772</v>
      </c>
      <c r="U4" s="3765"/>
      <c r="V4" s="3773" t="s">
        <v>1773</v>
      </c>
      <c r="W4" s="3773"/>
      <c r="X4" s="1957"/>
      <c r="Y4" s="3764" t="s">
        <v>1775</v>
      </c>
      <c r="Z4" s="3765"/>
      <c r="AA4" s="3763" t="s">
        <v>1771</v>
      </c>
      <c r="AB4" s="3763" t="s">
        <v>1772</v>
      </c>
      <c r="AC4" s="3766" t="s">
        <v>1773</v>
      </c>
    </row>
    <row r="5" spans="1:29" ht="15">
      <c r="A5" s="358"/>
      <c r="B5" s="359"/>
      <c r="C5" s="3705" t="s">
        <v>1673</v>
      </c>
      <c r="D5" s="3702"/>
      <c r="E5" s="3699" t="s">
        <v>1674</v>
      </c>
      <c r="F5" s="3700"/>
      <c r="G5" s="3705" t="s">
        <v>1675</v>
      </c>
      <c r="H5" s="3702"/>
      <c r="I5" s="3705" t="s">
        <v>1676</v>
      </c>
      <c r="J5" s="3702"/>
      <c r="K5" s="559"/>
      <c r="L5" s="2714"/>
      <c r="M5" s="2715"/>
      <c r="N5" s="2715"/>
      <c r="O5" s="2715"/>
      <c r="P5" s="3771"/>
      <c r="Q5" s="3716"/>
      <c r="R5" s="3697"/>
      <c r="S5" s="3698"/>
      <c r="T5" s="3697"/>
      <c r="U5" s="3698"/>
      <c r="V5" s="3721"/>
      <c r="W5" s="3721"/>
      <c r="X5" s="1354"/>
      <c r="Y5" s="3697"/>
      <c r="Z5" s="3698"/>
      <c r="AA5" s="3691"/>
      <c r="AB5" s="3691"/>
      <c r="AC5" s="3767"/>
    </row>
    <row r="6" spans="1:29" ht="15.75" thickBot="1">
      <c r="A6" s="360"/>
      <c r="B6" s="361"/>
      <c r="C6" s="3703" t="s">
        <v>1677</v>
      </c>
      <c r="D6" s="3704"/>
      <c r="E6" s="3706" t="s">
        <v>1677</v>
      </c>
      <c r="F6" s="3707"/>
      <c r="G6" s="3703" t="s">
        <v>1677</v>
      </c>
      <c r="H6" s="3704"/>
      <c r="I6" s="3703" t="s">
        <v>1677</v>
      </c>
      <c r="J6" s="3704"/>
      <c r="K6" s="559" t="s">
        <v>1678</v>
      </c>
      <c r="L6" s="2714"/>
      <c r="M6" s="2715"/>
      <c r="N6" s="2715"/>
      <c r="O6" s="2715"/>
      <c r="P6" s="3772"/>
      <c r="Q6" s="3718"/>
      <c r="R6" s="3697"/>
      <c r="S6" s="3698"/>
      <c r="T6" s="3719"/>
      <c r="U6" s="3720"/>
      <c r="V6" s="3721"/>
      <c r="W6" s="3721"/>
      <c r="X6" s="1354"/>
      <c r="Y6" s="3719"/>
      <c r="Z6" s="3720"/>
      <c r="AA6" s="3692"/>
      <c r="AB6" s="3692"/>
      <c r="AC6" s="3768"/>
    </row>
    <row r="7" spans="1:29" s="108" customFormat="1" ht="15.75" thickBot="1">
      <c r="A7" s="362" t="s">
        <v>1679</v>
      </c>
      <c r="B7" s="363"/>
      <c r="C7" s="364">
        <f>'数据-取费表'!B2</f>
        <v>45231</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74" t="s">
        <v>1680</v>
      </c>
      <c r="Q7" s="3722"/>
      <c r="R7" s="701" t="s">
        <v>14</v>
      </c>
      <c r="S7" s="702">
        <f t="shared" ref="S7:S15" si="0">F7</f>
        <v>0</v>
      </c>
      <c r="T7" s="701" t="s">
        <v>14</v>
      </c>
      <c r="U7" s="702">
        <f t="shared" ref="U7:U15" si="1">H7</f>
        <v>0</v>
      </c>
      <c r="V7" s="701" t="s">
        <v>14</v>
      </c>
      <c r="W7" s="702">
        <f t="shared" ref="W7:W15" si="2">J7</f>
        <v>0</v>
      </c>
      <c r="X7" s="703"/>
      <c r="Y7" s="3693" t="s">
        <v>1680</v>
      </c>
      <c r="Z7" s="3694"/>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74" t="s">
        <v>1683</v>
      </c>
      <c r="Q8" s="3694"/>
      <c r="R8" s="701" t="s">
        <v>14</v>
      </c>
      <c r="S8" s="702">
        <f t="shared" si="0"/>
        <v>100</v>
      </c>
      <c r="T8" s="701" t="s">
        <v>14</v>
      </c>
      <c r="U8" s="702">
        <f t="shared" si="1"/>
        <v>100</v>
      </c>
      <c r="V8" s="701" t="s">
        <v>14</v>
      </c>
      <c r="W8" s="702">
        <f t="shared" si="2"/>
        <v>100</v>
      </c>
      <c r="X8" s="703"/>
      <c r="Y8" s="3693" t="s">
        <v>1683</v>
      </c>
      <c r="Z8" s="3694"/>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08" t="s">
        <v>1686</v>
      </c>
      <c r="Q9" s="1342" t="str">
        <f t="shared" ref="Q9:Q15" si="6">B9</f>
        <v>用途</v>
      </c>
      <c r="R9" s="701" t="s">
        <v>14</v>
      </c>
      <c r="S9" s="702">
        <f t="shared" si="0"/>
        <v>100</v>
      </c>
      <c r="T9" s="701" t="s">
        <v>14</v>
      </c>
      <c r="U9" s="702">
        <f t="shared" si="1"/>
        <v>100</v>
      </c>
      <c r="V9" s="701" t="s">
        <v>14</v>
      </c>
      <c r="W9" s="702">
        <f t="shared" si="2"/>
        <v>100</v>
      </c>
      <c r="X9" s="703"/>
      <c r="Y9" s="3663"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08"/>
      <c r="Q10" s="1342" t="str">
        <f t="shared" si="6"/>
        <v>土地使用年限（年）</v>
      </c>
      <c r="R10" s="701" t="s">
        <v>14</v>
      </c>
      <c r="S10" s="702">
        <f t="shared" si="0"/>
        <v>100</v>
      </c>
      <c r="T10" s="701" t="s">
        <v>14</v>
      </c>
      <c r="U10" s="702">
        <f t="shared" si="1"/>
        <v>100</v>
      </c>
      <c r="V10" s="701" t="s">
        <v>14</v>
      </c>
      <c r="W10" s="702">
        <f t="shared" si="2"/>
        <v>100</v>
      </c>
      <c r="X10" s="703"/>
      <c r="Y10" s="3663"/>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08"/>
      <c r="Q11" s="1342" t="str">
        <f t="shared" si="6"/>
        <v>容积率</v>
      </c>
      <c r="R11" s="701" t="s">
        <v>14</v>
      </c>
      <c r="S11" s="702">
        <f t="shared" si="0"/>
        <v>100</v>
      </c>
      <c r="T11" s="701" t="s">
        <v>14</v>
      </c>
      <c r="U11" s="702">
        <f t="shared" si="1"/>
        <v>100</v>
      </c>
      <c r="V11" s="701" t="s">
        <v>14</v>
      </c>
      <c r="W11" s="702">
        <f t="shared" si="2"/>
        <v>100</v>
      </c>
      <c r="X11" s="703"/>
      <c r="Y11" s="3663"/>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08"/>
      <c r="Q12" s="1342">
        <f t="shared" si="6"/>
        <v>111</v>
      </c>
      <c r="R12" s="701" t="s">
        <v>14</v>
      </c>
      <c r="S12" s="702">
        <f t="shared" si="0"/>
        <v>100</v>
      </c>
      <c r="T12" s="701" t="s">
        <v>14</v>
      </c>
      <c r="U12" s="702">
        <f t="shared" si="1"/>
        <v>100</v>
      </c>
      <c r="V12" s="701" t="s">
        <v>14</v>
      </c>
      <c r="W12" s="702">
        <f t="shared" si="2"/>
        <v>100</v>
      </c>
      <c r="X12" s="703"/>
      <c r="Y12" s="3663"/>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08"/>
      <c r="Q13" s="1342">
        <f t="shared" si="6"/>
        <v>111</v>
      </c>
      <c r="R13" s="701" t="s">
        <v>14</v>
      </c>
      <c r="S13" s="702">
        <f t="shared" si="0"/>
        <v>100</v>
      </c>
      <c r="T13" s="701" t="s">
        <v>14</v>
      </c>
      <c r="U13" s="702">
        <f t="shared" si="1"/>
        <v>100</v>
      </c>
      <c r="V13" s="701" t="s">
        <v>14</v>
      </c>
      <c r="W13" s="702">
        <f t="shared" si="2"/>
        <v>100</v>
      </c>
      <c r="X13" s="703"/>
      <c r="Y13" s="3663"/>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08"/>
      <c r="Q14" s="1342">
        <f t="shared" si="6"/>
        <v>111</v>
      </c>
      <c r="R14" s="701" t="s">
        <v>14</v>
      </c>
      <c r="S14" s="702">
        <f t="shared" si="0"/>
        <v>100</v>
      </c>
      <c r="T14" s="701" t="s">
        <v>14</v>
      </c>
      <c r="U14" s="702">
        <f t="shared" si="1"/>
        <v>100</v>
      </c>
      <c r="V14" s="701" t="s">
        <v>14</v>
      </c>
      <c r="W14" s="702">
        <f t="shared" si="2"/>
        <v>100</v>
      </c>
      <c r="X14" s="703"/>
      <c r="Y14" s="3663"/>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35" t="s">
        <v>1691</v>
      </c>
      <c r="Q15" s="1351" t="str">
        <f t="shared" si="6"/>
        <v>办公集聚程度</v>
      </c>
      <c r="R15" s="705" t="s">
        <v>14</v>
      </c>
      <c r="S15" s="706">
        <f t="shared" si="0"/>
        <v>100</v>
      </c>
      <c r="T15" s="705" t="s">
        <v>14</v>
      </c>
      <c r="U15" s="706">
        <f t="shared" si="1"/>
        <v>100</v>
      </c>
      <c r="V15" s="705" t="s">
        <v>14</v>
      </c>
      <c r="W15" s="706">
        <f t="shared" si="2"/>
        <v>100</v>
      </c>
      <c r="X15" s="1354"/>
      <c r="Y15" s="3728"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36"/>
      <c r="Q16" s="1351"/>
      <c r="R16" s="705"/>
      <c r="S16" s="706"/>
      <c r="T16" s="705"/>
      <c r="U16" s="706"/>
      <c r="V16" s="705"/>
      <c r="W16" s="706"/>
      <c r="X16" s="1354"/>
      <c r="Y16" s="3729"/>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36"/>
      <c r="Q17" s="1351" t="str">
        <f>B17</f>
        <v>交通便捷度</v>
      </c>
      <c r="R17" s="705" t="s">
        <v>14</v>
      </c>
      <c r="S17" s="706">
        <f>F17</f>
        <v>100</v>
      </c>
      <c r="T17" s="705" t="s">
        <v>14</v>
      </c>
      <c r="U17" s="706">
        <f>H17</f>
        <v>100</v>
      </c>
      <c r="V17" s="705" t="s">
        <v>14</v>
      </c>
      <c r="W17" s="706">
        <f>J17</f>
        <v>100</v>
      </c>
      <c r="X17" s="1354"/>
      <c r="Y17" s="3729"/>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36"/>
      <c r="Q18" s="1351"/>
      <c r="R18" s="705"/>
      <c r="S18" s="706"/>
      <c r="T18" s="705"/>
      <c r="U18" s="706"/>
      <c r="V18" s="705"/>
      <c r="W18" s="706"/>
      <c r="X18" s="1354"/>
      <c r="Y18" s="3729"/>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36"/>
      <c r="Q19" s="1351" t="str">
        <f>B19</f>
        <v>公共配套设施</v>
      </c>
      <c r="R19" s="705" t="s">
        <v>14</v>
      </c>
      <c r="S19" s="706">
        <f>F19</f>
        <v>100</v>
      </c>
      <c r="T19" s="705" t="s">
        <v>14</v>
      </c>
      <c r="U19" s="706">
        <f>H19</f>
        <v>100</v>
      </c>
      <c r="V19" s="705" t="s">
        <v>14</v>
      </c>
      <c r="W19" s="706">
        <f>J19</f>
        <v>100</v>
      </c>
      <c r="X19" s="1354"/>
      <c r="Y19" s="3729"/>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36"/>
      <c r="Q20" s="1351"/>
      <c r="R20" s="705"/>
      <c r="S20" s="706"/>
      <c r="T20" s="705"/>
      <c r="U20" s="706"/>
      <c r="V20" s="705"/>
      <c r="W20" s="706"/>
      <c r="X20" s="1354"/>
      <c r="Y20" s="3729"/>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36"/>
      <c r="Q21" s="1351" t="str">
        <f>B21</f>
        <v>基础设施水平</v>
      </c>
      <c r="R21" s="705" t="s">
        <v>14</v>
      </c>
      <c r="S21" s="706">
        <f>F21</f>
        <v>100</v>
      </c>
      <c r="T21" s="705" t="s">
        <v>14</v>
      </c>
      <c r="U21" s="706">
        <f>H21</f>
        <v>100</v>
      </c>
      <c r="V21" s="705" t="s">
        <v>14</v>
      </c>
      <c r="W21" s="706">
        <f>J21</f>
        <v>100</v>
      </c>
      <c r="X21" s="1354"/>
      <c r="Y21" s="3729"/>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36"/>
      <c r="Q22" s="1351"/>
      <c r="R22" s="705"/>
      <c r="S22" s="706"/>
      <c r="T22" s="705"/>
      <c r="U22" s="706"/>
      <c r="V22" s="705"/>
      <c r="W22" s="706"/>
      <c r="X22" s="1354"/>
      <c r="Y22" s="3729"/>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36"/>
      <c r="Q23" s="1351" t="str">
        <f>B23</f>
        <v>环境质量</v>
      </c>
      <c r="R23" s="705" t="s">
        <v>14</v>
      </c>
      <c r="S23" s="706">
        <f>F23</f>
        <v>100</v>
      </c>
      <c r="T23" s="705" t="s">
        <v>14</v>
      </c>
      <c r="U23" s="706">
        <f>H23</f>
        <v>100</v>
      </c>
      <c r="V23" s="705" t="s">
        <v>14</v>
      </c>
      <c r="W23" s="706">
        <f>J23</f>
        <v>100</v>
      </c>
      <c r="X23" s="1354"/>
      <c r="Y23" s="3729"/>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36"/>
      <c r="Q24" s="1351"/>
      <c r="R24" s="705"/>
      <c r="S24" s="706"/>
      <c r="T24" s="705"/>
      <c r="U24" s="706"/>
      <c r="V24" s="705"/>
      <c r="W24" s="706"/>
      <c r="X24" s="1354"/>
      <c r="Y24" s="3729"/>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36"/>
      <c r="Q25" s="1351" t="str">
        <f>B25</f>
        <v>毗邻道路的类型与等级</v>
      </c>
      <c r="R25" s="705" t="s">
        <v>14</v>
      </c>
      <c r="S25" s="706">
        <f>F25</f>
        <v>100</v>
      </c>
      <c r="T25" s="705" t="s">
        <v>14</v>
      </c>
      <c r="U25" s="706">
        <f>H25</f>
        <v>100</v>
      </c>
      <c r="V25" s="705" t="s">
        <v>14</v>
      </c>
      <c r="W25" s="706">
        <f>J25</f>
        <v>100</v>
      </c>
      <c r="X25" s="1354"/>
      <c r="Y25" s="3729"/>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36"/>
      <c r="Q26" s="1351"/>
      <c r="R26" s="705"/>
      <c r="S26" s="706"/>
      <c r="T26" s="705"/>
      <c r="U26" s="706"/>
      <c r="V26" s="705"/>
      <c r="W26" s="706"/>
      <c r="X26" s="1354"/>
      <c r="Y26" s="3729"/>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36"/>
      <c r="Q27" s="1351" t="str">
        <f t="shared" ref="Q27:Q47" si="11">B27</f>
        <v>楼层</v>
      </c>
      <c r="R27" s="705" t="s">
        <v>14</v>
      </c>
      <c r="S27" s="706">
        <f>F27</f>
        <v>100</v>
      </c>
      <c r="T27" s="705" t="s">
        <v>14</v>
      </c>
      <c r="U27" s="706">
        <f>H27</f>
        <v>100</v>
      </c>
      <c r="V27" s="705" t="s">
        <v>14</v>
      </c>
      <c r="W27" s="706">
        <f>J27</f>
        <v>100</v>
      </c>
      <c r="X27" s="1354"/>
      <c r="Y27" s="3729"/>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36"/>
      <c r="Q28" s="1342" t="str">
        <f t="shared" si="11"/>
        <v>朝向</v>
      </c>
      <c r="R28" s="701" t="s">
        <v>14</v>
      </c>
      <c r="S28" s="702">
        <f>F28</f>
        <v>100</v>
      </c>
      <c r="T28" s="701" t="s">
        <v>14</v>
      </c>
      <c r="U28" s="702">
        <f>H28</f>
        <v>100</v>
      </c>
      <c r="V28" s="701" t="s">
        <v>14</v>
      </c>
      <c r="W28" s="702">
        <f>J28</f>
        <v>100</v>
      </c>
      <c r="X28" s="703"/>
      <c r="Y28" s="3729"/>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36"/>
      <c r="Q29" s="1351">
        <f t="shared" si="11"/>
        <v>111</v>
      </c>
      <c r="R29" s="705" t="s">
        <v>14</v>
      </c>
      <c r="S29" s="706">
        <f t="shared" ref="S29:S47" si="12">F29</f>
        <v>100</v>
      </c>
      <c r="T29" s="705" t="s">
        <v>14</v>
      </c>
      <c r="U29" s="706">
        <f t="shared" ref="U29:U47" si="13">H29</f>
        <v>100</v>
      </c>
      <c r="V29" s="705" t="s">
        <v>14</v>
      </c>
      <c r="W29" s="706">
        <f t="shared" ref="W29:W47" si="14">J29</f>
        <v>100</v>
      </c>
      <c r="X29" s="1354"/>
      <c r="Y29" s="3729"/>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36"/>
      <c r="Q30" s="1351">
        <f t="shared" si="11"/>
        <v>111</v>
      </c>
      <c r="R30" s="705" t="s">
        <v>14</v>
      </c>
      <c r="S30" s="706">
        <f t="shared" si="12"/>
        <v>100</v>
      </c>
      <c r="T30" s="705" t="s">
        <v>14</v>
      </c>
      <c r="U30" s="706">
        <f t="shared" si="13"/>
        <v>100</v>
      </c>
      <c r="V30" s="705" t="s">
        <v>14</v>
      </c>
      <c r="W30" s="706">
        <f t="shared" si="14"/>
        <v>100</v>
      </c>
      <c r="X30" s="1354"/>
      <c r="Y30" s="3729"/>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36"/>
      <c r="Q31" s="1351">
        <f t="shared" si="11"/>
        <v>111</v>
      </c>
      <c r="R31" s="705" t="s">
        <v>14</v>
      </c>
      <c r="S31" s="706">
        <f t="shared" si="12"/>
        <v>100</v>
      </c>
      <c r="T31" s="705" t="s">
        <v>14</v>
      </c>
      <c r="U31" s="706">
        <f t="shared" si="13"/>
        <v>100</v>
      </c>
      <c r="V31" s="705" t="s">
        <v>14</v>
      </c>
      <c r="W31" s="706">
        <f t="shared" si="14"/>
        <v>100</v>
      </c>
      <c r="X31" s="1354"/>
      <c r="Y31" s="3729"/>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36"/>
      <c r="Q32" s="1351">
        <f t="shared" si="11"/>
        <v>111</v>
      </c>
      <c r="R32" s="705" t="s">
        <v>14</v>
      </c>
      <c r="S32" s="706">
        <f t="shared" si="12"/>
        <v>100</v>
      </c>
      <c r="T32" s="705" t="s">
        <v>14</v>
      </c>
      <c r="U32" s="706">
        <f t="shared" si="13"/>
        <v>100</v>
      </c>
      <c r="V32" s="705" t="s">
        <v>14</v>
      </c>
      <c r="W32" s="706">
        <f t="shared" si="14"/>
        <v>100</v>
      </c>
      <c r="X32" s="1354"/>
      <c r="Y32" s="3729"/>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30" t="s">
        <v>1696</v>
      </c>
      <c r="Q33" s="1351" t="str">
        <f t="shared" si="11"/>
        <v>建筑类型</v>
      </c>
      <c r="R33" s="705" t="s">
        <v>14</v>
      </c>
      <c r="S33" s="706">
        <f t="shared" si="12"/>
        <v>100</v>
      </c>
      <c r="T33" s="705" t="s">
        <v>14</v>
      </c>
      <c r="U33" s="706">
        <f t="shared" si="13"/>
        <v>100</v>
      </c>
      <c r="V33" s="705" t="s">
        <v>14</v>
      </c>
      <c r="W33" s="706">
        <f t="shared" si="14"/>
        <v>100</v>
      </c>
      <c r="X33" s="1354"/>
      <c r="Y33" s="3733"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31"/>
      <c r="Q34" s="707" t="str">
        <f t="shared" si="11"/>
        <v>项目建筑规模</v>
      </c>
      <c r="R34" s="708" t="s">
        <v>14</v>
      </c>
      <c r="S34" s="709" t="e">
        <f t="shared" si="12"/>
        <v>#N/A</v>
      </c>
      <c r="T34" s="708" t="s">
        <v>14</v>
      </c>
      <c r="U34" s="709" t="e">
        <f t="shared" si="13"/>
        <v>#N/A</v>
      </c>
      <c r="V34" s="708" t="s">
        <v>14</v>
      </c>
      <c r="W34" s="709" t="e">
        <f t="shared" si="14"/>
        <v>#N/A</v>
      </c>
      <c r="X34" s="710"/>
      <c r="Y34" s="3733"/>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31"/>
      <c r="Q35" s="1351" t="str">
        <f t="shared" si="11"/>
        <v>建筑结构</v>
      </c>
      <c r="R35" s="705" t="s">
        <v>14</v>
      </c>
      <c r="S35" s="706">
        <f t="shared" si="12"/>
        <v>100</v>
      </c>
      <c r="T35" s="705" t="s">
        <v>14</v>
      </c>
      <c r="U35" s="706">
        <f t="shared" si="13"/>
        <v>100</v>
      </c>
      <c r="V35" s="705" t="s">
        <v>14</v>
      </c>
      <c r="W35" s="706">
        <f t="shared" si="14"/>
        <v>100</v>
      </c>
      <c r="X35" s="1354"/>
      <c r="Y35" s="3733"/>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31"/>
      <c r="Q36" s="1351" t="str">
        <f t="shared" si="11"/>
        <v>公共部分装修</v>
      </c>
      <c r="R36" s="705" t="s">
        <v>14</v>
      </c>
      <c r="S36" s="706">
        <f t="shared" si="12"/>
        <v>100</v>
      </c>
      <c r="T36" s="705" t="s">
        <v>14</v>
      </c>
      <c r="U36" s="706">
        <f t="shared" si="13"/>
        <v>100</v>
      </c>
      <c r="V36" s="705" t="s">
        <v>14</v>
      </c>
      <c r="W36" s="706">
        <f t="shared" si="14"/>
        <v>100</v>
      </c>
      <c r="X36" s="1354"/>
      <c r="Y36" s="3733"/>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31"/>
      <c r="Q37" s="1351" t="str">
        <f t="shared" si="11"/>
        <v>成新度</v>
      </c>
      <c r="R37" s="705" t="s">
        <v>14</v>
      </c>
      <c r="S37" s="706" t="e">
        <f t="shared" si="12"/>
        <v>#N/A</v>
      </c>
      <c r="T37" s="705" t="s">
        <v>14</v>
      </c>
      <c r="U37" s="706" t="e">
        <f t="shared" si="13"/>
        <v>#N/A</v>
      </c>
      <c r="V37" s="705" t="s">
        <v>14</v>
      </c>
      <c r="W37" s="706" t="e">
        <f t="shared" si="14"/>
        <v>#N/A</v>
      </c>
      <c r="X37" s="1354"/>
      <c r="Y37" s="3733"/>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31"/>
      <c r="Q38" s="1342" t="str">
        <f t="shared" si="11"/>
        <v>写字楼等级</v>
      </c>
      <c r="R38" s="701" t="s">
        <v>14</v>
      </c>
      <c r="S38" s="702">
        <f t="shared" si="12"/>
        <v>100</v>
      </c>
      <c r="T38" s="701" t="s">
        <v>14</v>
      </c>
      <c r="U38" s="702">
        <f t="shared" si="13"/>
        <v>100</v>
      </c>
      <c r="V38" s="701" t="s">
        <v>14</v>
      </c>
      <c r="W38" s="702">
        <f t="shared" si="14"/>
        <v>100</v>
      </c>
      <c r="X38" s="703"/>
      <c r="Y38" s="3733"/>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31" t="s">
        <v>1696</v>
      </c>
      <c r="Q39" s="1351" t="str">
        <f t="shared" si="11"/>
        <v>物业管理</v>
      </c>
      <c r="R39" s="705" t="s">
        <v>14</v>
      </c>
      <c r="S39" s="706">
        <f t="shared" si="12"/>
        <v>100</v>
      </c>
      <c r="T39" s="705" t="s">
        <v>14</v>
      </c>
      <c r="U39" s="706">
        <f t="shared" si="13"/>
        <v>100</v>
      </c>
      <c r="V39" s="705" t="s">
        <v>14</v>
      </c>
      <c r="W39" s="706">
        <f t="shared" si="14"/>
        <v>100</v>
      </c>
      <c r="X39" s="1354"/>
      <c r="Y39" s="3733"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31"/>
      <c r="Q40" s="1351" t="str">
        <f t="shared" si="11"/>
        <v>市政基础设施</v>
      </c>
      <c r="R40" s="705" t="s">
        <v>14</v>
      </c>
      <c r="S40" s="706">
        <f t="shared" si="12"/>
        <v>100</v>
      </c>
      <c r="T40" s="705" t="s">
        <v>14</v>
      </c>
      <c r="U40" s="706">
        <f t="shared" si="13"/>
        <v>100</v>
      </c>
      <c r="V40" s="705" t="s">
        <v>14</v>
      </c>
      <c r="W40" s="706">
        <f t="shared" si="14"/>
        <v>100</v>
      </c>
      <c r="X40" s="1354"/>
      <c r="Y40" s="3733"/>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31"/>
      <c r="Q41" s="1351" t="str">
        <f t="shared" si="11"/>
        <v>层高</v>
      </c>
      <c r="R41" s="705" t="s">
        <v>14</v>
      </c>
      <c r="S41" s="706">
        <f t="shared" si="12"/>
        <v>100</v>
      </c>
      <c r="T41" s="705" t="s">
        <v>14</v>
      </c>
      <c r="U41" s="706">
        <f t="shared" si="13"/>
        <v>100</v>
      </c>
      <c r="V41" s="705" t="s">
        <v>14</v>
      </c>
      <c r="W41" s="706">
        <f t="shared" si="14"/>
        <v>100</v>
      </c>
      <c r="X41" s="1354"/>
      <c r="Y41" s="3733"/>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31"/>
      <c r="Q42" s="707" t="str">
        <f t="shared" si="11"/>
        <v>单套建筑面积</v>
      </c>
      <c r="R42" s="708" t="s">
        <v>14</v>
      </c>
      <c r="S42" s="709">
        <f t="shared" si="12"/>
        <v>100</v>
      </c>
      <c r="T42" s="708" t="s">
        <v>14</v>
      </c>
      <c r="U42" s="709">
        <f t="shared" si="13"/>
        <v>100</v>
      </c>
      <c r="V42" s="708" t="s">
        <v>14</v>
      </c>
      <c r="W42" s="709">
        <f t="shared" si="14"/>
        <v>100</v>
      </c>
      <c r="X42" s="710"/>
      <c r="Y42" s="3733"/>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31"/>
      <c r="Q43" s="1351" t="str">
        <f t="shared" si="11"/>
        <v>内部装修</v>
      </c>
      <c r="R43" s="705" t="s">
        <v>14</v>
      </c>
      <c r="S43" s="706">
        <f t="shared" si="12"/>
        <v>100</v>
      </c>
      <c r="T43" s="705" t="s">
        <v>14</v>
      </c>
      <c r="U43" s="706">
        <f t="shared" si="13"/>
        <v>100</v>
      </c>
      <c r="V43" s="705" t="s">
        <v>14</v>
      </c>
      <c r="W43" s="706">
        <f t="shared" si="14"/>
        <v>100</v>
      </c>
      <c r="X43" s="1354"/>
      <c r="Y43" s="3733"/>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31"/>
      <c r="Q44" s="1351" t="str">
        <f t="shared" si="11"/>
        <v>内部装修维护情况</v>
      </c>
      <c r="R44" s="705" t="s">
        <v>14</v>
      </c>
      <c r="S44" s="706">
        <f t="shared" si="12"/>
        <v>100</v>
      </c>
      <c r="T44" s="705" t="s">
        <v>14</v>
      </c>
      <c r="U44" s="706">
        <f t="shared" si="13"/>
        <v>100</v>
      </c>
      <c r="V44" s="705" t="s">
        <v>14</v>
      </c>
      <c r="W44" s="706">
        <f t="shared" si="14"/>
        <v>100</v>
      </c>
      <c r="X44" s="1354"/>
      <c r="Y44" s="3733"/>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31"/>
      <c r="Q45" s="1342">
        <f t="shared" si="11"/>
        <v>111</v>
      </c>
      <c r="R45" s="701" t="s">
        <v>14</v>
      </c>
      <c r="S45" s="702">
        <f t="shared" si="12"/>
        <v>100</v>
      </c>
      <c r="T45" s="701" t="s">
        <v>14</v>
      </c>
      <c r="U45" s="702">
        <f t="shared" si="13"/>
        <v>100</v>
      </c>
      <c r="V45" s="701" t="s">
        <v>14</v>
      </c>
      <c r="W45" s="702">
        <f t="shared" si="14"/>
        <v>100</v>
      </c>
      <c r="X45" s="703"/>
      <c r="Y45" s="3733"/>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31"/>
      <c r="Q46" s="1351">
        <f t="shared" si="11"/>
        <v>111</v>
      </c>
      <c r="R46" s="705" t="s">
        <v>14</v>
      </c>
      <c r="S46" s="706">
        <f t="shared" si="12"/>
        <v>100</v>
      </c>
      <c r="T46" s="705" t="s">
        <v>14</v>
      </c>
      <c r="U46" s="706">
        <f t="shared" si="13"/>
        <v>100</v>
      </c>
      <c r="V46" s="705" t="s">
        <v>14</v>
      </c>
      <c r="W46" s="706">
        <f t="shared" si="14"/>
        <v>100</v>
      </c>
      <c r="X46" s="1354"/>
      <c r="Y46" s="3733"/>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32"/>
      <c r="Q47" s="1351">
        <f t="shared" si="11"/>
        <v>111</v>
      </c>
      <c r="R47" s="705" t="s">
        <v>14</v>
      </c>
      <c r="S47" s="706">
        <f t="shared" si="12"/>
        <v>100</v>
      </c>
      <c r="T47" s="705" t="s">
        <v>14</v>
      </c>
      <c r="U47" s="706">
        <f t="shared" si="13"/>
        <v>100</v>
      </c>
      <c r="V47" s="705" t="s">
        <v>14</v>
      </c>
      <c r="W47" s="706">
        <f t="shared" si="14"/>
        <v>100</v>
      </c>
      <c r="X47" s="1354"/>
      <c r="Y47" s="3734"/>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708" t="str">
        <f>A48</f>
        <v>成交单价（元/平方米）</v>
      </c>
      <c r="Q48" s="3726"/>
      <c r="R48" s="3727">
        <f>E48</f>
        <v>0</v>
      </c>
      <c r="S48" s="3727"/>
      <c r="T48" s="3727">
        <f>G48</f>
        <v>0</v>
      </c>
      <c r="U48" s="3727"/>
      <c r="V48" s="3727">
        <f>I48</f>
        <v>0</v>
      </c>
      <c r="W48" s="3727"/>
      <c r="X48" s="397"/>
      <c r="Y48" s="712"/>
      <c r="Z48" s="397"/>
      <c r="AA48" s="397"/>
      <c r="AB48" s="397"/>
      <c r="AC48" s="578"/>
    </row>
    <row r="49" spans="1:29" ht="15.75" thickBot="1">
      <c r="A49" s="437" t="s">
        <v>1793</v>
      </c>
      <c r="B49" s="438"/>
      <c r="C49" s="1160" t="e">
        <f>R50</f>
        <v>#DIV/0!</v>
      </c>
      <c r="D49" s="2316" t="s">
        <v>2138</v>
      </c>
      <c r="E49" s="1161" t="e">
        <f>R49</f>
        <v>#DIV/0!</v>
      </c>
      <c r="F49" s="2317"/>
      <c r="G49" s="1160" t="e">
        <f>T49</f>
        <v>#DIV/0!</v>
      </c>
      <c r="H49" s="2317"/>
      <c r="I49" s="1161" t="e">
        <f>V49</f>
        <v>#DIV/0!</v>
      </c>
      <c r="J49" s="2317"/>
      <c r="K49" s="2319">
        <f>F49+H49+J49</f>
        <v>0</v>
      </c>
      <c r="L49" s="2723"/>
      <c r="M49" s="2715"/>
      <c r="N49" s="2715"/>
      <c r="O49" s="2715"/>
      <c r="P49" s="3708" t="str">
        <f>A49</f>
        <v>比较价值（元/平方米）</v>
      </c>
      <c r="Q49" s="3726"/>
      <c r="R49" s="3727" t="e">
        <f>IF(F1="售价",ROUND(PRODUCT(R48,AA7:AA47),0),ROUND(PRODUCT(R48,AA7:AA47),1))</f>
        <v>#DIV/0!</v>
      </c>
      <c r="S49" s="3727"/>
      <c r="T49" s="3727" t="e">
        <f>IF(F1="售价",ROUND(PRODUCT(T48,AB7:AB47),0),ROUND(PRODUCT(T48,AB7:AB47),1))</f>
        <v>#DIV/0!</v>
      </c>
      <c r="U49" s="3727"/>
      <c r="V49" s="3727" t="e">
        <f>IF(F1="售价",ROUND(PRODUCT(V48,AC7:AC47),0),ROUND(PRODUCT(V48,AC7:AC47),1))</f>
        <v>#DIV/0!</v>
      </c>
      <c r="W49" s="372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75" t="str">
        <f>A50</f>
        <v>估价对象XX用房的比较价值（楼面单价，元/平方米）</v>
      </c>
      <c r="Q50" s="3776"/>
      <c r="R50" s="3777" t="e">
        <f>IF(F1="售价",ROUND(IF(D49="简单平均",AVERAGE(R49:V49),R49*F49+T49*H49+V49*J49),0),ROUND(IF(D49="简单平均",AVERAGE(R49:V49),R49*F49+T49*H49+V49*J49),1))</f>
        <v>#DIV/0!</v>
      </c>
      <c r="S50" s="3777"/>
      <c r="T50" s="3777"/>
      <c r="U50" s="3777"/>
      <c r="V50" s="3777"/>
      <c r="W50" s="3777"/>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2023-11</v>
      </c>
      <c r="D59" s="1184">
        <f>EDATE(C59,-1)</f>
        <v>45200</v>
      </c>
      <c r="E59" s="1184">
        <f>EDATE(D59,-1)</f>
        <v>45170</v>
      </c>
      <c r="F59" s="1184">
        <f t="shared" ref="F59:O59" si="16">EDATE(E59,-1)</f>
        <v>45139</v>
      </c>
      <c r="G59" s="1184">
        <f t="shared" si="16"/>
        <v>45108</v>
      </c>
      <c r="H59" s="1184">
        <f t="shared" si="16"/>
        <v>45078</v>
      </c>
      <c r="I59" s="1184">
        <f t="shared" si="16"/>
        <v>45047</v>
      </c>
      <c r="J59" s="1184">
        <f t="shared" si="16"/>
        <v>45017</v>
      </c>
      <c r="K59" s="1184">
        <f t="shared" si="16"/>
        <v>44986</v>
      </c>
      <c r="L59" s="1184">
        <f t="shared" si="16"/>
        <v>44958</v>
      </c>
      <c r="M59" s="1184">
        <f t="shared" si="16"/>
        <v>44927</v>
      </c>
      <c r="N59" s="1184">
        <f t="shared" si="16"/>
        <v>44896</v>
      </c>
      <c r="O59" s="1184">
        <f t="shared" si="16"/>
        <v>44866</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G26 C26 E26 I26" xr:uid="{00000000-0002-0000-1F00-000008000000}">
      <formula1>办公道路级别</formula1>
    </dataValidation>
    <dataValidation type="list" allowBlank="1" showInputMessage="1" showErrorMessage="1" sqref="C28 E28 G28 I28" xr:uid="{00000000-0002-0000-1F00-000009000000}">
      <formula1>办公朝向</formula1>
    </dataValidation>
    <dataValidation type="list" allowBlank="1" showInputMessage="1" showErrorMessage="1" sqref="C27 E27 G27 I27" xr:uid="{00000000-0002-0000-1F00-00000A000000}">
      <formula1>办公楼层</formula1>
    </dataValidation>
    <dataValidation type="list" allowBlank="1" showInputMessage="1" showErrorMessage="1" sqref="C33 E33 G33 I33" xr:uid="{00000000-0002-0000-1F00-00000B000000}">
      <formula1>办公建筑类型</formula1>
    </dataValidation>
    <dataValidation type="list" allowBlank="1" showInputMessage="1" showErrorMessage="1" sqref="C36 E36 G36 I36" xr:uid="{00000000-0002-0000-1F00-00000C000000}">
      <formula1>办公公共部分装修</formula1>
    </dataValidation>
    <dataValidation type="list" allowBlank="1" showInputMessage="1" showErrorMessage="1" sqref="C38 E38 G38 I38" xr:uid="{00000000-0002-0000-1F00-00000D000000}">
      <formula1>写字楼等级</formula1>
    </dataValidation>
    <dataValidation type="list" allowBlank="1" showInputMessage="1" showErrorMessage="1" sqref="C39 E39 G39 I39" xr:uid="{00000000-0002-0000-1F00-00000E000000}">
      <formula1>办公物业管理</formula1>
    </dataValidation>
    <dataValidation type="list" allowBlank="1" showInputMessage="1" showErrorMessage="1" sqref="C40 E40 G40 I40" xr:uid="{00000000-0002-0000-1F00-00000F000000}">
      <formula1>办公基础设施水平</formula1>
    </dataValidation>
    <dataValidation type="list" allowBlank="1" showInputMessage="1" showErrorMessage="1" sqref="C41 E41 G41 I41" xr:uid="{00000000-0002-0000-1F00-000010000000}">
      <formula1>办公层高</formula1>
    </dataValidation>
    <dataValidation type="list" allowBlank="1" showInputMessage="1" showErrorMessage="1" sqref="C43 E43 G43 I43" xr:uid="{00000000-0002-0000-1F00-000011000000}">
      <formula1>办公内部装修</formula1>
    </dataValidation>
    <dataValidation type="list" allowBlank="1" showInputMessage="1" showErrorMessage="1" sqref="C8 E8 G8 I8" xr:uid="{00000000-0002-0000-1F00-000012000000}">
      <formula1>办公交易情况</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9"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347.45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9" t="s">
        <v>1770</v>
      </c>
      <c r="D4" s="3710"/>
      <c r="E4" s="3711" t="s">
        <v>1771</v>
      </c>
      <c r="F4" s="3712"/>
      <c r="G4" s="3709" t="s">
        <v>1772</v>
      </c>
      <c r="H4" s="3710"/>
      <c r="I4" s="3709" t="s">
        <v>1773</v>
      </c>
      <c r="J4" s="3710"/>
      <c r="K4" s="559" t="s">
        <v>1774</v>
      </c>
      <c r="L4" s="913"/>
      <c r="M4" s="914"/>
      <c r="N4" s="914"/>
      <c r="O4" s="914"/>
      <c r="P4" s="3713" t="s">
        <v>1775</v>
      </c>
      <c r="Q4" s="3714"/>
      <c r="R4" s="3695" t="s">
        <v>1771</v>
      </c>
      <c r="S4" s="3696"/>
      <c r="T4" s="3695" t="s">
        <v>1772</v>
      </c>
      <c r="U4" s="3696"/>
      <c r="V4" s="3721" t="s">
        <v>1773</v>
      </c>
      <c r="W4" s="3721"/>
      <c r="X4" s="1354"/>
      <c r="Y4" s="3695" t="s">
        <v>1775</v>
      </c>
      <c r="Z4" s="3696"/>
      <c r="AA4" s="3690" t="s">
        <v>1771</v>
      </c>
      <c r="AB4" s="3691" t="s">
        <v>1772</v>
      </c>
      <c r="AC4" s="3690" t="s">
        <v>1773</v>
      </c>
    </row>
    <row r="5" spans="1:29" ht="15">
      <c r="A5" s="358"/>
      <c r="B5" s="359"/>
      <c r="C5" s="3705" t="s">
        <v>1673</v>
      </c>
      <c r="D5" s="3702"/>
      <c r="E5" s="3699" t="s">
        <v>1674</v>
      </c>
      <c r="F5" s="3700"/>
      <c r="G5" s="3705" t="s">
        <v>1675</v>
      </c>
      <c r="H5" s="3702"/>
      <c r="I5" s="3705" t="s">
        <v>1676</v>
      </c>
      <c r="J5" s="3702"/>
      <c r="K5" s="559"/>
      <c r="L5" s="913"/>
      <c r="M5" s="914"/>
      <c r="N5" s="914"/>
      <c r="O5" s="914"/>
      <c r="P5" s="3715"/>
      <c r="Q5" s="3716"/>
      <c r="R5" s="3697"/>
      <c r="S5" s="3698"/>
      <c r="T5" s="3697"/>
      <c r="U5" s="3698"/>
      <c r="V5" s="3721"/>
      <c r="W5" s="3721"/>
      <c r="X5" s="1354"/>
      <c r="Y5" s="3697"/>
      <c r="Z5" s="3698"/>
      <c r="AA5" s="3691"/>
      <c r="AB5" s="3691"/>
      <c r="AC5" s="3691"/>
    </row>
    <row r="6" spans="1:29" ht="15.75" thickBot="1">
      <c r="A6" s="360"/>
      <c r="B6" s="361"/>
      <c r="C6" s="3703" t="s">
        <v>1677</v>
      </c>
      <c r="D6" s="3704"/>
      <c r="E6" s="3706" t="s">
        <v>1677</v>
      </c>
      <c r="F6" s="3707"/>
      <c r="G6" s="3703" t="s">
        <v>1677</v>
      </c>
      <c r="H6" s="3704"/>
      <c r="I6" s="3703" t="s">
        <v>1677</v>
      </c>
      <c r="J6" s="3704"/>
      <c r="K6" s="559" t="s">
        <v>1678</v>
      </c>
      <c r="L6" s="913"/>
      <c r="M6" s="914"/>
      <c r="N6" s="914"/>
      <c r="O6" s="914"/>
      <c r="P6" s="3717"/>
      <c r="Q6" s="3718"/>
      <c r="R6" s="3697"/>
      <c r="S6" s="3698"/>
      <c r="T6" s="3719"/>
      <c r="U6" s="3720"/>
      <c r="V6" s="3721"/>
      <c r="W6" s="3721"/>
      <c r="X6" s="1354"/>
      <c r="Y6" s="3719"/>
      <c r="Z6" s="3720"/>
      <c r="AA6" s="3692"/>
      <c r="AB6" s="3692"/>
      <c r="AC6" s="3692"/>
    </row>
    <row r="7" spans="1:29" s="108" customFormat="1" ht="15.75" thickBot="1">
      <c r="A7" s="362" t="s">
        <v>1679</v>
      </c>
      <c r="B7" s="363"/>
      <c r="C7" s="364">
        <f>'数据-取费表'!B2</f>
        <v>45231</v>
      </c>
      <c r="D7" s="365">
        <v>100</v>
      </c>
      <c r="E7" s="366"/>
      <c r="F7" s="367">
        <f>SUMIF(52:52,YEAR(E7)&amp;"-"&amp;MONTH(E7),53:53)</f>
        <v>0</v>
      </c>
      <c r="G7" s="366"/>
      <c r="H7" s="365">
        <f>SUMIF(52:52,YEAR(G7)&amp;"-"&amp;MONTH(G7),53:53)</f>
        <v>0</v>
      </c>
      <c r="I7" s="366"/>
      <c r="J7" s="365">
        <f>SUMIF(52:52,YEAR(I7)&amp;"-"&amp;MONTH(I7),53:53)</f>
        <v>0</v>
      </c>
      <c r="K7" s="560"/>
      <c r="L7" s="915"/>
      <c r="M7" s="916"/>
      <c r="N7" s="916"/>
      <c r="O7" s="916"/>
      <c r="P7" s="3693" t="s">
        <v>1680</v>
      </c>
      <c r="Q7" s="3722"/>
      <c r="R7" s="701" t="s">
        <v>14</v>
      </c>
      <c r="S7" s="702">
        <f t="shared" ref="S7:S15" si="0">F7</f>
        <v>0</v>
      </c>
      <c r="T7" s="701" t="s">
        <v>14</v>
      </c>
      <c r="U7" s="702">
        <f t="shared" ref="U7:U15" si="1">H7</f>
        <v>0</v>
      </c>
      <c r="V7" s="701" t="s">
        <v>14</v>
      </c>
      <c r="W7" s="702">
        <f t="shared" ref="W7:W15" si="2">J7</f>
        <v>0</v>
      </c>
      <c r="X7" s="703"/>
      <c r="Y7" s="3693" t="s">
        <v>1680</v>
      </c>
      <c r="Z7" s="369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3" t="s">
        <v>1683</v>
      </c>
      <c r="Q8" s="3694"/>
      <c r="R8" s="701" t="s">
        <v>14</v>
      </c>
      <c r="S8" s="702">
        <f t="shared" si="0"/>
        <v>100</v>
      </c>
      <c r="T8" s="701" t="s">
        <v>14</v>
      </c>
      <c r="U8" s="702">
        <f t="shared" si="1"/>
        <v>100</v>
      </c>
      <c r="V8" s="701" t="s">
        <v>14</v>
      </c>
      <c r="W8" s="702">
        <f t="shared" si="2"/>
        <v>100</v>
      </c>
      <c r="X8" s="703"/>
      <c r="Y8" s="3693" t="s">
        <v>1683</v>
      </c>
      <c r="Z8" s="369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6" t="s">
        <v>1686</v>
      </c>
      <c r="Q9" s="1342" t="str">
        <f t="shared" ref="Q9:Q15" si="6">B9</f>
        <v>用途</v>
      </c>
      <c r="R9" s="701" t="s">
        <v>14</v>
      </c>
      <c r="S9" s="702">
        <f t="shared" si="0"/>
        <v>100</v>
      </c>
      <c r="T9" s="701" t="s">
        <v>14</v>
      </c>
      <c r="U9" s="702">
        <f t="shared" si="1"/>
        <v>100</v>
      </c>
      <c r="V9" s="701" t="s">
        <v>14</v>
      </c>
      <c r="W9" s="702">
        <f t="shared" si="2"/>
        <v>100</v>
      </c>
      <c r="X9" s="703"/>
      <c r="Y9" s="366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26"/>
      <c r="Q10" s="1342" t="str">
        <f t="shared" si="6"/>
        <v>土地使用年限（年）</v>
      </c>
      <c r="R10" s="701" t="s">
        <v>14</v>
      </c>
      <c r="S10" s="702">
        <f t="shared" si="0"/>
        <v>100</v>
      </c>
      <c r="T10" s="701" t="s">
        <v>14</v>
      </c>
      <c r="U10" s="702">
        <f t="shared" si="1"/>
        <v>100</v>
      </c>
      <c r="V10" s="701" t="s">
        <v>14</v>
      </c>
      <c r="W10" s="702">
        <f t="shared" si="2"/>
        <v>100</v>
      </c>
      <c r="X10" s="703"/>
      <c r="Y10" s="366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6"/>
      <c r="Q11" s="1342" t="str">
        <f t="shared" si="6"/>
        <v>容积率</v>
      </c>
      <c r="R11" s="701" t="s">
        <v>14</v>
      </c>
      <c r="S11" s="702">
        <f t="shared" si="0"/>
        <v>100</v>
      </c>
      <c r="T11" s="701" t="s">
        <v>14</v>
      </c>
      <c r="U11" s="702">
        <f t="shared" si="1"/>
        <v>100</v>
      </c>
      <c r="V11" s="701" t="s">
        <v>14</v>
      </c>
      <c r="W11" s="702">
        <f t="shared" si="2"/>
        <v>100</v>
      </c>
      <c r="X11" s="703"/>
      <c r="Y11" s="3663"/>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26"/>
      <c r="Q12" s="1342">
        <f t="shared" si="6"/>
        <v>111</v>
      </c>
      <c r="R12" s="701" t="s">
        <v>14</v>
      </c>
      <c r="S12" s="702">
        <f t="shared" si="0"/>
        <v>100</v>
      </c>
      <c r="T12" s="701" t="s">
        <v>14</v>
      </c>
      <c r="U12" s="702">
        <f t="shared" si="1"/>
        <v>100</v>
      </c>
      <c r="V12" s="701" t="s">
        <v>14</v>
      </c>
      <c r="W12" s="702">
        <f t="shared" si="2"/>
        <v>100</v>
      </c>
      <c r="X12" s="703"/>
      <c r="Y12" s="3663"/>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26"/>
      <c r="Q13" s="1342">
        <f t="shared" si="6"/>
        <v>111</v>
      </c>
      <c r="R13" s="701" t="s">
        <v>14</v>
      </c>
      <c r="S13" s="702">
        <f t="shared" si="0"/>
        <v>100</v>
      </c>
      <c r="T13" s="701" t="s">
        <v>14</v>
      </c>
      <c r="U13" s="702">
        <f t="shared" si="1"/>
        <v>100</v>
      </c>
      <c r="V13" s="701" t="s">
        <v>14</v>
      </c>
      <c r="W13" s="702">
        <f t="shared" si="2"/>
        <v>100</v>
      </c>
      <c r="X13" s="703"/>
      <c r="Y13" s="3663"/>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26"/>
      <c r="Q14" s="1342">
        <f t="shared" si="6"/>
        <v>111</v>
      </c>
      <c r="R14" s="701" t="s">
        <v>14</v>
      </c>
      <c r="S14" s="702">
        <f t="shared" si="0"/>
        <v>100</v>
      </c>
      <c r="T14" s="701" t="s">
        <v>14</v>
      </c>
      <c r="U14" s="702">
        <f t="shared" si="1"/>
        <v>100</v>
      </c>
      <c r="V14" s="701" t="s">
        <v>14</v>
      </c>
      <c r="W14" s="702">
        <f t="shared" si="2"/>
        <v>100</v>
      </c>
      <c r="X14" s="703"/>
      <c r="Y14" s="3663"/>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8" t="s">
        <v>1691</v>
      </c>
      <c r="Q15" s="1351" t="str">
        <f t="shared" si="6"/>
        <v>产业集聚程度</v>
      </c>
      <c r="R15" s="705" t="s">
        <v>14</v>
      </c>
      <c r="S15" s="706">
        <f t="shared" si="0"/>
        <v>100</v>
      </c>
      <c r="T15" s="705" t="s">
        <v>14</v>
      </c>
      <c r="U15" s="706">
        <f t="shared" si="1"/>
        <v>100</v>
      </c>
      <c r="V15" s="705" t="s">
        <v>14</v>
      </c>
      <c r="W15" s="706">
        <f t="shared" si="2"/>
        <v>100</v>
      </c>
      <c r="X15" s="1354"/>
      <c r="Y15" s="3728"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29"/>
      <c r="Q16" s="1351"/>
      <c r="R16" s="705"/>
      <c r="S16" s="706"/>
      <c r="T16" s="705"/>
      <c r="U16" s="706"/>
      <c r="V16" s="705"/>
      <c r="W16" s="706"/>
      <c r="X16" s="1354"/>
      <c r="Y16" s="3729"/>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9"/>
      <c r="Q17" s="1351" t="str">
        <f>B17</f>
        <v>交通便捷度</v>
      </c>
      <c r="R17" s="705" t="s">
        <v>14</v>
      </c>
      <c r="S17" s="706">
        <f>F17</f>
        <v>100</v>
      </c>
      <c r="T17" s="705" t="s">
        <v>14</v>
      </c>
      <c r="U17" s="706">
        <f>H17</f>
        <v>100</v>
      </c>
      <c r="V17" s="705" t="s">
        <v>14</v>
      </c>
      <c r="W17" s="706">
        <f>J17</f>
        <v>100</v>
      </c>
      <c r="X17" s="1354"/>
      <c r="Y17" s="3729"/>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29"/>
      <c r="Q18" s="1351"/>
      <c r="R18" s="705"/>
      <c r="S18" s="706"/>
      <c r="T18" s="705"/>
      <c r="U18" s="706"/>
      <c r="V18" s="705"/>
      <c r="W18" s="706"/>
      <c r="X18" s="1354"/>
      <c r="Y18" s="3729"/>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9"/>
      <c r="Q19" s="1351" t="str">
        <f>B19</f>
        <v>公共配套设施</v>
      </c>
      <c r="R19" s="705" t="s">
        <v>14</v>
      </c>
      <c r="S19" s="706">
        <f>F19</f>
        <v>100</v>
      </c>
      <c r="T19" s="705" t="s">
        <v>14</v>
      </c>
      <c r="U19" s="706">
        <f>H19</f>
        <v>100</v>
      </c>
      <c r="V19" s="705" t="s">
        <v>14</v>
      </c>
      <c r="W19" s="706">
        <f>J19</f>
        <v>100</v>
      </c>
      <c r="X19" s="1354"/>
      <c r="Y19" s="3729"/>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29"/>
      <c r="Q20" s="1351"/>
      <c r="R20" s="705"/>
      <c r="S20" s="706"/>
      <c r="T20" s="705"/>
      <c r="U20" s="706"/>
      <c r="V20" s="705"/>
      <c r="W20" s="706"/>
      <c r="X20" s="1354"/>
      <c r="Y20" s="3729"/>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9"/>
      <c r="Q21" s="1351" t="str">
        <f>B21</f>
        <v>基础设施水平</v>
      </c>
      <c r="R21" s="705" t="s">
        <v>14</v>
      </c>
      <c r="S21" s="706">
        <f>F21</f>
        <v>100</v>
      </c>
      <c r="T21" s="705" t="s">
        <v>14</v>
      </c>
      <c r="U21" s="706">
        <f>H21</f>
        <v>100</v>
      </c>
      <c r="V21" s="705" t="s">
        <v>14</v>
      </c>
      <c r="W21" s="706">
        <f>J21</f>
        <v>100</v>
      </c>
      <c r="X21" s="1354"/>
      <c r="Y21" s="3729"/>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29"/>
      <c r="Q22" s="1351"/>
      <c r="R22" s="705"/>
      <c r="S22" s="706"/>
      <c r="T22" s="705"/>
      <c r="U22" s="706"/>
      <c r="V22" s="705"/>
      <c r="W22" s="706"/>
      <c r="X22" s="1354"/>
      <c r="Y22" s="3729"/>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9"/>
      <c r="Q23" s="1351" t="str">
        <f>B23</f>
        <v>环境质量</v>
      </c>
      <c r="R23" s="705" t="s">
        <v>14</v>
      </c>
      <c r="S23" s="706">
        <f>F23</f>
        <v>100</v>
      </c>
      <c r="T23" s="705" t="s">
        <v>14</v>
      </c>
      <c r="U23" s="706">
        <f>H23</f>
        <v>100</v>
      </c>
      <c r="V23" s="705" t="s">
        <v>14</v>
      </c>
      <c r="W23" s="706">
        <f>J23</f>
        <v>100</v>
      </c>
      <c r="X23" s="1354"/>
      <c r="Y23" s="3729"/>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29"/>
      <c r="Q24" s="1351"/>
      <c r="R24" s="705"/>
      <c r="S24" s="706"/>
      <c r="T24" s="705"/>
      <c r="U24" s="706"/>
      <c r="V24" s="705"/>
      <c r="W24" s="706"/>
      <c r="X24" s="1354"/>
      <c r="Y24" s="3729"/>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9"/>
      <c r="Q25" s="1351">
        <f>B25</f>
        <v>111</v>
      </c>
      <c r="R25" s="705" t="s">
        <v>14</v>
      </c>
      <c r="S25" s="706">
        <f>F25</f>
        <v>100</v>
      </c>
      <c r="T25" s="705" t="s">
        <v>14</v>
      </c>
      <c r="U25" s="706">
        <f>H25</f>
        <v>100</v>
      </c>
      <c r="V25" s="705" t="s">
        <v>14</v>
      </c>
      <c r="W25" s="706">
        <f>J25</f>
        <v>100</v>
      </c>
      <c r="X25" s="1354"/>
      <c r="Y25" s="3729"/>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9"/>
      <c r="Q26" s="1351">
        <f t="shared" ref="Q26:Q40" si="11">B26</f>
        <v>111</v>
      </c>
      <c r="R26" s="705" t="s">
        <v>14</v>
      </c>
      <c r="S26" s="706">
        <f>F26</f>
        <v>100</v>
      </c>
      <c r="T26" s="705" t="s">
        <v>14</v>
      </c>
      <c r="U26" s="706">
        <f>H26</f>
        <v>100</v>
      </c>
      <c r="V26" s="705" t="s">
        <v>14</v>
      </c>
      <c r="W26" s="706">
        <f>J26</f>
        <v>100</v>
      </c>
      <c r="X26" s="1354"/>
      <c r="Y26" s="3729"/>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9"/>
      <c r="Q27" s="1342">
        <f t="shared" si="11"/>
        <v>111</v>
      </c>
      <c r="R27" s="701" t="s">
        <v>14</v>
      </c>
      <c r="S27" s="702">
        <f>F27</f>
        <v>100</v>
      </c>
      <c r="T27" s="701" t="s">
        <v>14</v>
      </c>
      <c r="U27" s="702">
        <f>H27</f>
        <v>100</v>
      </c>
      <c r="V27" s="701" t="s">
        <v>14</v>
      </c>
      <c r="W27" s="702">
        <f>J27</f>
        <v>100</v>
      </c>
      <c r="X27" s="703"/>
      <c r="Y27" s="3729"/>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9"/>
      <c r="Q28" s="1351">
        <f t="shared" si="11"/>
        <v>111</v>
      </c>
      <c r="R28" s="705" t="s">
        <v>14</v>
      </c>
      <c r="S28" s="706">
        <f t="shared" ref="S28:S40" si="12">F28</f>
        <v>100</v>
      </c>
      <c r="T28" s="705" t="s">
        <v>14</v>
      </c>
      <c r="U28" s="706">
        <f t="shared" ref="U28:U40" si="13">H28</f>
        <v>100</v>
      </c>
      <c r="V28" s="705" t="s">
        <v>14</v>
      </c>
      <c r="W28" s="706">
        <f t="shared" ref="W28:W40" si="14">J28</f>
        <v>100</v>
      </c>
      <c r="X28" s="1354"/>
      <c r="Y28" s="3729"/>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78" t="s">
        <v>1696</v>
      </c>
      <c r="Q29" s="1351" t="str">
        <f t="shared" si="11"/>
        <v>建筑类型</v>
      </c>
      <c r="R29" s="705" t="s">
        <v>14</v>
      </c>
      <c r="S29" s="706">
        <f t="shared" si="12"/>
        <v>100</v>
      </c>
      <c r="T29" s="705" t="s">
        <v>14</v>
      </c>
      <c r="U29" s="706">
        <f t="shared" si="13"/>
        <v>100</v>
      </c>
      <c r="V29" s="705" t="s">
        <v>14</v>
      </c>
      <c r="W29" s="706">
        <f t="shared" si="14"/>
        <v>100</v>
      </c>
      <c r="X29" s="1354"/>
      <c r="Y29" s="3733"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3"/>
      <c r="Q30" s="707" t="str">
        <f t="shared" si="11"/>
        <v>项目建筑规模</v>
      </c>
      <c r="R30" s="708" t="s">
        <v>14</v>
      </c>
      <c r="S30" s="709" t="e">
        <f t="shared" si="12"/>
        <v>#N/A</v>
      </c>
      <c r="T30" s="708" t="s">
        <v>14</v>
      </c>
      <c r="U30" s="709" t="e">
        <f t="shared" si="13"/>
        <v>#N/A</v>
      </c>
      <c r="V30" s="708" t="s">
        <v>14</v>
      </c>
      <c r="W30" s="709" t="e">
        <f t="shared" si="14"/>
        <v>#N/A</v>
      </c>
      <c r="X30" s="710"/>
      <c r="Y30" s="3733"/>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3"/>
      <c r="Q31" s="1351" t="str">
        <f t="shared" si="11"/>
        <v>建筑结构</v>
      </c>
      <c r="R31" s="705" t="s">
        <v>14</v>
      </c>
      <c r="S31" s="706">
        <f t="shared" si="12"/>
        <v>100</v>
      </c>
      <c r="T31" s="705" t="s">
        <v>14</v>
      </c>
      <c r="U31" s="706">
        <f t="shared" si="13"/>
        <v>100</v>
      </c>
      <c r="V31" s="705" t="s">
        <v>14</v>
      </c>
      <c r="W31" s="706">
        <f t="shared" si="14"/>
        <v>100</v>
      </c>
      <c r="X31" s="1354"/>
      <c r="Y31" s="3733"/>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3"/>
      <c r="Q32" s="1351" t="str">
        <f t="shared" si="11"/>
        <v>公共部分装修</v>
      </c>
      <c r="R32" s="705" t="s">
        <v>14</v>
      </c>
      <c r="S32" s="706">
        <f t="shared" si="12"/>
        <v>100</v>
      </c>
      <c r="T32" s="705" t="s">
        <v>14</v>
      </c>
      <c r="U32" s="706">
        <f t="shared" si="13"/>
        <v>100</v>
      </c>
      <c r="V32" s="705" t="s">
        <v>14</v>
      </c>
      <c r="W32" s="706">
        <f t="shared" si="14"/>
        <v>100</v>
      </c>
      <c r="X32" s="1354"/>
      <c r="Y32" s="3733"/>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3"/>
      <c r="Q33" s="1351" t="str">
        <f t="shared" si="11"/>
        <v>成新度</v>
      </c>
      <c r="R33" s="705" t="s">
        <v>14</v>
      </c>
      <c r="S33" s="706" t="e">
        <f t="shared" si="12"/>
        <v>#N/A</v>
      </c>
      <c r="T33" s="705" t="s">
        <v>14</v>
      </c>
      <c r="U33" s="706" t="e">
        <f t="shared" si="13"/>
        <v>#N/A</v>
      </c>
      <c r="V33" s="705" t="s">
        <v>14</v>
      </c>
      <c r="W33" s="706" t="e">
        <f t="shared" si="14"/>
        <v>#N/A</v>
      </c>
      <c r="X33" s="1354"/>
      <c r="Y33" s="3733"/>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3"/>
      <c r="Q34" s="1342" t="str">
        <f t="shared" si="11"/>
        <v>物业管理</v>
      </c>
      <c r="R34" s="701" t="s">
        <v>14</v>
      </c>
      <c r="S34" s="702">
        <f t="shared" si="12"/>
        <v>100</v>
      </c>
      <c r="T34" s="701" t="s">
        <v>14</v>
      </c>
      <c r="U34" s="702">
        <f t="shared" si="13"/>
        <v>100</v>
      </c>
      <c r="V34" s="701" t="s">
        <v>14</v>
      </c>
      <c r="W34" s="702">
        <f t="shared" si="14"/>
        <v>100</v>
      </c>
      <c r="X34" s="703"/>
      <c r="Y34" s="373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3" t="s">
        <v>1696</v>
      </c>
      <c r="Q35" s="1351" t="str">
        <f t="shared" si="11"/>
        <v>市政基础设施</v>
      </c>
      <c r="R35" s="705" t="s">
        <v>14</v>
      </c>
      <c r="S35" s="706">
        <f t="shared" si="12"/>
        <v>100</v>
      </c>
      <c r="T35" s="705" t="s">
        <v>14</v>
      </c>
      <c r="U35" s="706">
        <f t="shared" si="13"/>
        <v>100</v>
      </c>
      <c r="V35" s="705" t="s">
        <v>14</v>
      </c>
      <c r="W35" s="706">
        <f t="shared" si="14"/>
        <v>100</v>
      </c>
      <c r="X35" s="1354"/>
      <c r="Y35" s="3733"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3"/>
      <c r="Q36" s="1351" t="str">
        <f t="shared" si="11"/>
        <v>内部装修</v>
      </c>
      <c r="R36" s="705" t="s">
        <v>14</v>
      </c>
      <c r="S36" s="706">
        <f t="shared" si="12"/>
        <v>100</v>
      </c>
      <c r="T36" s="705" t="s">
        <v>14</v>
      </c>
      <c r="U36" s="706">
        <f t="shared" si="13"/>
        <v>100</v>
      </c>
      <c r="V36" s="705" t="s">
        <v>14</v>
      </c>
      <c r="W36" s="706">
        <f t="shared" si="14"/>
        <v>100</v>
      </c>
      <c r="X36" s="1354"/>
      <c r="Y36" s="3733"/>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3"/>
      <c r="Q37" s="1351" t="str">
        <f t="shared" si="11"/>
        <v>内部装修状况</v>
      </c>
      <c r="R37" s="705" t="s">
        <v>14</v>
      </c>
      <c r="S37" s="706">
        <f t="shared" si="12"/>
        <v>100</v>
      </c>
      <c r="T37" s="705" t="s">
        <v>14</v>
      </c>
      <c r="U37" s="706">
        <f t="shared" si="13"/>
        <v>100</v>
      </c>
      <c r="V37" s="705" t="s">
        <v>14</v>
      </c>
      <c r="W37" s="706">
        <f t="shared" si="14"/>
        <v>100</v>
      </c>
      <c r="X37" s="1354"/>
      <c r="Y37" s="3733"/>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3"/>
      <c r="Q38" s="707">
        <f t="shared" si="11"/>
        <v>111</v>
      </c>
      <c r="R38" s="708" t="s">
        <v>14</v>
      </c>
      <c r="S38" s="709">
        <f t="shared" si="12"/>
        <v>100</v>
      </c>
      <c r="T38" s="708" t="s">
        <v>14</v>
      </c>
      <c r="U38" s="709">
        <f t="shared" si="13"/>
        <v>100</v>
      </c>
      <c r="V38" s="708" t="s">
        <v>14</v>
      </c>
      <c r="W38" s="709">
        <f t="shared" si="14"/>
        <v>100</v>
      </c>
      <c r="X38" s="710"/>
      <c r="Y38" s="3733"/>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3"/>
      <c r="Q39" s="1351">
        <f t="shared" si="11"/>
        <v>111</v>
      </c>
      <c r="R39" s="705" t="s">
        <v>14</v>
      </c>
      <c r="S39" s="706">
        <f t="shared" si="12"/>
        <v>100</v>
      </c>
      <c r="T39" s="705" t="s">
        <v>14</v>
      </c>
      <c r="U39" s="706">
        <f t="shared" si="13"/>
        <v>100</v>
      </c>
      <c r="V39" s="705" t="s">
        <v>14</v>
      </c>
      <c r="W39" s="706">
        <f t="shared" si="14"/>
        <v>100</v>
      </c>
      <c r="X39" s="1354"/>
      <c r="Y39" s="3733"/>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4"/>
      <c r="Q40" s="1351">
        <f t="shared" si="11"/>
        <v>111</v>
      </c>
      <c r="R40" s="705" t="s">
        <v>14</v>
      </c>
      <c r="S40" s="706">
        <f t="shared" si="12"/>
        <v>100</v>
      </c>
      <c r="T40" s="705" t="s">
        <v>14</v>
      </c>
      <c r="U40" s="706">
        <f t="shared" si="13"/>
        <v>100</v>
      </c>
      <c r="V40" s="705" t="s">
        <v>14</v>
      </c>
      <c r="W40" s="706">
        <f t="shared" si="14"/>
        <v>100</v>
      </c>
      <c r="X40" s="1354"/>
      <c r="Y40" s="3734"/>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26" t="str">
        <f>A41</f>
        <v>成交单价（元/平方米）</v>
      </c>
      <c r="Q41" s="3726"/>
      <c r="R41" s="3727">
        <f>E41</f>
        <v>0</v>
      </c>
      <c r="S41" s="3727"/>
      <c r="T41" s="3727">
        <f>G41</f>
        <v>0</v>
      </c>
      <c r="U41" s="3727"/>
      <c r="V41" s="3727">
        <f>I41</f>
        <v>0</v>
      </c>
      <c r="W41" s="3727"/>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726" t="str">
        <f>A42</f>
        <v>比较价值（元/平方米）</v>
      </c>
      <c r="Q42" s="3726"/>
      <c r="R42" s="3727" t="e">
        <f>IF(F1="售价",ROUND(PRODUCT(R41,AA7:AA40),0),ROUND(PRODUCT(R41,AA7:AA40),1))</f>
        <v>#DIV/0!</v>
      </c>
      <c r="S42" s="3727"/>
      <c r="T42" s="3727" t="e">
        <f>IF(F1="售价",ROUND(PRODUCT(T41,AB7:AB40),0),ROUND(PRODUCT(T41,AB7:AB40),1))</f>
        <v>#DIV/0!</v>
      </c>
      <c r="U42" s="3727"/>
      <c r="V42" s="3727" t="e">
        <f>IF(F1="售价",ROUND(PRODUCT(V41,AC7:AC40),0),ROUND(PRODUCT(V41,AC7:AC40),1))</f>
        <v>#DIV/0!</v>
      </c>
      <c r="W42" s="372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3" t="str">
        <f>A43</f>
        <v>估价对象XX用房的比较价值（楼面单价，元/平方米）</v>
      </c>
      <c r="Q43" s="3724"/>
      <c r="R43" s="3725" t="e">
        <f>IF(F1="售价",ROUND(IF(D42="简单平均",AVERAGE(R42:V42),R42*F42+T42*H42+V42*J42),0),ROUND(IF(D42="简单平均",AVERAGE(R42:V42),R42*F42+T42*H42+V42*J42),1))</f>
        <v>#DIV/0!</v>
      </c>
      <c r="S43" s="3725"/>
      <c r="T43" s="3725"/>
      <c r="U43" s="3725"/>
      <c r="V43" s="3725"/>
      <c r="W43" s="3725"/>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2023-11</v>
      </c>
      <c r="D52" s="1184">
        <f>EDATE(C52,-1)</f>
        <v>45200</v>
      </c>
      <c r="E52" s="1184">
        <f t="shared" ref="E52:O52" si="16">EDATE(D52,-1)</f>
        <v>45170</v>
      </c>
      <c r="F52" s="1184">
        <f t="shared" si="16"/>
        <v>45139</v>
      </c>
      <c r="G52" s="1184">
        <f t="shared" si="16"/>
        <v>45108</v>
      </c>
      <c r="H52" s="1184">
        <f t="shared" si="16"/>
        <v>45078</v>
      </c>
      <c r="I52" s="1184">
        <f t="shared" si="16"/>
        <v>45047</v>
      </c>
      <c r="J52" s="1184">
        <f t="shared" si="16"/>
        <v>45017</v>
      </c>
      <c r="K52" s="1184">
        <f t="shared" si="16"/>
        <v>44986</v>
      </c>
      <c r="L52" s="1184">
        <f t="shared" si="16"/>
        <v>44958</v>
      </c>
      <c r="M52" s="1184">
        <f t="shared" si="16"/>
        <v>44927</v>
      </c>
      <c r="N52" s="1184">
        <f t="shared" si="16"/>
        <v>44896</v>
      </c>
      <c r="O52" s="1184">
        <f t="shared" si="16"/>
        <v>44866</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09" t="s">
        <v>1770</v>
      </c>
      <c r="D4" s="3710"/>
      <c r="E4" s="3711" t="s">
        <v>1771</v>
      </c>
      <c r="F4" s="3712"/>
      <c r="G4" s="3709" t="s">
        <v>1772</v>
      </c>
      <c r="H4" s="3710"/>
      <c r="I4" s="3709" t="s">
        <v>1773</v>
      </c>
      <c r="J4" s="3710"/>
      <c r="K4" s="559" t="s">
        <v>1774</v>
      </c>
      <c r="L4" s="2714"/>
      <c r="M4" s="2715"/>
      <c r="N4" s="2715"/>
      <c r="O4" s="2715"/>
      <c r="P4" s="3713" t="s">
        <v>1775</v>
      </c>
      <c r="Q4" s="3714"/>
      <c r="R4" s="3695" t="s">
        <v>1771</v>
      </c>
      <c r="S4" s="3696"/>
      <c r="T4" s="3695" t="s">
        <v>1772</v>
      </c>
      <c r="U4" s="3696"/>
      <c r="V4" s="3721" t="s">
        <v>1773</v>
      </c>
      <c r="W4" s="3721"/>
      <c r="X4" s="1354"/>
      <c r="Y4" s="3695" t="s">
        <v>1775</v>
      </c>
      <c r="Z4" s="3696"/>
      <c r="AA4" s="3690" t="s">
        <v>1771</v>
      </c>
      <c r="AB4" s="3691" t="s">
        <v>1772</v>
      </c>
      <c r="AC4" s="3690" t="s">
        <v>1773</v>
      </c>
    </row>
    <row r="5" spans="1:29" ht="15">
      <c r="A5" s="358"/>
      <c r="B5" s="359"/>
      <c r="C5" s="3705" t="s">
        <v>1673</v>
      </c>
      <c r="D5" s="3702"/>
      <c r="E5" s="3699" t="s">
        <v>1674</v>
      </c>
      <c r="F5" s="3700"/>
      <c r="G5" s="3705" t="s">
        <v>1675</v>
      </c>
      <c r="H5" s="3702"/>
      <c r="I5" s="3705" t="s">
        <v>1676</v>
      </c>
      <c r="J5" s="3702"/>
      <c r="K5" s="559"/>
      <c r="L5" s="2714"/>
      <c r="M5" s="2715"/>
      <c r="N5" s="2715"/>
      <c r="O5" s="2715"/>
      <c r="P5" s="3715"/>
      <c r="Q5" s="3716"/>
      <c r="R5" s="3697"/>
      <c r="S5" s="3698"/>
      <c r="T5" s="3697"/>
      <c r="U5" s="3698"/>
      <c r="V5" s="3721"/>
      <c r="W5" s="3721"/>
      <c r="X5" s="1354"/>
      <c r="Y5" s="3697"/>
      <c r="Z5" s="3698"/>
      <c r="AA5" s="3691"/>
      <c r="AB5" s="3691"/>
      <c r="AC5" s="3691"/>
    </row>
    <row r="6" spans="1:29" ht="15.75" thickBot="1">
      <c r="A6" s="360"/>
      <c r="B6" s="361"/>
      <c r="C6" s="3703" t="s">
        <v>1677</v>
      </c>
      <c r="D6" s="3704"/>
      <c r="E6" s="3706" t="s">
        <v>1677</v>
      </c>
      <c r="F6" s="3707"/>
      <c r="G6" s="3703" t="s">
        <v>1677</v>
      </c>
      <c r="H6" s="3704"/>
      <c r="I6" s="3703" t="s">
        <v>1677</v>
      </c>
      <c r="J6" s="3704"/>
      <c r="K6" s="559" t="s">
        <v>1678</v>
      </c>
      <c r="L6" s="2714"/>
      <c r="M6" s="2715"/>
      <c r="N6" s="2715"/>
      <c r="O6" s="2715"/>
      <c r="P6" s="3717"/>
      <c r="Q6" s="3718"/>
      <c r="R6" s="3697"/>
      <c r="S6" s="3698"/>
      <c r="T6" s="3719"/>
      <c r="U6" s="3720"/>
      <c r="V6" s="3721"/>
      <c r="W6" s="3721"/>
      <c r="X6" s="1354"/>
      <c r="Y6" s="3719"/>
      <c r="Z6" s="3720"/>
      <c r="AA6" s="3692"/>
      <c r="AB6" s="3692"/>
      <c r="AC6" s="3692"/>
    </row>
    <row r="7" spans="1:29" s="108" customFormat="1" ht="15.75" thickBot="1">
      <c r="A7" s="362" t="s">
        <v>1679</v>
      </c>
      <c r="B7" s="363"/>
      <c r="C7" s="364">
        <f>'数据-取费表'!B2</f>
        <v>45231</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93" t="s">
        <v>1680</v>
      </c>
      <c r="Q7" s="3722"/>
      <c r="R7" s="701" t="s">
        <v>14</v>
      </c>
      <c r="S7" s="702">
        <f t="shared" ref="S7:S14" si="0">F7</f>
        <v>0</v>
      </c>
      <c r="T7" s="701" t="s">
        <v>14</v>
      </c>
      <c r="U7" s="702">
        <f t="shared" ref="U7:U14" si="1">H7</f>
        <v>0</v>
      </c>
      <c r="V7" s="701" t="s">
        <v>14</v>
      </c>
      <c r="W7" s="702">
        <f t="shared" ref="W7:W14" si="2">J7</f>
        <v>0</v>
      </c>
      <c r="X7" s="703"/>
      <c r="Y7" s="3693" t="s">
        <v>1680</v>
      </c>
      <c r="Z7" s="369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93" t="s">
        <v>1683</v>
      </c>
      <c r="Q8" s="3694"/>
      <c r="R8" s="701" t="s">
        <v>14</v>
      </c>
      <c r="S8" s="702">
        <f t="shared" si="0"/>
        <v>100</v>
      </c>
      <c r="T8" s="701" t="s">
        <v>14</v>
      </c>
      <c r="U8" s="702">
        <f t="shared" si="1"/>
        <v>100</v>
      </c>
      <c r="V8" s="701" t="s">
        <v>14</v>
      </c>
      <c r="W8" s="702">
        <f t="shared" si="2"/>
        <v>100</v>
      </c>
      <c r="X8" s="703"/>
      <c r="Y8" s="3693" t="s">
        <v>1683</v>
      </c>
      <c r="Z8" s="369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26" t="s">
        <v>1686</v>
      </c>
      <c r="Q9" s="1342" t="str">
        <f t="shared" ref="Q9:Q14" si="6">B9</f>
        <v>用途</v>
      </c>
      <c r="R9" s="701" t="s">
        <v>14</v>
      </c>
      <c r="S9" s="702">
        <f t="shared" si="0"/>
        <v>100</v>
      </c>
      <c r="T9" s="701" t="s">
        <v>14</v>
      </c>
      <c r="U9" s="702">
        <f t="shared" si="1"/>
        <v>100</v>
      </c>
      <c r="V9" s="701" t="s">
        <v>14</v>
      </c>
      <c r="W9" s="702">
        <f t="shared" si="2"/>
        <v>100</v>
      </c>
      <c r="X9" s="703"/>
      <c r="Y9" s="3663"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26"/>
      <c r="Q10" s="1342" t="str">
        <f t="shared" si="6"/>
        <v>土地使用年限（年）</v>
      </c>
      <c r="R10" s="701" t="s">
        <v>14</v>
      </c>
      <c r="S10" s="702">
        <f t="shared" si="0"/>
        <v>100</v>
      </c>
      <c r="T10" s="701" t="s">
        <v>14</v>
      </c>
      <c r="U10" s="702">
        <f t="shared" si="1"/>
        <v>100</v>
      </c>
      <c r="V10" s="701" t="s">
        <v>14</v>
      </c>
      <c r="W10" s="702">
        <f t="shared" si="2"/>
        <v>100</v>
      </c>
      <c r="X10" s="703"/>
      <c r="Y10" s="366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26"/>
      <c r="Q11" s="1342">
        <f t="shared" si="6"/>
        <v>111</v>
      </c>
      <c r="R11" s="701" t="s">
        <v>14</v>
      </c>
      <c r="S11" s="702">
        <f t="shared" si="0"/>
        <v>100</v>
      </c>
      <c r="T11" s="701" t="s">
        <v>14</v>
      </c>
      <c r="U11" s="702">
        <f t="shared" si="1"/>
        <v>100</v>
      </c>
      <c r="V11" s="701" t="s">
        <v>14</v>
      </c>
      <c r="W11" s="702">
        <f t="shared" si="2"/>
        <v>100</v>
      </c>
      <c r="X11" s="703"/>
      <c r="Y11" s="366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26"/>
      <c r="Q12" s="1342">
        <f t="shared" si="6"/>
        <v>111</v>
      </c>
      <c r="R12" s="701" t="s">
        <v>14</v>
      </c>
      <c r="S12" s="702">
        <f t="shared" si="0"/>
        <v>100</v>
      </c>
      <c r="T12" s="701" t="s">
        <v>14</v>
      </c>
      <c r="U12" s="702">
        <f t="shared" si="1"/>
        <v>100</v>
      </c>
      <c r="V12" s="701" t="s">
        <v>14</v>
      </c>
      <c r="W12" s="702">
        <f t="shared" si="2"/>
        <v>100</v>
      </c>
      <c r="X12" s="703"/>
      <c r="Y12" s="366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26"/>
      <c r="Q13" s="1342">
        <f t="shared" si="6"/>
        <v>111</v>
      </c>
      <c r="R13" s="701" t="s">
        <v>14</v>
      </c>
      <c r="S13" s="702">
        <f t="shared" si="0"/>
        <v>100</v>
      </c>
      <c r="T13" s="701" t="s">
        <v>14</v>
      </c>
      <c r="U13" s="702">
        <f t="shared" si="1"/>
        <v>100</v>
      </c>
      <c r="V13" s="701" t="s">
        <v>14</v>
      </c>
      <c r="W13" s="702">
        <f t="shared" si="2"/>
        <v>100</v>
      </c>
      <c r="X13" s="703"/>
      <c r="Y13" s="3663"/>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28" t="s">
        <v>1691</v>
      </c>
      <c r="Q14" s="1351" t="str">
        <f t="shared" si="6"/>
        <v>交通便捷度</v>
      </c>
      <c r="R14" s="705" t="s">
        <v>14</v>
      </c>
      <c r="S14" s="706">
        <f t="shared" si="0"/>
        <v>100</v>
      </c>
      <c r="T14" s="705" t="s">
        <v>14</v>
      </c>
      <c r="U14" s="706">
        <f t="shared" si="1"/>
        <v>100</v>
      </c>
      <c r="V14" s="705" t="s">
        <v>14</v>
      </c>
      <c r="W14" s="706">
        <f t="shared" si="2"/>
        <v>100</v>
      </c>
      <c r="X14" s="1354"/>
      <c r="Y14" s="3728"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29"/>
      <c r="Q15" s="1351"/>
      <c r="R15" s="705"/>
      <c r="S15" s="706"/>
      <c r="T15" s="705"/>
      <c r="U15" s="706"/>
      <c r="V15" s="705"/>
      <c r="W15" s="706"/>
      <c r="X15" s="1354"/>
      <c r="Y15" s="3729"/>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29"/>
      <c r="Q16" s="1351" t="str">
        <f>B16</f>
        <v>公共配套设施</v>
      </c>
      <c r="R16" s="705" t="s">
        <v>14</v>
      </c>
      <c r="S16" s="706">
        <f>F16</f>
        <v>100</v>
      </c>
      <c r="T16" s="705" t="s">
        <v>14</v>
      </c>
      <c r="U16" s="706">
        <f>H16</f>
        <v>100</v>
      </c>
      <c r="V16" s="705" t="s">
        <v>14</v>
      </c>
      <c r="W16" s="706">
        <f>J16</f>
        <v>100</v>
      </c>
      <c r="X16" s="1354"/>
      <c r="Y16" s="3729"/>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29"/>
      <c r="Q17" s="1351"/>
      <c r="R17" s="705"/>
      <c r="S17" s="706"/>
      <c r="T17" s="705"/>
      <c r="U17" s="706"/>
      <c r="V17" s="705"/>
      <c r="W17" s="706"/>
      <c r="X17" s="1354"/>
      <c r="Y17" s="3729"/>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29"/>
      <c r="Q18" s="1351" t="str">
        <f>B18</f>
        <v>基础设施水平</v>
      </c>
      <c r="R18" s="705" t="s">
        <v>14</v>
      </c>
      <c r="S18" s="706">
        <f>F18</f>
        <v>100</v>
      </c>
      <c r="T18" s="705" t="s">
        <v>14</v>
      </c>
      <c r="U18" s="706">
        <f>H18</f>
        <v>100</v>
      </c>
      <c r="V18" s="705" t="s">
        <v>14</v>
      </c>
      <c r="W18" s="706">
        <f>J18</f>
        <v>100</v>
      </c>
      <c r="X18" s="1354"/>
      <c r="Y18" s="3729"/>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729"/>
      <c r="Q19" s="1351"/>
      <c r="R19" s="705"/>
      <c r="S19" s="706"/>
      <c r="T19" s="705"/>
      <c r="U19" s="706"/>
      <c r="V19" s="705"/>
      <c r="W19" s="706"/>
      <c r="X19" s="1354"/>
      <c r="Y19" s="3729"/>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29"/>
      <c r="Q20" s="1351" t="str">
        <f>B20</f>
        <v>自然及人文环境</v>
      </c>
      <c r="R20" s="705" t="s">
        <v>14</v>
      </c>
      <c r="S20" s="706">
        <f>F20</f>
        <v>100</v>
      </c>
      <c r="T20" s="705" t="s">
        <v>14</v>
      </c>
      <c r="U20" s="706">
        <f>H20</f>
        <v>100</v>
      </c>
      <c r="V20" s="705" t="s">
        <v>14</v>
      </c>
      <c r="W20" s="706">
        <f>J20</f>
        <v>100</v>
      </c>
      <c r="X20" s="1354"/>
      <c r="Y20" s="3729"/>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29"/>
      <c r="Q21" s="1351"/>
      <c r="R21" s="705"/>
      <c r="S21" s="706"/>
      <c r="T21" s="705"/>
      <c r="U21" s="706"/>
      <c r="V21" s="705"/>
      <c r="W21" s="706"/>
      <c r="X21" s="1354"/>
      <c r="Y21" s="3729"/>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29"/>
      <c r="Q22" s="1351" t="str">
        <f>B22</f>
        <v>楼层</v>
      </c>
      <c r="R22" s="705" t="s">
        <v>14</v>
      </c>
      <c r="S22" s="706">
        <f>F22</f>
        <v>100</v>
      </c>
      <c r="T22" s="705" t="s">
        <v>14</v>
      </c>
      <c r="U22" s="706">
        <f>H22</f>
        <v>100</v>
      </c>
      <c r="V22" s="705" t="s">
        <v>14</v>
      </c>
      <c r="W22" s="706">
        <f>J22</f>
        <v>100</v>
      </c>
      <c r="X22" s="1354"/>
      <c r="Y22" s="3729"/>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29"/>
      <c r="Q23" s="1351">
        <f>B23</f>
        <v>111</v>
      </c>
      <c r="R23" s="705" t="s">
        <v>14</v>
      </c>
      <c r="S23" s="706">
        <f>F23</f>
        <v>100</v>
      </c>
      <c r="T23" s="705" t="s">
        <v>14</v>
      </c>
      <c r="U23" s="706">
        <f>H23</f>
        <v>100</v>
      </c>
      <c r="V23" s="705" t="s">
        <v>14</v>
      </c>
      <c r="W23" s="706">
        <f>J23</f>
        <v>100</v>
      </c>
      <c r="X23" s="1354"/>
      <c r="Y23" s="3729"/>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29"/>
      <c r="Q24" s="1351">
        <f t="shared" ref="Q24:Q36" si="11">B24</f>
        <v>111</v>
      </c>
      <c r="R24" s="705" t="s">
        <v>14</v>
      </c>
      <c r="S24" s="706">
        <f>F24</f>
        <v>100</v>
      </c>
      <c r="T24" s="705" t="s">
        <v>14</v>
      </c>
      <c r="U24" s="706">
        <f>H24</f>
        <v>100</v>
      </c>
      <c r="V24" s="705" t="s">
        <v>14</v>
      </c>
      <c r="W24" s="706">
        <f>J24</f>
        <v>100</v>
      </c>
      <c r="X24" s="1354"/>
      <c r="Y24" s="3729"/>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29"/>
      <c r="Q25" s="1342">
        <f t="shared" si="11"/>
        <v>111</v>
      </c>
      <c r="R25" s="701" t="s">
        <v>14</v>
      </c>
      <c r="S25" s="702">
        <f>F25</f>
        <v>100</v>
      </c>
      <c r="T25" s="701" t="s">
        <v>14</v>
      </c>
      <c r="U25" s="702">
        <f>H25</f>
        <v>100</v>
      </c>
      <c r="V25" s="701" t="s">
        <v>14</v>
      </c>
      <c r="W25" s="702">
        <f>J25</f>
        <v>100</v>
      </c>
      <c r="X25" s="703"/>
      <c r="Y25" s="3729"/>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78"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33"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33"/>
      <c r="Q27" s="707" t="str">
        <f t="shared" si="11"/>
        <v>项目停车位配比</v>
      </c>
      <c r="R27" s="708" t="s">
        <v>14</v>
      </c>
      <c r="S27" s="709">
        <f t="shared" si="12"/>
        <v>100</v>
      </c>
      <c r="T27" s="708" t="s">
        <v>14</v>
      </c>
      <c r="U27" s="709">
        <f t="shared" si="13"/>
        <v>100</v>
      </c>
      <c r="V27" s="708" t="s">
        <v>14</v>
      </c>
      <c r="W27" s="709">
        <f t="shared" si="14"/>
        <v>100</v>
      </c>
      <c r="X27" s="710"/>
      <c r="Y27" s="3733"/>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33"/>
      <c r="Q28" s="1351" t="str">
        <f t="shared" si="11"/>
        <v>公共部分装修</v>
      </c>
      <c r="R28" s="705" t="s">
        <v>14</v>
      </c>
      <c r="S28" s="706">
        <f t="shared" si="12"/>
        <v>100</v>
      </c>
      <c r="T28" s="705" t="s">
        <v>14</v>
      </c>
      <c r="U28" s="706">
        <f t="shared" si="13"/>
        <v>100</v>
      </c>
      <c r="V28" s="705" t="s">
        <v>14</v>
      </c>
      <c r="W28" s="706">
        <f t="shared" si="14"/>
        <v>100</v>
      </c>
      <c r="X28" s="1354"/>
      <c r="Y28" s="3733"/>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33"/>
      <c r="Q29" s="1351" t="str">
        <f t="shared" si="11"/>
        <v>成新率</v>
      </c>
      <c r="R29" s="705" t="s">
        <v>14</v>
      </c>
      <c r="S29" s="706" t="e">
        <f t="shared" si="12"/>
        <v>#N/A</v>
      </c>
      <c r="T29" s="705" t="s">
        <v>14</v>
      </c>
      <c r="U29" s="706" t="e">
        <f t="shared" si="13"/>
        <v>#N/A</v>
      </c>
      <c r="V29" s="705" t="s">
        <v>14</v>
      </c>
      <c r="W29" s="706" t="e">
        <f t="shared" si="14"/>
        <v>#N/A</v>
      </c>
      <c r="X29" s="1354"/>
      <c r="Y29" s="3733"/>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33"/>
      <c r="Q30" s="1351" t="str">
        <f t="shared" si="11"/>
        <v>物业等级</v>
      </c>
      <c r="R30" s="705" t="s">
        <v>14</v>
      </c>
      <c r="S30" s="706">
        <f t="shared" si="12"/>
        <v>100</v>
      </c>
      <c r="T30" s="705" t="s">
        <v>14</v>
      </c>
      <c r="U30" s="706">
        <f t="shared" si="13"/>
        <v>100</v>
      </c>
      <c r="V30" s="705" t="s">
        <v>14</v>
      </c>
      <c r="W30" s="706">
        <f t="shared" si="14"/>
        <v>100</v>
      </c>
      <c r="X30" s="1354"/>
      <c r="Y30" s="3733"/>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33"/>
      <c r="Q31" s="1342" t="str">
        <f t="shared" si="11"/>
        <v>停车位面积</v>
      </c>
      <c r="R31" s="701" t="s">
        <v>14</v>
      </c>
      <c r="S31" s="702" t="e">
        <f t="shared" si="12"/>
        <v>#N/A</v>
      </c>
      <c r="T31" s="701" t="s">
        <v>14</v>
      </c>
      <c r="U31" s="702" t="e">
        <f t="shared" si="13"/>
        <v>#N/A</v>
      </c>
      <c r="V31" s="701" t="s">
        <v>14</v>
      </c>
      <c r="W31" s="702" t="e">
        <f t="shared" si="14"/>
        <v>#N/A</v>
      </c>
      <c r="X31" s="703"/>
      <c r="Y31" s="373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33" t="s">
        <v>1696</v>
      </c>
      <c r="Q32" s="1351" t="str">
        <f t="shared" si="11"/>
        <v>车位类型</v>
      </c>
      <c r="R32" s="705" t="s">
        <v>14</v>
      </c>
      <c r="S32" s="706">
        <f t="shared" si="12"/>
        <v>100</v>
      </c>
      <c r="T32" s="705" t="s">
        <v>14</v>
      </c>
      <c r="U32" s="706">
        <f t="shared" si="13"/>
        <v>100</v>
      </c>
      <c r="V32" s="705" t="s">
        <v>14</v>
      </c>
      <c r="W32" s="706">
        <f t="shared" si="14"/>
        <v>100</v>
      </c>
      <c r="X32" s="1354"/>
      <c r="Y32" s="3733"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33"/>
      <c r="Q33" s="1351" t="str">
        <f t="shared" si="11"/>
        <v>是否直接入户</v>
      </c>
      <c r="R33" s="705" t="s">
        <v>14</v>
      </c>
      <c r="S33" s="706">
        <f t="shared" si="12"/>
        <v>100</v>
      </c>
      <c r="T33" s="705" t="s">
        <v>14</v>
      </c>
      <c r="U33" s="706">
        <f t="shared" si="13"/>
        <v>100</v>
      </c>
      <c r="V33" s="705" t="s">
        <v>14</v>
      </c>
      <c r="W33" s="706">
        <f t="shared" si="14"/>
        <v>100</v>
      </c>
      <c r="X33" s="1354"/>
      <c r="Y33" s="3733"/>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33"/>
      <c r="Q34" s="1351">
        <f t="shared" si="11"/>
        <v>111</v>
      </c>
      <c r="R34" s="705" t="s">
        <v>14</v>
      </c>
      <c r="S34" s="706">
        <f t="shared" si="12"/>
        <v>100</v>
      </c>
      <c r="T34" s="705" t="s">
        <v>14</v>
      </c>
      <c r="U34" s="706">
        <f t="shared" si="13"/>
        <v>100</v>
      </c>
      <c r="V34" s="705" t="s">
        <v>14</v>
      </c>
      <c r="W34" s="706">
        <f t="shared" si="14"/>
        <v>100</v>
      </c>
      <c r="X34" s="1354"/>
      <c r="Y34" s="3733"/>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33"/>
      <c r="Q35" s="707">
        <f t="shared" si="11"/>
        <v>111</v>
      </c>
      <c r="R35" s="708" t="s">
        <v>14</v>
      </c>
      <c r="S35" s="709">
        <f t="shared" si="12"/>
        <v>100</v>
      </c>
      <c r="T35" s="708" t="s">
        <v>14</v>
      </c>
      <c r="U35" s="709">
        <f t="shared" si="13"/>
        <v>100</v>
      </c>
      <c r="V35" s="708" t="s">
        <v>14</v>
      </c>
      <c r="W35" s="709">
        <f t="shared" si="14"/>
        <v>100</v>
      </c>
      <c r="X35" s="710"/>
      <c r="Y35" s="3733"/>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33"/>
      <c r="Q36" s="1351">
        <f t="shared" si="11"/>
        <v>111</v>
      </c>
      <c r="R36" s="705" t="s">
        <v>14</v>
      </c>
      <c r="S36" s="706">
        <f t="shared" si="12"/>
        <v>100</v>
      </c>
      <c r="T36" s="705" t="s">
        <v>14</v>
      </c>
      <c r="U36" s="706">
        <f t="shared" si="13"/>
        <v>100</v>
      </c>
      <c r="V36" s="705" t="s">
        <v>14</v>
      </c>
      <c r="W36" s="706">
        <f t="shared" si="14"/>
        <v>100</v>
      </c>
      <c r="X36" s="1354"/>
      <c r="Y36" s="3733"/>
      <c r="Z36" s="1355">
        <f t="shared" si="15"/>
        <v>111</v>
      </c>
      <c r="AA36" s="1352">
        <f t="shared" si="3"/>
        <v>1</v>
      </c>
      <c r="AB36" s="1352">
        <f t="shared" si="4"/>
        <v>1</v>
      </c>
      <c r="AC36" s="1352">
        <f t="shared" si="5"/>
        <v>1</v>
      </c>
    </row>
    <row r="37" spans="1:29" ht="15">
      <c r="A37" s="430" t="s">
        <v>1844</v>
      </c>
      <c r="B37" s="1972" t="s">
        <v>3359</v>
      </c>
      <c r="C37" s="1154" t="s">
        <v>0</v>
      </c>
      <c r="D37" s="1155"/>
      <c r="E37" s="1156"/>
      <c r="F37" s="1157"/>
      <c r="G37" s="1158"/>
      <c r="H37" s="1159"/>
      <c r="I37" s="1156"/>
      <c r="J37" s="1159"/>
      <c r="K37" s="568"/>
      <c r="L37" s="2723"/>
      <c r="M37" s="2724"/>
      <c r="N37" s="2715"/>
      <c r="O37" s="2724"/>
      <c r="P37" s="3726" t="str">
        <f>A37</f>
        <v>成交单价</v>
      </c>
      <c r="Q37" s="3726"/>
      <c r="R37" s="3727">
        <f>E37</f>
        <v>0</v>
      </c>
      <c r="S37" s="3727"/>
      <c r="T37" s="3727">
        <f>G37</f>
        <v>0</v>
      </c>
      <c r="U37" s="3727"/>
      <c r="V37" s="3727">
        <f>I37</f>
        <v>0</v>
      </c>
      <c r="W37" s="3727"/>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726" t="str">
        <f>A38</f>
        <v>比较价值（元/平方米）</v>
      </c>
      <c r="Q38" s="3726"/>
      <c r="R38" s="3727" t="e">
        <f>IF(F1="售价",ROUND(PRODUCT(R37,AA7:AA36),0),ROUND(PRODUCT(R37,AA7:AA36),1))</f>
        <v>#DIV/0!</v>
      </c>
      <c r="S38" s="3727"/>
      <c r="T38" s="3727" t="e">
        <f>IF(F1="售价",ROUND(PRODUCT(T37,AB7:AB36),0),ROUND(PRODUCT(T37,AB7:AB36),1))</f>
        <v>#DIV/0!</v>
      </c>
      <c r="U38" s="3727"/>
      <c r="V38" s="3727" t="e">
        <f>IF(F1="售价",ROUND(PRODUCT(V37,AC7:AC36),0),ROUND(PRODUCT(V37,AC7:AC36),1))</f>
        <v>#DIV/0!</v>
      </c>
      <c r="W38" s="372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23" t="str">
        <f>A39</f>
        <v>估价对象XX用房的比较价值（楼面单价，元/平方米）</v>
      </c>
      <c r="Q39" s="3724"/>
      <c r="R39" s="3779" t="e">
        <f>IF(F1="售价",ROUND(IF(D38="简单平均",AVERAGE(R38:W38),R38*F38+T38*H38+V38*J38),0),ROUND(IF(D38="简单平均",AVERAGE(R38:V38),R38*F38+T38*H38+V38*J38),1))</f>
        <v>#DIV/0!</v>
      </c>
      <c r="S39" s="3779"/>
      <c r="T39" s="3779"/>
      <c r="U39" s="3779"/>
      <c r="V39" s="3779"/>
      <c r="W39" s="3779"/>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2023-11</v>
      </c>
      <c r="D48" s="1184">
        <f>EDATE(C48,-1)</f>
        <v>45200</v>
      </c>
      <c r="E48" s="1184">
        <f t="shared" ref="E48:O48" si="16">EDATE(D48,-1)</f>
        <v>45170</v>
      </c>
      <c r="F48" s="1184">
        <f t="shared" si="16"/>
        <v>45139</v>
      </c>
      <c r="G48" s="1184">
        <f t="shared" si="16"/>
        <v>45108</v>
      </c>
      <c r="H48" s="1184">
        <f t="shared" si="16"/>
        <v>45078</v>
      </c>
      <c r="I48" s="1184">
        <f t="shared" si="16"/>
        <v>45047</v>
      </c>
      <c r="J48" s="1184">
        <f t="shared" si="16"/>
        <v>45017</v>
      </c>
      <c r="K48" s="1184">
        <f t="shared" si="16"/>
        <v>44986</v>
      </c>
      <c r="L48" s="1184">
        <f t="shared" si="16"/>
        <v>44958</v>
      </c>
      <c r="M48" s="1184">
        <f t="shared" si="16"/>
        <v>44927</v>
      </c>
      <c r="N48" s="1184">
        <f t="shared" si="16"/>
        <v>44896</v>
      </c>
      <c r="O48" s="1184">
        <f t="shared" si="16"/>
        <v>44866</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G15 E15 C15 I15" xr:uid="{00000000-0002-0000-2100-000002000000}">
      <formula1>交通便捷度</formula1>
    </dataValidation>
    <dataValidation type="list" allowBlank="1" showInputMessage="1" showErrorMessage="1" sqref="C8 E8 G8 I8" xr:uid="{00000000-0002-0000-2100-000003000000}">
      <formula1>车位交易情况</formula1>
    </dataValidation>
    <dataValidation type="list" allowBlank="1" showInputMessage="1" showErrorMessage="1" sqref="E9 G9 I9" xr:uid="{00000000-0002-0000-2100-000004000000}">
      <formula1>车位用途</formula1>
    </dataValidation>
    <dataValidation type="list" allowBlank="1" showInputMessage="1" showErrorMessage="1" sqref="C22 E22 G22 I22" xr:uid="{00000000-0002-0000-2100-000005000000}">
      <formula1>车位楼层</formula1>
    </dataValidation>
    <dataValidation type="list" allowBlank="1" showInputMessage="1" showErrorMessage="1" sqref="C30 E30 G30 I30" xr:uid="{00000000-0002-0000-2100-000006000000}">
      <formula1>车位物业等级</formula1>
    </dataValidation>
    <dataValidation type="list" allowBlank="1" showInputMessage="1" showErrorMessage="1" sqref="C32 E32 G32 I32" xr:uid="{00000000-0002-0000-2100-000007000000}">
      <formula1>车位类型</formula1>
    </dataValidation>
    <dataValidation type="list" allowBlank="1" showInputMessage="1" showErrorMessage="1" sqref="C33 E33 G33 I33" xr:uid="{00000000-0002-0000-2100-000008000000}">
      <formula1>是否直接入户</formula1>
    </dataValidation>
    <dataValidation type="list" allowBlank="1" showInputMessage="1" showErrorMessage="1" sqref="B1" xr:uid="{00000000-0002-0000-2100-000009000000}">
      <formula1>地类判定</formula1>
    </dataValidation>
    <dataValidation type="list" allowBlank="1" showInputMessage="1" showErrorMessage="1" sqref="I26 E26 G26" xr:uid="{00000000-0002-0000-2100-00000A000000}">
      <formula1>车位配套类型</formula1>
    </dataValidation>
    <dataValidation type="list" allowBlank="1" showInputMessage="1" showErrorMessage="1" sqref="C28 E28 G28 I28" xr:uid="{00000000-0002-0000-2100-00000B000000}">
      <formula1>车位公共部分装修</formula1>
    </dataValidation>
    <dataValidation type="list" allowBlank="1" showInputMessage="1" showErrorMessage="1" sqref="B37" xr:uid="{00000000-0002-0000-2100-00000C000000}">
      <formula1>"元/平方米,元/车位"</formula1>
    </dataValidation>
    <dataValidation type="list" allowBlank="1" showInputMessage="1" showErrorMessage="1" sqref="C21 E21 G21 I21" xr:uid="{00000000-0002-0000-2100-00000D000000}">
      <formula1>环境</formula1>
    </dataValidation>
    <dataValidation type="list" allowBlank="1" showInputMessage="1" showErrorMessage="1" sqref="C19 E19 G19 I19"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38"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3339</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09" t="s">
        <v>1770</v>
      </c>
      <c r="D4" s="3710"/>
      <c r="E4" s="3711" t="s">
        <v>1771</v>
      </c>
      <c r="F4" s="3712"/>
      <c r="G4" s="3709" t="s">
        <v>1772</v>
      </c>
      <c r="H4" s="3710"/>
      <c r="I4" s="3709" t="s">
        <v>1773</v>
      </c>
      <c r="J4" s="3710"/>
      <c r="K4" s="559" t="s">
        <v>1774</v>
      </c>
      <c r="L4" s="2714"/>
      <c r="M4" s="2715"/>
      <c r="N4" s="2715"/>
      <c r="O4" s="2715"/>
      <c r="P4" s="3713" t="s">
        <v>1775</v>
      </c>
      <c r="Q4" s="3714"/>
      <c r="R4" s="3695" t="s">
        <v>1771</v>
      </c>
      <c r="S4" s="3696"/>
      <c r="T4" s="3695" t="s">
        <v>1772</v>
      </c>
      <c r="U4" s="3696"/>
      <c r="V4" s="3721" t="s">
        <v>1773</v>
      </c>
      <c r="W4" s="3721"/>
      <c r="X4" s="1354"/>
      <c r="Y4" s="3695" t="s">
        <v>1775</v>
      </c>
      <c r="Z4" s="3696"/>
      <c r="AA4" s="3690" t="s">
        <v>1771</v>
      </c>
      <c r="AB4" s="3691" t="s">
        <v>1772</v>
      </c>
      <c r="AC4" s="3690" t="s">
        <v>1773</v>
      </c>
    </row>
    <row r="5" spans="1:29" ht="15">
      <c r="A5" s="358"/>
      <c r="B5" s="359"/>
      <c r="C5" s="3705" t="s">
        <v>1673</v>
      </c>
      <c r="D5" s="3702"/>
      <c r="E5" s="3699" t="s">
        <v>1674</v>
      </c>
      <c r="F5" s="3700"/>
      <c r="G5" s="3705" t="s">
        <v>1675</v>
      </c>
      <c r="H5" s="3702"/>
      <c r="I5" s="3705" t="s">
        <v>1676</v>
      </c>
      <c r="J5" s="3702"/>
      <c r="K5" s="559"/>
      <c r="L5" s="2714"/>
      <c r="M5" s="2715"/>
      <c r="N5" s="2715"/>
      <c r="O5" s="2715"/>
      <c r="P5" s="3715"/>
      <c r="Q5" s="3716"/>
      <c r="R5" s="3697"/>
      <c r="S5" s="3698"/>
      <c r="T5" s="3697"/>
      <c r="U5" s="3698"/>
      <c r="V5" s="3721"/>
      <c r="W5" s="3721"/>
      <c r="X5" s="1354"/>
      <c r="Y5" s="3697"/>
      <c r="Z5" s="3698"/>
      <c r="AA5" s="3691"/>
      <c r="AB5" s="3691"/>
      <c r="AC5" s="3691"/>
    </row>
    <row r="6" spans="1:29" ht="15.75" thickBot="1">
      <c r="A6" s="360"/>
      <c r="B6" s="361"/>
      <c r="C6" s="3703" t="s">
        <v>1677</v>
      </c>
      <c r="D6" s="3704"/>
      <c r="E6" s="3706" t="s">
        <v>1677</v>
      </c>
      <c r="F6" s="3707"/>
      <c r="G6" s="3703" t="s">
        <v>1677</v>
      </c>
      <c r="H6" s="3704"/>
      <c r="I6" s="3703" t="s">
        <v>1677</v>
      </c>
      <c r="J6" s="3704"/>
      <c r="K6" s="559" t="s">
        <v>1678</v>
      </c>
      <c r="L6" s="2714"/>
      <c r="M6" s="2715"/>
      <c r="N6" s="2715"/>
      <c r="O6" s="2715"/>
      <c r="P6" s="3717"/>
      <c r="Q6" s="3718"/>
      <c r="R6" s="3697"/>
      <c r="S6" s="3698"/>
      <c r="T6" s="3719"/>
      <c r="U6" s="3720"/>
      <c r="V6" s="3721"/>
      <c r="W6" s="3721"/>
      <c r="X6" s="1354"/>
      <c r="Y6" s="3719"/>
      <c r="Z6" s="3720"/>
      <c r="AA6" s="3692"/>
      <c r="AB6" s="3692"/>
      <c r="AC6" s="3692"/>
    </row>
    <row r="7" spans="1:29" s="108" customFormat="1" ht="15.75" thickBot="1">
      <c r="A7" s="362" t="s">
        <v>1679</v>
      </c>
      <c r="B7" s="363"/>
      <c r="C7" s="364">
        <f>'数据-取费表'!B2</f>
        <v>45231</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93" t="s">
        <v>1680</v>
      </c>
      <c r="Q7" s="3722"/>
      <c r="R7" s="701" t="s">
        <v>14</v>
      </c>
      <c r="S7" s="702">
        <f t="shared" ref="S7:S14" si="0">F7</f>
        <v>0</v>
      </c>
      <c r="T7" s="701" t="s">
        <v>14</v>
      </c>
      <c r="U7" s="702">
        <f t="shared" ref="U7:U14" si="1">H7</f>
        <v>0</v>
      </c>
      <c r="V7" s="701" t="s">
        <v>14</v>
      </c>
      <c r="W7" s="702">
        <f t="shared" ref="W7:W14" si="2">J7</f>
        <v>0</v>
      </c>
      <c r="X7" s="703"/>
      <c r="Y7" s="3693" t="s">
        <v>1680</v>
      </c>
      <c r="Z7" s="369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93" t="s">
        <v>1683</v>
      </c>
      <c r="Q8" s="3694"/>
      <c r="R8" s="701" t="s">
        <v>14</v>
      </c>
      <c r="S8" s="702">
        <f t="shared" si="0"/>
        <v>100</v>
      </c>
      <c r="T8" s="701" t="s">
        <v>14</v>
      </c>
      <c r="U8" s="702">
        <f t="shared" si="1"/>
        <v>100</v>
      </c>
      <c r="V8" s="701" t="s">
        <v>14</v>
      </c>
      <c r="W8" s="702">
        <f t="shared" si="2"/>
        <v>100</v>
      </c>
      <c r="X8" s="703"/>
      <c r="Y8" s="3693" t="s">
        <v>1683</v>
      </c>
      <c r="Z8" s="369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26" t="s">
        <v>1686</v>
      </c>
      <c r="Q9" s="1342" t="str">
        <f t="shared" ref="Q9:Q14" si="6">B9</f>
        <v>用途</v>
      </c>
      <c r="R9" s="701" t="s">
        <v>14</v>
      </c>
      <c r="S9" s="702">
        <f t="shared" si="0"/>
        <v>100</v>
      </c>
      <c r="T9" s="701" t="s">
        <v>14</v>
      </c>
      <c r="U9" s="702">
        <f t="shared" si="1"/>
        <v>100</v>
      </c>
      <c r="V9" s="701" t="s">
        <v>14</v>
      </c>
      <c r="W9" s="702">
        <f t="shared" si="2"/>
        <v>100</v>
      </c>
      <c r="X9" s="703"/>
      <c r="Y9" s="3663"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26"/>
      <c r="Q10" s="1342" t="str">
        <f t="shared" si="6"/>
        <v>土地使用年限（年）</v>
      </c>
      <c r="R10" s="701" t="s">
        <v>14</v>
      </c>
      <c r="S10" s="702">
        <f t="shared" si="0"/>
        <v>100</v>
      </c>
      <c r="T10" s="701" t="s">
        <v>14</v>
      </c>
      <c r="U10" s="702">
        <f t="shared" si="1"/>
        <v>100</v>
      </c>
      <c r="V10" s="701" t="s">
        <v>14</v>
      </c>
      <c r="W10" s="702">
        <f t="shared" si="2"/>
        <v>100</v>
      </c>
      <c r="X10" s="703"/>
      <c r="Y10" s="3663"/>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26"/>
      <c r="Q11" s="1342">
        <f t="shared" si="6"/>
        <v>111</v>
      </c>
      <c r="R11" s="701" t="s">
        <v>14</v>
      </c>
      <c r="S11" s="702">
        <f t="shared" si="0"/>
        <v>100</v>
      </c>
      <c r="T11" s="701" t="s">
        <v>14</v>
      </c>
      <c r="U11" s="702">
        <f t="shared" si="1"/>
        <v>100</v>
      </c>
      <c r="V11" s="701" t="s">
        <v>14</v>
      </c>
      <c r="W11" s="702">
        <f t="shared" si="2"/>
        <v>100</v>
      </c>
      <c r="X11" s="703"/>
      <c r="Y11" s="3663"/>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26"/>
      <c r="Q12" s="1342">
        <f t="shared" si="6"/>
        <v>111</v>
      </c>
      <c r="R12" s="701" t="s">
        <v>14</v>
      </c>
      <c r="S12" s="702">
        <f t="shared" si="0"/>
        <v>100</v>
      </c>
      <c r="T12" s="701" t="s">
        <v>14</v>
      </c>
      <c r="U12" s="702">
        <f t="shared" si="1"/>
        <v>100</v>
      </c>
      <c r="V12" s="701" t="s">
        <v>14</v>
      </c>
      <c r="W12" s="702">
        <f t="shared" si="2"/>
        <v>100</v>
      </c>
      <c r="X12" s="703"/>
      <c r="Y12" s="3663"/>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26"/>
      <c r="Q13" s="1342">
        <f t="shared" si="6"/>
        <v>111</v>
      </c>
      <c r="R13" s="701" t="s">
        <v>14</v>
      </c>
      <c r="S13" s="702">
        <f t="shared" si="0"/>
        <v>100</v>
      </c>
      <c r="T13" s="701" t="s">
        <v>14</v>
      </c>
      <c r="U13" s="702">
        <f t="shared" si="1"/>
        <v>100</v>
      </c>
      <c r="V13" s="701" t="s">
        <v>14</v>
      </c>
      <c r="W13" s="702">
        <f t="shared" si="2"/>
        <v>100</v>
      </c>
      <c r="X13" s="703"/>
      <c r="Y13" s="3663"/>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28" t="s">
        <v>1691</v>
      </c>
      <c r="Q14" s="1351" t="str">
        <f t="shared" si="6"/>
        <v>交通便捷度</v>
      </c>
      <c r="R14" s="705" t="s">
        <v>14</v>
      </c>
      <c r="S14" s="706">
        <f t="shared" si="0"/>
        <v>100</v>
      </c>
      <c r="T14" s="705" t="s">
        <v>14</v>
      </c>
      <c r="U14" s="706">
        <f t="shared" si="1"/>
        <v>100</v>
      </c>
      <c r="V14" s="705" t="s">
        <v>14</v>
      </c>
      <c r="W14" s="706">
        <f t="shared" si="2"/>
        <v>100</v>
      </c>
      <c r="X14" s="1354"/>
      <c r="Y14" s="3728"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29"/>
      <c r="Q15" s="1351"/>
      <c r="R15" s="705"/>
      <c r="S15" s="706"/>
      <c r="T15" s="705"/>
      <c r="U15" s="706"/>
      <c r="V15" s="705"/>
      <c r="W15" s="706"/>
      <c r="X15" s="1354"/>
      <c r="Y15" s="3729"/>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29"/>
      <c r="Q16" s="1351" t="str">
        <f>B16</f>
        <v>公共配套设施</v>
      </c>
      <c r="R16" s="705" t="s">
        <v>14</v>
      </c>
      <c r="S16" s="706">
        <f>F16</f>
        <v>100</v>
      </c>
      <c r="T16" s="705" t="s">
        <v>14</v>
      </c>
      <c r="U16" s="706">
        <f>H16</f>
        <v>100</v>
      </c>
      <c r="V16" s="705" t="s">
        <v>14</v>
      </c>
      <c r="W16" s="706">
        <f>J16</f>
        <v>100</v>
      </c>
      <c r="X16" s="1354"/>
      <c r="Y16" s="3729"/>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29"/>
      <c r="Q17" s="1351"/>
      <c r="R17" s="705"/>
      <c r="S17" s="706"/>
      <c r="T17" s="705"/>
      <c r="U17" s="706"/>
      <c r="V17" s="705"/>
      <c r="W17" s="706"/>
      <c r="X17" s="1354"/>
      <c r="Y17" s="3729"/>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29"/>
      <c r="Q18" s="1351" t="str">
        <f>B18</f>
        <v>基础设施水平</v>
      </c>
      <c r="R18" s="705" t="s">
        <v>14</v>
      </c>
      <c r="S18" s="706">
        <f>F18</f>
        <v>100</v>
      </c>
      <c r="T18" s="705" t="s">
        <v>14</v>
      </c>
      <c r="U18" s="706">
        <f>H18</f>
        <v>100</v>
      </c>
      <c r="V18" s="705" t="s">
        <v>14</v>
      </c>
      <c r="W18" s="706">
        <f>J18</f>
        <v>100</v>
      </c>
      <c r="X18" s="1354"/>
      <c r="Y18" s="3729"/>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729"/>
      <c r="Q19" s="1351"/>
      <c r="R19" s="705"/>
      <c r="S19" s="706"/>
      <c r="T19" s="705"/>
      <c r="U19" s="706"/>
      <c r="V19" s="705"/>
      <c r="W19" s="706"/>
      <c r="X19" s="1354"/>
      <c r="Y19" s="3729"/>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29"/>
      <c r="Q20" s="1351" t="str">
        <f>B20</f>
        <v>自然及人文环境</v>
      </c>
      <c r="R20" s="705" t="s">
        <v>14</v>
      </c>
      <c r="S20" s="706">
        <f>F20</f>
        <v>100</v>
      </c>
      <c r="T20" s="705" t="s">
        <v>14</v>
      </c>
      <c r="U20" s="706">
        <f>H20</f>
        <v>100</v>
      </c>
      <c r="V20" s="705" t="s">
        <v>14</v>
      </c>
      <c r="W20" s="706">
        <f>J20</f>
        <v>100</v>
      </c>
      <c r="X20" s="1354"/>
      <c r="Y20" s="3729"/>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29"/>
      <c r="Q21" s="1351"/>
      <c r="R21" s="705"/>
      <c r="S21" s="706"/>
      <c r="T21" s="705"/>
      <c r="U21" s="706"/>
      <c r="V21" s="705"/>
      <c r="W21" s="706"/>
      <c r="X21" s="1354"/>
      <c r="Y21" s="3729"/>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29"/>
      <c r="Q22" s="1351" t="str">
        <f>B22</f>
        <v>楼层</v>
      </c>
      <c r="R22" s="705" t="s">
        <v>14</v>
      </c>
      <c r="S22" s="706">
        <f>F22</f>
        <v>100</v>
      </c>
      <c r="T22" s="705" t="s">
        <v>14</v>
      </c>
      <c r="U22" s="706">
        <f>H22</f>
        <v>100</v>
      </c>
      <c r="V22" s="705" t="s">
        <v>14</v>
      </c>
      <c r="W22" s="706">
        <f>J22</f>
        <v>100</v>
      </c>
      <c r="X22" s="1354"/>
      <c r="Y22" s="3729"/>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29"/>
      <c r="Q23" s="1351">
        <f>B23</f>
        <v>111</v>
      </c>
      <c r="R23" s="705" t="s">
        <v>14</v>
      </c>
      <c r="S23" s="706">
        <f>F23</f>
        <v>100</v>
      </c>
      <c r="T23" s="705" t="s">
        <v>14</v>
      </c>
      <c r="U23" s="706">
        <f>H23</f>
        <v>100</v>
      </c>
      <c r="V23" s="705" t="s">
        <v>14</v>
      </c>
      <c r="W23" s="706">
        <f>J23</f>
        <v>100</v>
      </c>
      <c r="X23" s="1354"/>
      <c r="Y23" s="3729"/>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29"/>
      <c r="Q24" s="1351">
        <f t="shared" ref="Q24:Q34" si="11">B24</f>
        <v>111</v>
      </c>
      <c r="R24" s="705" t="s">
        <v>14</v>
      </c>
      <c r="S24" s="706">
        <f>F24</f>
        <v>100</v>
      </c>
      <c r="T24" s="705" t="s">
        <v>14</v>
      </c>
      <c r="U24" s="706">
        <f>H24</f>
        <v>100</v>
      </c>
      <c r="V24" s="705" t="s">
        <v>14</v>
      </c>
      <c r="W24" s="706">
        <f>J24</f>
        <v>100</v>
      </c>
      <c r="X24" s="1354"/>
      <c r="Y24" s="3729"/>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29"/>
      <c r="Q25" s="1342">
        <f t="shared" si="11"/>
        <v>111</v>
      </c>
      <c r="R25" s="701" t="s">
        <v>14</v>
      </c>
      <c r="S25" s="702">
        <f>F25</f>
        <v>100</v>
      </c>
      <c r="T25" s="701" t="s">
        <v>14</v>
      </c>
      <c r="U25" s="702">
        <f>H25</f>
        <v>100</v>
      </c>
      <c r="V25" s="701" t="s">
        <v>14</v>
      </c>
      <c r="W25" s="702">
        <f>J25</f>
        <v>100</v>
      </c>
      <c r="X25" s="703"/>
      <c r="Y25" s="3729"/>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78"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33"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33"/>
      <c r="Q27" s="707" t="str">
        <f t="shared" si="11"/>
        <v>成新率</v>
      </c>
      <c r="R27" s="708" t="s">
        <v>14</v>
      </c>
      <c r="S27" s="709" t="e">
        <f t="shared" si="12"/>
        <v>#N/A</v>
      </c>
      <c r="T27" s="708" t="s">
        <v>14</v>
      </c>
      <c r="U27" s="709" t="e">
        <f t="shared" si="13"/>
        <v>#N/A</v>
      </c>
      <c r="V27" s="708" t="s">
        <v>14</v>
      </c>
      <c r="W27" s="709" t="e">
        <f t="shared" si="14"/>
        <v>#N/A</v>
      </c>
      <c r="X27" s="710"/>
      <c r="Y27" s="3733"/>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33"/>
      <c r="Q28" s="1351" t="str">
        <f t="shared" si="11"/>
        <v>物业等级</v>
      </c>
      <c r="R28" s="705" t="s">
        <v>14</v>
      </c>
      <c r="S28" s="706">
        <f t="shared" si="12"/>
        <v>100</v>
      </c>
      <c r="T28" s="705" t="s">
        <v>14</v>
      </c>
      <c r="U28" s="706">
        <f t="shared" si="13"/>
        <v>100</v>
      </c>
      <c r="V28" s="705" t="s">
        <v>14</v>
      </c>
      <c r="W28" s="706">
        <f t="shared" si="14"/>
        <v>100</v>
      </c>
      <c r="X28" s="1354"/>
      <c r="Y28" s="3733"/>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33"/>
      <c r="Q29" s="1351" t="str">
        <f t="shared" si="11"/>
        <v>有无电梯</v>
      </c>
      <c r="R29" s="705" t="s">
        <v>14</v>
      </c>
      <c r="S29" s="706">
        <f t="shared" si="12"/>
        <v>100</v>
      </c>
      <c r="T29" s="705" t="s">
        <v>14</v>
      </c>
      <c r="U29" s="706">
        <f t="shared" si="13"/>
        <v>100</v>
      </c>
      <c r="V29" s="705" t="s">
        <v>14</v>
      </c>
      <c r="W29" s="706">
        <f t="shared" si="14"/>
        <v>100</v>
      </c>
      <c r="X29" s="1354"/>
      <c r="Y29" s="3733"/>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33"/>
      <c r="Q30" s="1351" t="str">
        <f t="shared" si="11"/>
        <v>建筑面积</v>
      </c>
      <c r="R30" s="705" t="s">
        <v>14</v>
      </c>
      <c r="S30" s="706" t="e">
        <f t="shared" si="12"/>
        <v>#N/A</v>
      </c>
      <c r="T30" s="705" t="s">
        <v>14</v>
      </c>
      <c r="U30" s="706" t="e">
        <f t="shared" si="13"/>
        <v>#N/A</v>
      </c>
      <c r="V30" s="705" t="s">
        <v>14</v>
      </c>
      <c r="W30" s="706" t="e">
        <f t="shared" si="14"/>
        <v>#N/A</v>
      </c>
      <c r="X30" s="1354"/>
      <c r="Y30" s="3733"/>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33"/>
      <c r="Q31" s="1342" t="str">
        <f t="shared" si="11"/>
        <v>是否封闭</v>
      </c>
      <c r="R31" s="701" t="s">
        <v>14</v>
      </c>
      <c r="S31" s="702">
        <f t="shared" si="12"/>
        <v>100</v>
      </c>
      <c r="T31" s="701" t="s">
        <v>14</v>
      </c>
      <c r="U31" s="702">
        <f t="shared" si="13"/>
        <v>100</v>
      </c>
      <c r="V31" s="701" t="s">
        <v>14</v>
      </c>
      <c r="W31" s="702">
        <f t="shared" si="14"/>
        <v>100</v>
      </c>
      <c r="X31" s="703"/>
      <c r="Y31" s="3733"/>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33" t="s">
        <v>1696</v>
      </c>
      <c r="Q32" s="1351">
        <f t="shared" si="11"/>
        <v>111</v>
      </c>
      <c r="R32" s="705" t="s">
        <v>14</v>
      </c>
      <c r="S32" s="706">
        <f t="shared" si="12"/>
        <v>100</v>
      </c>
      <c r="T32" s="705" t="s">
        <v>14</v>
      </c>
      <c r="U32" s="706">
        <f t="shared" si="13"/>
        <v>100</v>
      </c>
      <c r="V32" s="705" t="s">
        <v>14</v>
      </c>
      <c r="W32" s="706">
        <f t="shared" si="14"/>
        <v>100</v>
      </c>
      <c r="X32" s="1354"/>
      <c r="Y32" s="3733"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33"/>
      <c r="Q33" s="1351">
        <f t="shared" si="11"/>
        <v>111</v>
      </c>
      <c r="R33" s="705" t="s">
        <v>14</v>
      </c>
      <c r="S33" s="706">
        <f t="shared" si="12"/>
        <v>100</v>
      </c>
      <c r="T33" s="705" t="s">
        <v>14</v>
      </c>
      <c r="U33" s="706">
        <f t="shared" si="13"/>
        <v>100</v>
      </c>
      <c r="V33" s="705" t="s">
        <v>14</v>
      </c>
      <c r="W33" s="706">
        <f t="shared" si="14"/>
        <v>100</v>
      </c>
      <c r="X33" s="1354"/>
      <c r="Y33" s="3733"/>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33"/>
      <c r="Q34" s="1351">
        <f t="shared" si="11"/>
        <v>111</v>
      </c>
      <c r="R34" s="705" t="s">
        <v>14</v>
      </c>
      <c r="S34" s="706">
        <f t="shared" si="12"/>
        <v>100</v>
      </c>
      <c r="T34" s="705" t="s">
        <v>14</v>
      </c>
      <c r="U34" s="706">
        <f t="shared" si="13"/>
        <v>100</v>
      </c>
      <c r="V34" s="705" t="s">
        <v>14</v>
      </c>
      <c r="W34" s="706">
        <f t="shared" si="14"/>
        <v>100</v>
      </c>
      <c r="X34" s="1354"/>
      <c r="Y34" s="3733"/>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726" t="str">
        <f>A35</f>
        <v>成交单价（元/平方米）</v>
      </c>
      <c r="Q35" s="3726"/>
      <c r="R35" s="3727">
        <f>E35</f>
        <v>0</v>
      </c>
      <c r="S35" s="3727"/>
      <c r="T35" s="3727">
        <f>G35</f>
        <v>0</v>
      </c>
      <c r="U35" s="3727"/>
      <c r="V35" s="3727">
        <f>I35</f>
        <v>0</v>
      </c>
      <c r="W35" s="3727"/>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726" t="str">
        <f>A36</f>
        <v>比较价值（元/平方米）</v>
      </c>
      <c r="Q36" s="3726"/>
      <c r="R36" s="3727" t="e">
        <f>IF(F1="售价",ROUND(PRODUCT(R35,AA7:AA34),0),ROUND(PRODUCT(R35,AA7:AA34),1))</f>
        <v>#DIV/0!</v>
      </c>
      <c r="S36" s="3727"/>
      <c r="T36" s="3727" t="e">
        <f>IF(F1="售价",ROUND(PRODUCT(T35,AB7:AB34),0),ROUND(PRODUCT(T35,AB7:AB34),1))</f>
        <v>#DIV/0!</v>
      </c>
      <c r="U36" s="3727"/>
      <c r="V36" s="3727" t="e">
        <f>IF(F1="售价",ROUND(PRODUCT(V35,AC7:AC34),0),ROUND(PRODUCT(V35,AC7:AC34),1))</f>
        <v>#DIV/0!</v>
      </c>
      <c r="W36" s="372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23" t="str">
        <f>A37</f>
        <v>估价对象XX用房的比较价值（楼面单价，元/平方米）</v>
      </c>
      <c r="Q37" s="3724"/>
      <c r="R37" s="3779" t="e">
        <f>IF(F1="售价",ROUND(IF(D36="简单平均",AVERAGE(R36:W36),R36*F36+T36*H36+V36*J36),0),ROUND(IF(D36="简单平均",AVERAGE(R36:V36),R36*F36+T36*H36+V36*J36),1))</f>
        <v>#DIV/0!</v>
      </c>
      <c r="S37" s="3779"/>
      <c r="T37" s="3779"/>
      <c r="U37" s="3779"/>
      <c r="V37" s="3779"/>
      <c r="W37" s="3779"/>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2023-11</v>
      </c>
      <c r="D46" s="1184">
        <f>EDATE(C46,-1)</f>
        <v>45200</v>
      </c>
      <c r="E46" s="1184">
        <f t="shared" ref="E46:O46" si="16">EDATE(D46,-1)</f>
        <v>45170</v>
      </c>
      <c r="F46" s="1184">
        <f t="shared" si="16"/>
        <v>45139</v>
      </c>
      <c r="G46" s="1184">
        <f t="shared" si="16"/>
        <v>45108</v>
      </c>
      <c r="H46" s="1184">
        <f t="shared" si="16"/>
        <v>45078</v>
      </c>
      <c r="I46" s="1184">
        <f t="shared" si="16"/>
        <v>45047</v>
      </c>
      <c r="J46" s="1184">
        <f t="shared" si="16"/>
        <v>45017</v>
      </c>
      <c r="K46" s="1184">
        <f t="shared" si="16"/>
        <v>44986</v>
      </c>
      <c r="L46" s="1184">
        <f t="shared" si="16"/>
        <v>44958</v>
      </c>
      <c r="M46" s="1184">
        <f t="shared" si="16"/>
        <v>44927</v>
      </c>
      <c r="N46" s="1184">
        <f t="shared" si="16"/>
        <v>44896</v>
      </c>
      <c r="O46" s="1184">
        <f t="shared" si="16"/>
        <v>44866</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8 E8 G8 I8" xr:uid="{00000000-0002-0000-2200-000003000000}">
      <formula1>仓储交易情况</formula1>
    </dataValidation>
    <dataValidation type="list" allowBlank="1" showInputMessage="1" showErrorMessage="1" sqref="E9 G9 I9" xr:uid="{00000000-0002-0000-2200-000004000000}">
      <formula1>仓储用途</formula1>
    </dataValidation>
    <dataValidation type="list" allowBlank="1" showInputMessage="1" showErrorMessage="1" sqref="C21 E21 G21 I21" xr:uid="{00000000-0002-0000-2200-000005000000}">
      <formula1>环境</formula1>
    </dataValidation>
    <dataValidation type="list" allowBlank="1" showInputMessage="1" showErrorMessage="1" sqref="C22 E22 G22 I22" xr:uid="{00000000-0002-0000-2200-000006000000}">
      <formula1>仓储楼层</formula1>
    </dataValidation>
    <dataValidation type="list" allowBlank="1" showInputMessage="1" showErrorMessage="1" sqref="C26 E26 G26 I26" xr:uid="{00000000-0002-0000-2200-000007000000}">
      <formula1>仓储公共部分装修</formula1>
    </dataValidation>
    <dataValidation type="list" allowBlank="1" showInputMessage="1" showErrorMessage="1" sqref="C29 E29 G29 I29" xr:uid="{00000000-0002-0000-2200-000008000000}">
      <formula1>有无电梯</formula1>
    </dataValidation>
    <dataValidation type="list" allowBlank="1" showInputMessage="1" showErrorMessage="1" sqref="C31 E31 G31 I31" xr:uid="{00000000-0002-0000-2200-000009000000}">
      <formula1>是否封闭</formula1>
    </dataValidation>
    <dataValidation type="list" allowBlank="1" showInputMessage="1" showErrorMessage="1" sqref="B1" xr:uid="{00000000-0002-0000-2200-00000A000000}">
      <formula1>地类判定</formula1>
    </dataValidation>
    <dataValidation type="list" allowBlank="1" showInputMessage="1" showErrorMessage="1" sqref="C28 E28 G28 I28" xr:uid="{00000000-0002-0000-2200-00000B000000}">
      <formula1>仓储物业等级</formula1>
    </dataValidation>
    <dataValidation type="list" allowBlank="1" showInputMessage="1" showErrorMessage="1" sqref="C19 E19 G19 I19" xr:uid="{00000000-0002-0000-2200-00000C000000}">
      <formula1>基础设施水平</formula1>
    </dataValidation>
    <dataValidation type="list" allowBlank="1" showInputMessage="1" showErrorMessage="1" sqref="F1" xr:uid="{00000000-0002-0000-2200-00000D000000}">
      <formula1>"售价,租金"</formula1>
    </dataValidation>
    <dataValidation type="list" allowBlank="1" showInputMessage="1" showErrorMessage="1" sqref="C2" xr:uid="{00000000-0002-0000-2200-00000E000000}">
      <formula1>"需扣减承租人权益,——"</formula1>
    </dataValidation>
    <dataValidation type="list" allowBlank="1" showInputMessage="1" showErrorMessage="1" sqref="F2" xr:uid="{00000000-0002-0000-2200-00000F000000}">
      <formula1>估价方法</formula1>
    </dataValidation>
    <dataValidation type="list" allowBlank="1" showInputMessage="1" showErrorMessage="1" sqref="D36" xr:uid="{00000000-0002-0000-2200-000010000000}">
      <formula1>"简单平均,加权平均"</formula1>
    </dataValidation>
    <dataValidation type="list" allowBlank="1" showInputMessage="1" showErrorMessage="1" sqref="E1" xr:uid="{00000000-0002-0000-22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09" t="s">
        <v>1770</v>
      </c>
      <c r="D4" s="3710"/>
      <c r="E4" s="3711" t="s">
        <v>1771</v>
      </c>
      <c r="F4" s="3712"/>
      <c r="G4" s="3709" t="s">
        <v>1772</v>
      </c>
      <c r="H4" s="3710"/>
      <c r="I4" s="3709" t="s">
        <v>1773</v>
      </c>
      <c r="J4" s="3710"/>
      <c r="K4" s="559" t="s">
        <v>1774</v>
      </c>
      <c r="L4" s="2714"/>
      <c r="M4" s="2715"/>
      <c r="N4" s="2715"/>
      <c r="O4" s="2715"/>
      <c r="P4" s="3713" t="s">
        <v>1775</v>
      </c>
      <c r="Q4" s="3714"/>
      <c r="R4" s="3695" t="s">
        <v>1771</v>
      </c>
      <c r="S4" s="3696"/>
      <c r="T4" s="3695" t="s">
        <v>1772</v>
      </c>
      <c r="U4" s="3696"/>
      <c r="V4" s="3721" t="s">
        <v>1773</v>
      </c>
      <c r="W4" s="3721"/>
      <c r="X4" s="1354"/>
      <c r="Y4" s="3695" t="s">
        <v>1775</v>
      </c>
      <c r="Z4" s="3696"/>
      <c r="AA4" s="3690" t="s">
        <v>1771</v>
      </c>
      <c r="AB4" s="3691" t="s">
        <v>1772</v>
      </c>
      <c r="AC4" s="3690" t="s">
        <v>1773</v>
      </c>
    </row>
    <row r="5" spans="1:30" ht="15">
      <c r="A5" s="358"/>
      <c r="B5" s="359"/>
      <c r="C5" s="3705" t="s">
        <v>1673</v>
      </c>
      <c r="D5" s="3702"/>
      <c r="E5" s="3699" t="s">
        <v>1674</v>
      </c>
      <c r="F5" s="3700"/>
      <c r="G5" s="3705" t="s">
        <v>1675</v>
      </c>
      <c r="H5" s="3702"/>
      <c r="I5" s="3705" t="s">
        <v>1676</v>
      </c>
      <c r="J5" s="3702"/>
      <c r="K5" s="559"/>
      <c r="L5" s="2714"/>
      <c r="M5" s="2715"/>
      <c r="N5" s="2715"/>
      <c r="O5" s="2715"/>
      <c r="P5" s="3715"/>
      <c r="Q5" s="3716"/>
      <c r="R5" s="3697"/>
      <c r="S5" s="3698"/>
      <c r="T5" s="3697"/>
      <c r="U5" s="3698"/>
      <c r="V5" s="3721"/>
      <c r="W5" s="3721"/>
      <c r="X5" s="1354"/>
      <c r="Y5" s="3697"/>
      <c r="Z5" s="3698"/>
      <c r="AA5" s="3691"/>
      <c r="AB5" s="3691"/>
      <c r="AC5" s="3691"/>
    </row>
    <row r="6" spans="1:30" ht="15.75" thickBot="1">
      <c r="A6" s="360"/>
      <c r="B6" s="361"/>
      <c r="C6" s="3703" t="s">
        <v>1677</v>
      </c>
      <c r="D6" s="3704"/>
      <c r="E6" s="3706" t="s">
        <v>1677</v>
      </c>
      <c r="F6" s="3707"/>
      <c r="G6" s="3703" t="s">
        <v>1677</v>
      </c>
      <c r="H6" s="3704"/>
      <c r="I6" s="3703" t="s">
        <v>1677</v>
      </c>
      <c r="J6" s="3704"/>
      <c r="K6" s="559" t="s">
        <v>1678</v>
      </c>
      <c r="L6" s="2714"/>
      <c r="M6" s="2715"/>
      <c r="N6" s="2715"/>
      <c r="O6" s="2715"/>
      <c r="P6" s="3717"/>
      <c r="Q6" s="3718"/>
      <c r="R6" s="3697"/>
      <c r="S6" s="3698"/>
      <c r="T6" s="3719"/>
      <c r="U6" s="3720"/>
      <c r="V6" s="3721"/>
      <c r="W6" s="3721"/>
      <c r="X6" s="1354"/>
      <c r="Y6" s="3719"/>
      <c r="Z6" s="3720"/>
      <c r="AA6" s="3692"/>
      <c r="AB6" s="3692"/>
      <c r="AC6" s="3692"/>
    </row>
    <row r="7" spans="1:30" s="108" customFormat="1" ht="15.75" thickBot="1">
      <c r="A7" s="362" t="s">
        <v>1679</v>
      </c>
      <c r="B7" s="363"/>
      <c r="C7" s="364">
        <f>'数据-取费表'!B2</f>
        <v>45231</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93" t="s">
        <v>1680</v>
      </c>
      <c r="Q7" s="3722"/>
      <c r="R7" s="701" t="s">
        <v>14</v>
      </c>
      <c r="S7" s="702">
        <f t="shared" ref="S7:S15" si="0">F7</f>
        <v>0</v>
      </c>
      <c r="T7" s="701" t="s">
        <v>14</v>
      </c>
      <c r="U7" s="702">
        <f t="shared" ref="U7:U15" si="1">H7</f>
        <v>0</v>
      </c>
      <c r="V7" s="701" t="s">
        <v>14</v>
      </c>
      <c r="W7" s="702">
        <f t="shared" ref="W7:W15" si="2">J7</f>
        <v>0</v>
      </c>
      <c r="X7" s="703"/>
      <c r="Y7" s="3693" t="s">
        <v>1680</v>
      </c>
      <c r="Z7" s="369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93" t="s">
        <v>1683</v>
      </c>
      <c r="Q8" s="3694"/>
      <c r="R8" s="701" t="s">
        <v>14</v>
      </c>
      <c r="S8" s="702">
        <f t="shared" si="0"/>
        <v>0</v>
      </c>
      <c r="T8" s="701" t="s">
        <v>14</v>
      </c>
      <c r="U8" s="702">
        <f t="shared" si="1"/>
        <v>0</v>
      </c>
      <c r="V8" s="701" t="s">
        <v>14</v>
      </c>
      <c r="W8" s="702">
        <f t="shared" si="2"/>
        <v>0</v>
      </c>
      <c r="X8" s="703"/>
      <c r="Y8" s="3693" t="s">
        <v>1683</v>
      </c>
      <c r="Z8" s="3694"/>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26" t="s">
        <v>1686</v>
      </c>
      <c r="Q9" s="1342" t="str">
        <f t="shared" ref="Q9:Q15" si="6">B9</f>
        <v>用途</v>
      </c>
      <c r="R9" s="701" t="s">
        <v>14</v>
      </c>
      <c r="S9" s="702">
        <f t="shared" si="0"/>
        <v>100</v>
      </c>
      <c r="T9" s="701" t="s">
        <v>14</v>
      </c>
      <c r="U9" s="702">
        <f t="shared" si="1"/>
        <v>100</v>
      </c>
      <c r="V9" s="701" t="s">
        <v>14</v>
      </c>
      <c r="W9" s="702">
        <f t="shared" si="2"/>
        <v>100</v>
      </c>
      <c r="X9" s="703"/>
      <c r="Y9" s="366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118</v>
      </c>
      <c r="G10" s="414"/>
      <c r="H10" s="127">
        <f>ROUND(100/'数据-取费表'!G16,0)</f>
        <v>118</v>
      </c>
      <c r="I10" s="414"/>
      <c r="J10" s="127">
        <f>ROUND(100/'数据-取费表'!G16,0)</f>
        <v>118</v>
      </c>
      <c r="K10" s="620"/>
      <c r="L10" s="2718"/>
      <c r="M10" s="2719"/>
      <c r="N10" s="2719"/>
      <c r="O10" s="2772"/>
      <c r="P10" s="3726"/>
      <c r="Q10" s="1342" t="str">
        <f t="shared" si="6"/>
        <v>土地使用年限（年）</v>
      </c>
      <c r="R10" s="701" t="s">
        <v>14</v>
      </c>
      <c r="S10" s="702">
        <f t="shared" si="0"/>
        <v>118</v>
      </c>
      <c r="T10" s="701" t="s">
        <v>14</v>
      </c>
      <c r="U10" s="702">
        <f t="shared" si="1"/>
        <v>118</v>
      </c>
      <c r="V10" s="701" t="s">
        <v>14</v>
      </c>
      <c r="W10" s="702">
        <f t="shared" si="2"/>
        <v>118</v>
      </c>
      <c r="X10" s="703"/>
      <c r="Y10" s="3663"/>
      <c r="Z10" s="52" t="str">
        <f t="shared" si="7"/>
        <v>土地使用年限（年）</v>
      </c>
      <c r="AA10" s="704">
        <f t="shared" si="3"/>
        <v>0.84745762711864403</v>
      </c>
      <c r="AB10" s="704">
        <f t="shared" si="4"/>
        <v>0.84745762711864403</v>
      </c>
      <c r="AC10" s="704">
        <f t="shared" si="5"/>
        <v>0.84745762711864403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26"/>
      <c r="Q11" s="1342" t="str">
        <f t="shared" si="6"/>
        <v>容积率</v>
      </c>
      <c r="R11" s="701" t="s">
        <v>14</v>
      </c>
      <c r="S11" s="702" t="e">
        <f t="shared" si="0"/>
        <v>#N/A</v>
      </c>
      <c r="T11" s="701" t="s">
        <v>14</v>
      </c>
      <c r="U11" s="702" t="e">
        <f t="shared" si="1"/>
        <v>#N/A</v>
      </c>
      <c r="V11" s="701" t="s">
        <v>14</v>
      </c>
      <c r="W11" s="702" t="e">
        <f t="shared" si="2"/>
        <v>#N/A</v>
      </c>
      <c r="X11" s="703"/>
      <c r="Y11" s="3663"/>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26"/>
      <c r="Q12" s="1342" t="str">
        <f t="shared" si="6"/>
        <v>配建</v>
      </c>
      <c r="R12" s="701" t="s">
        <v>14</v>
      </c>
      <c r="S12" s="702">
        <f t="shared" si="0"/>
        <v>100</v>
      </c>
      <c r="T12" s="701" t="s">
        <v>14</v>
      </c>
      <c r="U12" s="702">
        <f t="shared" si="1"/>
        <v>100</v>
      </c>
      <c r="V12" s="701" t="s">
        <v>14</v>
      </c>
      <c r="W12" s="702">
        <f t="shared" si="2"/>
        <v>100</v>
      </c>
      <c r="X12" s="703"/>
      <c r="Y12" s="3663"/>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26"/>
      <c r="Q13" s="1342">
        <f t="shared" si="6"/>
        <v>111</v>
      </c>
      <c r="R13" s="701" t="s">
        <v>14</v>
      </c>
      <c r="S13" s="702">
        <f t="shared" si="0"/>
        <v>100</v>
      </c>
      <c r="T13" s="701" t="s">
        <v>14</v>
      </c>
      <c r="U13" s="702">
        <f t="shared" si="1"/>
        <v>100</v>
      </c>
      <c r="V13" s="701" t="s">
        <v>14</v>
      </c>
      <c r="W13" s="702">
        <f t="shared" si="2"/>
        <v>100</v>
      </c>
      <c r="X13" s="703"/>
      <c r="Y13" s="3663"/>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26"/>
      <c r="Q14" s="1342">
        <f t="shared" si="6"/>
        <v>111</v>
      </c>
      <c r="R14" s="701" t="s">
        <v>14</v>
      </c>
      <c r="S14" s="702">
        <f t="shared" si="0"/>
        <v>100</v>
      </c>
      <c r="T14" s="701" t="s">
        <v>14</v>
      </c>
      <c r="U14" s="702">
        <f t="shared" si="1"/>
        <v>100</v>
      </c>
      <c r="V14" s="701" t="s">
        <v>14</v>
      </c>
      <c r="W14" s="702">
        <f t="shared" si="2"/>
        <v>100</v>
      </c>
      <c r="X14" s="703"/>
      <c r="Y14" s="3663"/>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28" t="s">
        <v>1691</v>
      </c>
      <c r="Q15" s="1351" t="str">
        <f t="shared" si="6"/>
        <v>居住社区成熟度</v>
      </c>
      <c r="R15" s="705" t="s">
        <v>14</v>
      </c>
      <c r="S15" s="706">
        <f t="shared" si="0"/>
        <v>100</v>
      </c>
      <c r="T15" s="705" t="s">
        <v>14</v>
      </c>
      <c r="U15" s="706">
        <f t="shared" si="1"/>
        <v>100</v>
      </c>
      <c r="V15" s="705" t="s">
        <v>14</v>
      </c>
      <c r="W15" s="706">
        <f t="shared" si="2"/>
        <v>100</v>
      </c>
      <c r="X15" s="1354"/>
      <c r="Y15" s="3728"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729"/>
      <c r="Q16" s="1351"/>
      <c r="R16" s="705"/>
      <c r="S16" s="706"/>
      <c r="T16" s="705"/>
      <c r="U16" s="706"/>
      <c r="V16" s="705"/>
      <c r="W16" s="706"/>
      <c r="X16" s="1354"/>
      <c r="Y16" s="3729"/>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29"/>
      <c r="Q17" s="1351" t="str">
        <f>B17</f>
        <v>商业繁华度</v>
      </c>
      <c r="R17" s="705" t="s">
        <v>14</v>
      </c>
      <c r="S17" s="706">
        <f>F17</f>
        <v>100</v>
      </c>
      <c r="T17" s="705" t="s">
        <v>14</v>
      </c>
      <c r="U17" s="706">
        <f>H17</f>
        <v>100</v>
      </c>
      <c r="V17" s="705" t="s">
        <v>14</v>
      </c>
      <c r="W17" s="706">
        <f>J17</f>
        <v>100</v>
      </c>
      <c r="X17" s="1354"/>
      <c r="Y17" s="3729"/>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729"/>
      <c r="Q18" s="1351"/>
      <c r="R18" s="705"/>
      <c r="S18" s="706"/>
      <c r="T18" s="705"/>
      <c r="U18" s="706"/>
      <c r="V18" s="705"/>
      <c r="W18" s="706"/>
      <c r="X18" s="1354"/>
      <c r="Y18" s="3729"/>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29"/>
      <c r="Q19" s="1351" t="str">
        <f>B19</f>
        <v>办公集聚程度</v>
      </c>
      <c r="R19" s="705" t="s">
        <v>14</v>
      </c>
      <c r="S19" s="706">
        <f>F19</f>
        <v>100</v>
      </c>
      <c r="T19" s="705" t="s">
        <v>14</v>
      </c>
      <c r="U19" s="706">
        <f>H19</f>
        <v>100</v>
      </c>
      <c r="V19" s="705" t="s">
        <v>14</v>
      </c>
      <c r="W19" s="706">
        <f>J19</f>
        <v>100</v>
      </c>
      <c r="X19" s="1354"/>
      <c r="Y19" s="3729"/>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729"/>
      <c r="Q20" s="1351"/>
      <c r="R20" s="705"/>
      <c r="S20" s="706"/>
      <c r="T20" s="705"/>
      <c r="U20" s="706"/>
      <c r="V20" s="705"/>
      <c r="W20" s="706"/>
      <c r="X20" s="1354"/>
      <c r="Y20" s="3729"/>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29"/>
      <c r="Q21" s="1351" t="str">
        <f>B21</f>
        <v>交通便捷度</v>
      </c>
      <c r="R21" s="705" t="s">
        <v>14</v>
      </c>
      <c r="S21" s="706">
        <f>F21</f>
        <v>100</v>
      </c>
      <c r="T21" s="705" t="s">
        <v>14</v>
      </c>
      <c r="U21" s="706">
        <f>H21</f>
        <v>100</v>
      </c>
      <c r="V21" s="705" t="s">
        <v>14</v>
      </c>
      <c r="W21" s="706">
        <f>J21</f>
        <v>100</v>
      </c>
      <c r="X21" s="1354"/>
      <c r="Y21" s="3729"/>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21"/>
      <c r="M22" s="2715"/>
      <c r="N22" s="2715"/>
      <c r="O22" s="2773"/>
      <c r="P22" s="3729"/>
      <c r="Q22" s="1351"/>
      <c r="R22" s="705"/>
      <c r="S22" s="706"/>
      <c r="T22" s="705"/>
      <c r="U22" s="706"/>
      <c r="V22" s="705"/>
      <c r="W22" s="706"/>
      <c r="X22" s="1354"/>
      <c r="Y22" s="3729"/>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29"/>
      <c r="Q23" s="1351" t="str">
        <f t="shared" ref="Q23:Q37" si="8">B23</f>
        <v>区域土地利用方向</v>
      </c>
      <c r="R23" s="705" t="s">
        <v>14</v>
      </c>
      <c r="S23" s="706">
        <f>F23</f>
        <v>100</v>
      </c>
      <c r="T23" s="705" t="s">
        <v>14</v>
      </c>
      <c r="U23" s="706">
        <f>H23</f>
        <v>100</v>
      </c>
      <c r="V23" s="705" t="s">
        <v>14</v>
      </c>
      <c r="W23" s="706">
        <f>J23</f>
        <v>100</v>
      </c>
      <c r="X23" s="1354"/>
      <c r="Y23" s="3729"/>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729"/>
      <c r="Q24" s="1351"/>
      <c r="R24" s="705"/>
      <c r="S24" s="706"/>
      <c r="T24" s="705"/>
      <c r="U24" s="706"/>
      <c r="V24" s="705"/>
      <c r="W24" s="706"/>
      <c r="X24" s="1354"/>
      <c r="Y24" s="3729"/>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29"/>
      <c r="Q25" s="1351" t="str">
        <f t="shared" si="8"/>
        <v>自然及人文环境状况</v>
      </c>
      <c r="R25" s="705" t="s">
        <v>14</v>
      </c>
      <c r="S25" s="706">
        <f>F25</f>
        <v>100</v>
      </c>
      <c r="T25" s="705" t="s">
        <v>14</v>
      </c>
      <c r="U25" s="706">
        <f>H25</f>
        <v>100</v>
      </c>
      <c r="V25" s="705" t="s">
        <v>14</v>
      </c>
      <c r="W25" s="706">
        <f>J25</f>
        <v>100</v>
      </c>
      <c r="X25" s="1354"/>
      <c r="Y25" s="3729"/>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729"/>
      <c r="Q26" s="1351"/>
      <c r="R26" s="705"/>
      <c r="S26" s="706"/>
      <c r="T26" s="705"/>
      <c r="U26" s="706"/>
      <c r="V26" s="705"/>
      <c r="W26" s="706"/>
      <c r="X26" s="1354"/>
      <c r="Y26" s="3729"/>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29"/>
      <c r="Q27" s="1342" t="str">
        <f t="shared" si="8"/>
        <v>公共配套设施</v>
      </c>
      <c r="R27" s="701" t="s">
        <v>14</v>
      </c>
      <c r="S27" s="702">
        <f>F27</f>
        <v>100</v>
      </c>
      <c r="T27" s="701" t="s">
        <v>14</v>
      </c>
      <c r="U27" s="702">
        <f>H27</f>
        <v>100</v>
      </c>
      <c r="V27" s="701" t="s">
        <v>14</v>
      </c>
      <c r="W27" s="702">
        <f>J27</f>
        <v>100</v>
      </c>
      <c r="X27" s="703"/>
      <c r="Y27" s="3729"/>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729"/>
      <c r="Q28" s="1342"/>
      <c r="R28" s="701"/>
      <c r="S28" s="702"/>
      <c r="T28" s="701"/>
      <c r="U28" s="702"/>
      <c r="V28" s="701"/>
      <c r="W28" s="702"/>
      <c r="X28" s="703"/>
      <c r="Y28" s="3729"/>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29"/>
      <c r="Q29" s="1342" t="str">
        <f t="shared" ref="Q29" si="9">B29</f>
        <v>基础设施水平</v>
      </c>
      <c r="R29" s="701" t="s">
        <v>14</v>
      </c>
      <c r="S29" s="702">
        <f>F29</f>
        <v>100</v>
      </c>
      <c r="T29" s="701" t="s">
        <v>14</v>
      </c>
      <c r="U29" s="702">
        <f>H29</f>
        <v>100</v>
      </c>
      <c r="V29" s="701" t="s">
        <v>14</v>
      </c>
      <c r="W29" s="702">
        <f>J29</f>
        <v>100</v>
      </c>
      <c r="X29" s="703"/>
      <c r="Y29" s="3729"/>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729"/>
      <c r="Q30" s="1342"/>
      <c r="R30" s="701"/>
      <c r="S30" s="702"/>
      <c r="T30" s="701"/>
      <c r="U30" s="702"/>
      <c r="V30" s="701"/>
      <c r="W30" s="702"/>
      <c r="X30" s="703"/>
      <c r="Y30" s="3729"/>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29"/>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29"/>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29"/>
      <c r="Q32" s="1351" t="str">
        <f t="shared" si="8"/>
        <v>毗邻道路的类型与等级</v>
      </c>
      <c r="R32" s="705" t="s">
        <v>14</v>
      </c>
      <c r="S32" s="706">
        <f t="shared" si="10"/>
        <v>100</v>
      </c>
      <c r="T32" s="705" t="s">
        <v>14</v>
      </c>
      <c r="U32" s="706">
        <f t="shared" si="11"/>
        <v>100</v>
      </c>
      <c r="V32" s="705" t="s">
        <v>14</v>
      </c>
      <c r="W32" s="706">
        <f t="shared" si="12"/>
        <v>100</v>
      </c>
      <c r="X32" s="1354"/>
      <c r="Y32" s="3729"/>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29"/>
      <c r="Q33" s="1351"/>
      <c r="R33" s="705"/>
      <c r="S33" s="706"/>
      <c r="T33" s="705"/>
      <c r="U33" s="706"/>
      <c r="V33" s="705"/>
      <c r="W33" s="706"/>
      <c r="X33" s="1354"/>
      <c r="Y33" s="3729"/>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29"/>
      <c r="Q34" s="1351" t="str">
        <f t="shared" si="8"/>
        <v>土地级别</v>
      </c>
      <c r="R34" s="705" t="s">
        <v>14</v>
      </c>
      <c r="S34" s="706">
        <f t="shared" si="10"/>
        <v>100</v>
      </c>
      <c r="T34" s="705" t="s">
        <v>14</v>
      </c>
      <c r="U34" s="706">
        <f t="shared" si="11"/>
        <v>100</v>
      </c>
      <c r="V34" s="705" t="s">
        <v>14</v>
      </c>
      <c r="W34" s="706">
        <f t="shared" si="12"/>
        <v>100</v>
      </c>
      <c r="X34" s="1354"/>
      <c r="Y34" s="3729"/>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29"/>
      <c r="Q35" s="1351">
        <f t="shared" si="8"/>
        <v>111</v>
      </c>
      <c r="R35" s="705" t="s">
        <v>14</v>
      </c>
      <c r="S35" s="706">
        <f t="shared" si="10"/>
        <v>100</v>
      </c>
      <c r="T35" s="705" t="s">
        <v>14</v>
      </c>
      <c r="U35" s="706">
        <f t="shared" si="11"/>
        <v>100</v>
      </c>
      <c r="V35" s="705" t="s">
        <v>14</v>
      </c>
      <c r="W35" s="706">
        <f t="shared" si="12"/>
        <v>100</v>
      </c>
      <c r="X35" s="1354"/>
      <c r="Y35" s="3729"/>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78" t="s">
        <v>1696</v>
      </c>
      <c r="Q36" s="1351">
        <f t="shared" si="8"/>
        <v>111</v>
      </c>
      <c r="R36" s="705" t="s">
        <v>14</v>
      </c>
      <c r="S36" s="706">
        <f t="shared" si="10"/>
        <v>100</v>
      </c>
      <c r="T36" s="705" t="s">
        <v>14</v>
      </c>
      <c r="U36" s="706">
        <f t="shared" si="11"/>
        <v>100</v>
      </c>
      <c r="V36" s="705" t="s">
        <v>14</v>
      </c>
      <c r="W36" s="706">
        <f t="shared" si="12"/>
        <v>100</v>
      </c>
      <c r="X36" s="1354"/>
      <c r="Y36" s="3733"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33"/>
      <c r="Q37" s="1351">
        <f t="shared" si="8"/>
        <v>111</v>
      </c>
      <c r="R37" s="708" t="s">
        <v>14</v>
      </c>
      <c r="S37" s="709">
        <f t="shared" si="10"/>
        <v>100</v>
      </c>
      <c r="T37" s="708" t="s">
        <v>14</v>
      </c>
      <c r="U37" s="709">
        <f t="shared" si="11"/>
        <v>100</v>
      </c>
      <c r="V37" s="708" t="s">
        <v>14</v>
      </c>
      <c r="W37" s="709">
        <f t="shared" si="12"/>
        <v>100</v>
      </c>
      <c r="X37" s="710"/>
      <c r="Y37" s="3733"/>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33"/>
      <c r="Q38" s="1351" t="str">
        <f>B38</f>
        <v>宗地面积</v>
      </c>
      <c r="R38" s="705" t="s">
        <v>14</v>
      </c>
      <c r="S38" s="706" t="e">
        <f t="shared" si="10"/>
        <v>#N/A</v>
      </c>
      <c r="T38" s="705" t="s">
        <v>14</v>
      </c>
      <c r="U38" s="706" t="e">
        <f t="shared" si="11"/>
        <v>#N/A</v>
      </c>
      <c r="V38" s="705" t="s">
        <v>14</v>
      </c>
      <c r="W38" s="706" t="e">
        <f t="shared" si="12"/>
        <v>#N/A</v>
      </c>
      <c r="X38" s="1354"/>
      <c r="Y38" s="3733"/>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33"/>
      <c r="Q39" s="1351" t="str">
        <f t="shared" ref="Q39:Q45" si="14">B39</f>
        <v>宗地形状</v>
      </c>
      <c r="R39" s="705" t="s">
        <v>14</v>
      </c>
      <c r="S39" s="706">
        <f t="shared" si="10"/>
        <v>100</v>
      </c>
      <c r="T39" s="705" t="s">
        <v>14</v>
      </c>
      <c r="U39" s="706">
        <f t="shared" si="11"/>
        <v>100</v>
      </c>
      <c r="V39" s="705" t="s">
        <v>14</v>
      </c>
      <c r="W39" s="706">
        <f t="shared" si="12"/>
        <v>100</v>
      </c>
      <c r="X39" s="1354"/>
      <c r="Y39" s="3733"/>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33"/>
      <c r="Q40" s="1351" t="str">
        <f t="shared" si="14"/>
        <v>临街宽度及深度</v>
      </c>
      <c r="R40" s="705" t="s">
        <v>14</v>
      </c>
      <c r="S40" s="706">
        <f t="shared" si="10"/>
        <v>100</v>
      </c>
      <c r="T40" s="705" t="s">
        <v>14</v>
      </c>
      <c r="U40" s="706">
        <f t="shared" si="11"/>
        <v>100</v>
      </c>
      <c r="V40" s="705" t="s">
        <v>14</v>
      </c>
      <c r="W40" s="706">
        <f t="shared" si="12"/>
        <v>100</v>
      </c>
      <c r="X40" s="1354"/>
      <c r="Y40" s="3733"/>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33"/>
      <c r="Q41" s="1351" t="str">
        <f t="shared" si="14"/>
        <v>宗地开发程度</v>
      </c>
      <c r="R41" s="701" t="s">
        <v>14</v>
      </c>
      <c r="S41" s="702">
        <f t="shared" si="10"/>
        <v>100</v>
      </c>
      <c r="T41" s="701" t="s">
        <v>14</v>
      </c>
      <c r="U41" s="702">
        <f t="shared" si="11"/>
        <v>100</v>
      </c>
      <c r="V41" s="701" t="s">
        <v>14</v>
      </c>
      <c r="W41" s="702">
        <f t="shared" si="12"/>
        <v>100</v>
      </c>
      <c r="X41" s="703"/>
      <c r="Y41" s="3733"/>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33" t="s">
        <v>1696</v>
      </c>
      <c r="Q42" s="1351" t="str">
        <f t="shared" si="14"/>
        <v>工程地质条件</v>
      </c>
      <c r="R42" s="705" t="s">
        <v>14</v>
      </c>
      <c r="S42" s="706">
        <f t="shared" si="10"/>
        <v>100</v>
      </c>
      <c r="T42" s="705" t="s">
        <v>14</v>
      </c>
      <c r="U42" s="706">
        <f t="shared" si="11"/>
        <v>100</v>
      </c>
      <c r="V42" s="705" t="s">
        <v>14</v>
      </c>
      <c r="W42" s="706">
        <f t="shared" si="12"/>
        <v>100</v>
      </c>
      <c r="X42" s="1354"/>
      <c r="Y42" s="3733"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33"/>
      <c r="Q43" s="1351">
        <f t="shared" si="14"/>
        <v>111</v>
      </c>
      <c r="R43" s="705" t="s">
        <v>14</v>
      </c>
      <c r="S43" s="706">
        <f t="shared" si="10"/>
        <v>100</v>
      </c>
      <c r="T43" s="705" t="s">
        <v>14</v>
      </c>
      <c r="U43" s="706">
        <f t="shared" si="11"/>
        <v>100</v>
      </c>
      <c r="V43" s="705" t="s">
        <v>14</v>
      </c>
      <c r="W43" s="706">
        <f t="shared" si="12"/>
        <v>100</v>
      </c>
      <c r="X43" s="1354"/>
      <c r="Y43" s="3733"/>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33"/>
      <c r="Q44" s="1351">
        <f t="shared" si="14"/>
        <v>111</v>
      </c>
      <c r="R44" s="705" t="s">
        <v>14</v>
      </c>
      <c r="S44" s="706">
        <f t="shared" si="10"/>
        <v>100</v>
      </c>
      <c r="T44" s="705" t="s">
        <v>14</v>
      </c>
      <c r="U44" s="706">
        <f t="shared" si="11"/>
        <v>100</v>
      </c>
      <c r="V44" s="705" t="s">
        <v>14</v>
      </c>
      <c r="W44" s="706">
        <f t="shared" si="12"/>
        <v>100</v>
      </c>
      <c r="X44" s="1354"/>
      <c r="Y44" s="3733"/>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33"/>
      <c r="Q45" s="1351">
        <f t="shared" si="14"/>
        <v>111</v>
      </c>
      <c r="R45" s="708" t="s">
        <v>14</v>
      </c>
      <c r="S45" s="709">
        <f t="shared" si="10"/>
        <v>100</v>
      </c>
      <c r="T45" s="708" t="s">
        <v>14</v>
      </c>
      <c r="U45" s="709">
        <f t="shared" si="11"/>
        <v>100</v>
      </c>
      <c r="V45" s="708" t="s">
        <v>14</v>
      </c>
      <c r="W45" s="709">
        <f t="shared" si="12"/>
        <v>100</v>
      </c>
      <c r="X45" s="710"/>
      <c r="Y45" s="3733"/>
      <c r="Z45" s="711">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4"/>
      <c r="L46" s="2723"/>
      <c r="M46" s="2724"/>
      <c r="N46" s="2715"/>
      <c r="O46" s="2724"/>
      <c r="P46" s="3726" t="str">
        <f>A46</f>
        <v>成交单价</v>
      </c>
      <c r="Q46" s="3726"/>
      <c r="R46" s="3721">
        <f>E46</f>
        <v>0</v>
      </c>
      <c r="S46" s="3721"/>
      <c r="T46" s="3721">
        <f>G46</f>
        <v>0</v>
      </c>
      <c r="U46" s="3721"/>
      <c r="V46" s="3721">
        <f>I46</f>
        <v>0</v>
      </c>
      <c r="W46" s="3721"/>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726" t="str">
        <f>A47</f>
        <v>比较价值（元/平方米）</v>
      </c>
      <c r="Q47" s="3726"/>
      <c r="R47" s="3780" t="e">
        <f>ROUND(PRODUCT(R46,AA7:AA45),0)</f>
        <v>#DIV/0!</v>
      </c>
      <c r="S47" s="3780"/>
      <c r="T47" s="3780" t="e">
        <f>ROUND(PRODUCT(T46,AB7:AB45),0)</f>
        <v>#DIV/0!</v>
      </c>
      <c r="U47" s="3780"/>
      <c r="V47" s="3780" t="e">
        <f>ROUND(PRODUCT(V46,AC7:AC45),0)</f>
        <v>#DIV/0!</v>
      </c>
      <c r="W47" s="378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23" t="str">
        <f>A48</f>
        <v>估价对象XX用房的比较价值（楼面单价，元/平方米）</v>
      </c>
      <c r="Q48" s="3724"/>
      <c r="R48" s="3781" t="e">
        <f>ROUND(IF(D47="简单平均",AVERAGE(R47:W47),R47*F47+T47*H47+V47*J47),0)</f>
        <v>#DIV/0!</v>
      </c>
      <c r="S48" s="3781"/>
      <c r="T48" s="3781"/>
      <c r="U48" s="3781"/>
      <c r="V48" s="3781"/>
      <c r="W48" s="3781"/>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709" t="s">
        <v>1887</v>
      </c>
      <c r="H55" s="3782"/>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347.45</v>
      </c>
      <c r="F56" s="886" t="e">
        <f t="shared" ref="F56:F64" si="15">ROUND(B56*E56/10000,0)</f>
        <v>#DIV/0!</v>
      </c>
      <c r="G56" s="3708"/>
      <c r="H56" s="3726"/>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347.45</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1" t="str">
        <f>YEAR(C67)&amp;"-"&amp;ROUNDUP(MONTH(C67)/3,0)</f>
        <v>2023-4</v>
      </c>
      <c r="D69" s="1181" t="str">
        <f>YEAR(D67)&amp;"-"&amp;ROUNDUP(MONTH(D67)/3,0)</f>
        <v>2023-3</v>
      </c>
      <c r="E69" s="1181" t="str">
        <f t="shared" ref="E69:O69" si="19">YEAR(E67)&amp;"-"&amp;ROUNDUP(MONTH(E67)/3,0)</f>
        <v>2023-2</v>
      </c>
      <c r="F69" s="1181" t="str">
        <f t="shared" si="19"/>
        <v>2023-1</v>
      </c>
      <c r="G69" s="1181" t="str">
        <f t="shared" si="19"/>
        <v>2022-4</v>
      </c>
      <c r="H69" s="1181" t="str">
        <f t="shared" si="19"/>
        <v>2022-3</v>
      </c>
      <c r="I69" s="1181" t="str">
        <f t="shared" si="19"/>
        <v>2022-2</v>
      </c>
      <c r="J69" s="1181" t="str">
        <f t="shared" si="19"/>
        <v>2022-1</v>
      </c>
      <c r="K69" s="1181" t="str">
        <f t="shared" si="19"/>
        <v>2021-4</v>
      </c>
      <c r="L69" s="1181" t="str">
        <f t="shared" si="19"/>
        <v>2021-3</v>
      </c>
      <c r="M69" s="1181" t="str">
        <f t="shared" si="19"/>
        <v>2021-2</v>
      </c>
      <c r="N69" s="1181" t="str">
        <f t="shared" si="19"/>
        <v>2021-1</v>
      </c>
      <c r="O69" s="1181" t="str">
        <f t="shared" si="19"/>
        <v>2020-4</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1" xr:uid="{00000000-0002-0000-2300-000013000000}">
      <formula1>"商业,办公,住宅,工业"</formula1>
    </dataValidation>
    <dataValidation type="list" allowBlank="1" showInputMessage="1" showErrorMessage="1" sqref="G62" xr:uid="{00000000-0002-0000-2300-000014000000}">
      <formula1>"住宅,工业"</formula1>
    </dataValidation>
    <dataValidation type="list" allowBlank="1" showInputMessage="1" showErrorMessage="1" sqref="C30 E30 G30 I30" xr:uid="{00000000-0002-0000-2300-000015000000}">
      <formula1>基础设施水平</formula1>
    </dataValidation>
    <dataValidation type="list" allowBlank="1" showInputMessage="1" showErrorMessage="1" sqref="A70" xr:uid="{00000000-0002-0000-2300-000016000000}">
      <formula1>"综合,商业,办公,住宅"</formula1>
    </dataValidation>
    <dataValidation type="list" allowBlank="1" showInputMessage="1" showErrorMessage="1" sqref="D47" xr:uid="{00000000-0002-0000-2300-000017000000}">
      <formula1>"简单平均,加权平均"</formula1>
    </dataValidation>
    <dataValidation type="list" allowBlank="1" showInputMessage="1" showErrorMessage="1" sqref="D57:D64" xr:uid="{00000000-0002-0000-23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09" t="s">
        <v>1770</v>
      </c>
      <c r="D4" s="3710"/>
      <c r="E4" s="3711" t="s">
        <v>1771</v>
      </c>
      <c r="F4" s="3712"/>
      <c r="G4" s="3709" t="s">
        <v>1772</v>
      </c>
      <c r="H4" s="3710"/>
      <c r="I4" s="3709" t="s">
        <v>1773</v>
      </c>
      <c r="J4" s="3710"/>
      <c r="K4" s="559" t="s">
        <v>1774</v>
      </c>
      <c r="L4" s="2714"/>
      <c r="M4" s="2715"/>
      <c r="N4" s="2715"/>
      <c r="O4" s="2715"/>
      <c r="P4" s="3713" t="s">
        <v>1775</v>
      </c>
      <c r="Q4" s="3714"/>
      <c r="R4" s="3695" t="s">
        <v>1771</v>
      </c>
      <c r="S4" s="3696"/>
      <c r="T4" s="3695" t="s">
        <v>1772</v>
      </c>
      <c r="U4" s="3696"/>
      <c r="V4" s="3721" t="s">
        <v>1773</v>
      </c>
      <c r="W4" s="3721"/>
      <c r="X4" s="1354"/>
      <c r="Y4" s="3695" t="s">
        <v>1775</v>
      </c>
      <c r="Z4" s="3696"/>
      <c r="AA4" s="3690" t="s">
        <v>1771</v>
      </c>
      <c r="AB4" s="3691" t="s">
        <v>1772</v>
      </c>
      <c r="AC4" s="3690" t="s">
        <v>1773</v>
      </c>
    </row>
    <row r="5" spans="1:29" ht="15">
      <c r="A5" s="358"/>
      <c r="B5" s="359"/>
      <c r="C5" s="3705" t="s">
        <v>1673</v>
      </c>
      <c r="D5" s="3702"/>
      <c r="E5" s="3699" t="s">
        <v>1674</v>
      </c>
      <c r="F5" s="3700"/>
      <c r="G5" s="3705" t="s">
        <v>1675</v>
      </c>
      <c r="H5" s="3702"/>
      <c r="I5" s="3705" t="s">
        <v>1676</v>
      </c>
      <c r="J5" s="3702"/>
      <c r="K5" s="559"/>
      <c r="L5" s="2714"/>
      <c r="M5" s="2715"/>
      <c r="N5" s="2715"/>
      <c r="O5" s="2715"/>
      <c r="P5" s="3715"/>
      <c r="Q5" s="3716"/>
      <c r="R5" s="3697"/>
      <c r="S5" s="3698"/>
      <c r="T5" s="3697"/>
      <c r="U5" s="3698"/>
      <c r="V5" s="3721"/>
      <c r="W5" s="3721"/>
      <c r="X5" s="1354"/>
      <c r="Y5" s="3697"/>
      <c r="Z5" s="3698"/>
      <c r="AA5" s="3691"/>
      <c r="AB5" s="3691"/>
      <c r="AC5" s="3691"/>
    </row>
    <row r="6" spans="1:29" ht="15.75" thickBot="1">
      <c r="A6" s="360"/>
      <c r="B6" s="361"/>
      <c r="C6" s="3783" t="s">
        <v>1919</v>
      </c>
      <c r="D6" s="3784"/>
      <c r="E6" s="3785" t="s">
        <v>1919</v>
      </c>
      <c r="F6" s="3786"/>
      <c r="G6" s="3783" t="s">
        <v>1919</v>
      </c>
      <c r="H6" s="3784"/>
      <c r="I6" s="3783" t="s">
        <v>1919</v>
      </c>
      <c r="J6" s="3784"/>
      <c r="K6" s="559" t="s">
        <v>1678</v>
      </c>
      <c r="L6" s="2714"/>
      <c r="M6" s="2715"/>
      <c r="N6" s="2715"/>
      <c r="O6" s="2715"/>
      <c r="P6" s="3717"/>
      <c r="Q6" s="3718"/>
      <c r="R6" s="3697"/>
      <c r="S6" s="3698"/>
      <c r="T6" s="3719"/>
      <c r="U6" s="3720"/>
      <c r="V6" s="3721"/>
      <c r="W6" s="3721"/>
      <c r="X6" s="1354"/>
      <c r="Y6" s="3719"/>
      <c r="Z6" s="3720"/>
      <c r="AA6" s="3692"/>
      <c r="AB6" s="3692"/>
      <c r="AC6" s="3692"/>
    </row>
    <row r="7" spans="1:29" s="108" customFormat="1" ht="15.75" thickBot="1">
      <c r="A7" s="362" t="s">
        <v>1679</v>
      </c>
      <c r="B7" s="363"/>
      <c r="C7" s="364">
        <f>'数据-取费表'!B2</f>
        <v>45231</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93" t="s">
        <v>1680</v>
      </c>
      <c r="Q7" s="3722"/>
      <c r="R7" s="701" t="s">
        <v>14</v>
      </c>
      <c r="S7" s="702">
        <f t="shared" ref="S7:S15" si="0">F7</f>
        <v>0</v>
      </c>
      <c r="T7" s="701" t="s">
        <v>14</v>
      </c>
      <c r="U7" s="702">
        <f t="shared" ref="U7:U15" si="1">H7</f>
        <v>0</v>
      </c>
      <c r="V7" s="701" t="s">
        <v>14</v>
      </c>
      <c r="W7" s="702">
        <f t="shared" ref="W7:W15" si="2">J7</f>
        <v>0</v>
      </c>
      <c r="X7" s="703"/>
      <c r="Y7" s="3693" t="s">
        <v>1680</v>
      </c>
      <c r="Z7" s="369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93" t="s">
        <v>1683</v>
      </c>
      <c r="Q8" s="3694"/>
      <c r="R8" s="701" t="s">
        <v>14</v>
      </c>
      <c r="S8" s="702">
        <f t="shared" si="0"/>
        <v>0</v>
      </c>
      <c r="T8" s="701" t="s">
        <v>14</v>
      </c>
      <c r="U8" s="702">
        <f t="shared" si="1"/>
        <v>0</v>
      </c>
      <c r="V8" s="701" t="s">
        <v>14</v>
      </c>
      <c r="W8" s="702">
        <f t="shared" si="2"/>
        <v>0</v>
      </c>
      <c r="X8" s="703"/>
      <c r="Y8" s="3693" t="s">
        <v>1683</v>
      </c>
      <c r="Z8" s="3694"/>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26" t="s">
        <v>1686</v>
      </c>
      <c r="Q9" s="1342" t="str">
        <f t="shared" ref="Q9:Q15" si="6">B9</f>
        <v>用途</v>
      </c>
      <c r="R9" s="701" t="s">
        <v>14</v>
      </c>
      <c r="S9" s="702">
        <f t="shared" si="0"/>
        <v>100</v>
      </c>
      <c r="T9" s="701" t="s">
        <v>14</v>
      </c>
      <c r="U9" s="702">
        <f t="shared" si="1"/>
        <v>100</v>
      </c>
      <c r="V9" s="701" t="s">
        <v>14</v>
      </c>
      <c r="W9" s="702">
        <f t="shared" si="2"/>
        <v>100</v>
      </c>
      <c r="X9" s="703"/>
      <c r="Y9" s="366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118</v>
      </c>
      <c r="G10" s="383"/>
      <c r="H10" s="127">
        <f>ROUND(100/'数据-取费表'!G16,0)</f>
        <v>118</v>
      </c>
      <c r="I10" s="383"/>
      <c r="J10" s="127">
        <f>ROUND(100/'数据-取费表'!G16,0)</f>
        <v>118</v>
      </c>
      <c r="K10" s="620"/>
      <c r="L10" s="2718"/>
      <c r="M10" s="2719"/>
      <c r="N10" s="2719"/>
      <c r="O10" s="2772"/>
      <c r="P10" s="3726"/>
      <c r="Q10" s="1342" t="str">
        <f t="shared" si="6"/>
        <v>土地使用年限（年）</v>
      </c>
      <c r="R10" s="701" t="s">
        <v>14</v>
      </c>
      <c r="S10" s="702">
        <f t="shared" si="0"/>
        <v>118</v>
      </c>
      <c r="T10" s="701" t="s">
        <v>14</v>
      </c>
      <c r="U10" s="702">
        <f t="shared" si="1"/>
        <v>118</v>
      </c>
      <c r="V10" s="701" t="s">
        <v>14</v>
      </c>
      <c r="W10" s="702">
        <f t="shared" si="2"/>
        <v>118</v>
      </c>
      <c r="X10" s="703"/>
      <c r="Y10" s="3663"/>
      <c r="Z10" s="52" t="str">
        <f t="shared" si="7"/>
        <v>土地使用年限（年）</v>
      </c>
      <c r="AA10" s="704">
        <f t="shared" si="3"/>
        <v>0.84745762711864403</v>
      </c>
      <c r="AB10" s="704">
        <f t="shared" si="4"/>
        <v>0.84745762711864403</v>
      </c>
      <c r="AC10" s="704">
        <f t="shared" si="5"/>
        <v>0.84745762711864403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26"/>
      <c r="Q11" s="1342" t="str">
        <f t="shared" si="6"/>
        <v>容积率</v>
      </c>
      <c r="R11" s="701" t="s">
        <v>14</v>
      </c>
      <c r="S11" s="702" t="e">
        <f t="shared" si="0"/>
        <v>#N/A</v>
      </c>
      <c r="T11" s="701" t="s">
        <v>14</v>
      </c>
      <c r="U11" s="702" t="e">
        <f t="shared" si="1"/>
        <v>#N/A</v>
      </c>
      <c r="V11" s="701" t="s">
        <v>14</v>
      </c>
      <c r="W11" s="702" t="e">
        <f t="shared" si="2"/>
        <v>#N/A</v>
      </c>
      <c r="X11" s="703"/>
      <c r="Y11" s="3663"/>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26"/>
      <c r="Q12" s="1342">
        <f t="shared" si="6"/>
        <v>111</v>
      </c>
      <c r="R12" s="701" t="s">
        <v>14</v>
      </c>
      <c r="S12" s="702">
        <f t="shared" si="0"/>
        <v>100</v>
      </c>
      <c r="T12" s="701" t="s">
        <v>14</v>
      </c>
      <c r="U12" s="702">
        <f t="shared" si="1"/>
        <v>100</v>
      </c>
      <c r="V12" s="701" t="s">
        <v>14</v>
      </c>
      <c r="W12" s="702">
        <f t="shared" si="2"/>
        <v>100</v>
      </c>
      <c r="X12" s="703"/>
      <c r="Y12" s="3663"/>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26"/>
      <c r="Q13" s="1342">
        <f t="shared" si="6"/>
        <v>111</v>
      </c>
      <c r="R13" s="701" t="s">
        <v>14</v>
      </c>
      <c r="S13" s="702">
        <f t="shared" si="0"/>
        <v>100</v>
      </c>
      <c r="T13" s="701" t="s">
        <v>14</v>
      </c>
      <c r="U13" s="702">
        <f t="shared" si="1"/>
        <v>100</v>
      </c>
      <c r="V13" s="701" t="s">
        <v>14</v>
      </c>
      <c r="W13" s="702">
        <f t="shared" si="2"/>
        <v>100</v>
      </c>
      <c r="X13" s="703"/>
      <c r="Y13" s="3663"/>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26"/>
      <c r="Q14" s="1342">
        <f t="shared" si="6"/>
        <v>111</v>
      </c>
      <c r="R14" s="701" t="s">
        <v>14</v>
      </c>
      <c r="S14" s="702">
        <f t="shared" si="0"/>
        <v>100</v>
      </c>
      <c r="T14" s="701" t="s">
        <v>14</v>
      </c>
      <c r="U14" s="702">
        <f t="shared" si="1"/>
        <v>100</v>
      </c>
      <c r="V14" s="701" t="s">
        <v>14</v>
      </c>
      <c r="W14" s="702">
        <f t="shared" si="2"/>
        <v>100</v>
      </c>
      <c r="X14" s="703"/>
      <c r="Y14" s="3663"/>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28" t="s">
        <v>1691</v>
      </c>
      <c r="Q15" s="1351" t="str">
        <f t="shared" si="6"/>
        <v>产业集聚程度</v>
      </c>
      <c r="R15" s="705" t="s">
        <v>14</v>
      </c>
      <c r="S15" s="706">
        <f t="shared" si="0"/>
        <v>100</v>
      </c>
      <c r="T15" s="705" t="s">
        <v>14</v>
      </c>
      <c r="U15" s="706">
        <f t="shared" si="1"/>
        <v>100</v>
      </c>
      <c r="V15" s="705" t="s">
        <v>14</v>
      </c>
      <c r="W15" s="706">
        <f t="shared" si="2"/>
        <v>100</v>
      </c>
      <c r="X15" s="1354"/>
      <c r="Y15" s="3728"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729"/>
      <c r="Q16" s="1351"/>
      <c r="R16" s="705"/>
      <c r="S16" s="706"/>
      <c r="T16" s="705"/>
      <c r="U16" s="706"/>
      <c r="V16" s="705"/>
      <c r="W16" s="706"/>
      <c r="X16" s="1354"/>
      <c r="Y16" s="3729"/>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29"/>
      <c r="Q17" s="1351" t="str">
        <f>B17</f>
        <v>交通便捷度</v>
      </c>
      <c r="R17" s="705" t="s">
        <v>14</v>
      </c>
      <c r="S17" s="706">
        <f>F17</f>
        <v>100</v>
      </c>
      <c r="T17" s="705" t="s">
        <v>14</v>
      </c>
      <c r="U17" s="706">
        <f>H17</f>
        <v>100</v>
      </c>
      <c r="V17" s="705" t="s">
        <v>14</v>
      </c>
      <c r="W17" s="706">
        <f>J17</f>
        <v>100</v>
      </c>
      <c r="X17" s="1354"/>
      <c r="Y17" s="3729"/>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729"/>
      <c r="Q18" s="1351"/>
      <c r="R18" s="705"/>
      <c r="S18" s="706"/>
      <c r="T18" s="705"/>
      <c r="U18" s="706"/>
      <c r="V18" s="705"/>
      <c r="W18" s="706"/>
      <c r="X18" s="1354"/>
      <c r="Y18" s="3729"/>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29"/>
      <c r="Q19" s="1351" t="str">
        <f t="shared" ref="Q19:Q33" si="8">B19</f>
        <v>区域土地利用方向</v>
      </c>
      <c r="R19" s="705" t="s">
        <v>14</v>
      </c>
      <c r="S19" s="706">
        <f>F19</f>
        <v>100</v>
      </c>
      <c r="T19" s="705" t="s">
        <v>14</v>
      </c>
      <c r="U19" s="706">
        <f>H19</f>
        <v>100</v>
      </c>
      <c r="V19" s="705" t="s">
        <v>14</v>
      </c>
      <c r="W19" s="706">
        <f>J19</f>
        <v>100</v>
      </c>
      <c r="X19" s="1354"/>
      <c r="Y19" s="3729"/>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729"/>
      <c r="Q20" s="1351"/>
      <c r="R20" s="705"/>
      <c r="S20" s="706"/>
      <c r="T20" s="705"/>
      <c r="U20" s="706"/>
      <c r="V20" s="705"/>
      <c r="W20" s="706"/>
      <c r="X20" s="1354"/>
      <c r="Y20" s="3729"/>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29"/>
      <c r="Q21" s="1351" t="str">
        <f t="shared" si="8"/>
        <v>环境状况</v>
      </c>
      <c r="R21" s="705" t="s">
        <v>14</v>
      </c>
      <c r="S21" s="706">
        <f>F21</f>
        <v>100</v>
      </c>
      <c r="T21" s="705" t="s">
        <v>14</v>
      </c>
      <c r="U21" s="706">
        <f>H21</f>
        <v>100</v>
      </c>
      <c r="V21" s="705" t="s">
        <v>14</v>
      </c>
      <c r="W21" s="706">
        <f>J21</f>
        <v>100</v>
      </c>
      <c r="X21" s="1354"/>
      <c r="Y21" s="3729"/>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729"/>
      <c r="Q22" s="1351"/>
      <c r="R22" s="705"/>
      <c r="S22" s="706"/>
      <c r="T22" s="705"/>
      <c r="U22" s="706"/>
      <c r="V22" s="705"/>
      <c r="W22" s="706"/>
      <c r="X22" s="1354"/>
      <c r="Y22" s="3729"/>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29"/>
      <c r="Q23" s="1342" t="str">
        <f t="shared" si="8"/>
        <v>公共配套设施</v>
      </c>
      <c r="R23" s="701" t="s">
        <v>14</v>
      </c>
      <c r="S23" s="702">
        <f>F23</f>
        <v>100</v>
      </c>
      <c r="T23" s="701" t="s">
        <v>14</v>
      </c>
      <c r="U23" s="702">
        <f>H23</f>
        <v>100</v>
      </c>
      <c r="V23" s="701" t="s">
        <v>14</v>
      </c>
      <c r="W23" s="702">
        <f>J23</f>
        <v>100</v>
      </c>
      <c r="X23" s="703"/>
      <c r="Y23" s="3729"/>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729"/>
      <c r="Q24" s="1342"/>
      <c r="R24" s="701"/>
      <c r="S24" s="702"/>
      <c r="T24" s="701"/>
      <c r="U24" s="702"/>
      <c r="V24" s="701"/>
      <c r="W24" s="702"/>
      <c r="X24" s="703"/>
      <c r="Y24" s="3729"/>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29"/>
      <c r="Q25" s="1342" t="str">
        <f t="shared" ref="Q25" si="9">B25</f>
        <v>基础设施水平</v>
      </c>
      <c r="R25" s="701" t="s">
        <v>14</v>
      </c>
      <c r="S25" s="702">
        <f>F25</f>
        <v>100</v>
      </c>
      <c r="T25" s="701" t="s">
        <v>14</v>
      </c>
      <c r="U25" s="702">
        <f>H25</f>
        <v>100</v>
      </c>
      <c r="V25" s="701" t="s">
        <v>14</v>
      </c>
      <c r="W25" s="702">
        <f>J25</f>
        <v>100</v>
      </c>
      <c r="X25" s="703"/>
      <c r="Y25" s="3729"/>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729"/>
      <c r="Q26" s="1342"/>
      <c r="R26" s="701"/>
      <c r="S26" s="702"/>
      <c r="T26" s="701"/>
      <c r="U26" s="702"/>
      <c r="V26" s="701"/>
      <c r="W26" s="702"/>
      <c r="X26" s="703"/>
      <c r="Y26" s="372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29"/>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29"/>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29"/>
      <c r="Q28" s="1351" t="str">
        <f t="shared" si="8"/>
        <v>毗邻道路的类型与等级</v>
      </c>
      <c r="R28" s="705" t="s">
        <v>14</v>
      </c>
      <c r="S28" s="706">
        <f t="shared" si="10"/>
        <v>100</v>
      </c>
      <c r="T28" s="705" t="s">
        <v>14</v>
      </c>
      <c r="U28" s="706">
        <f t="shared" si="11"/>
        <v>100</v>
      </c>
      <c r="V28" s="705" t="s">
        <v>14</v>
      </c>
      <c r="W28" s="706">
        <f t="shared" si="12"/>
        <v>100</v>
      </c>
      <c r="X28" s="1354"/>
      <c r="Y28" s="3729"/>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29"/>
      <c r="Q29" s="1351"/>
      <c r="R29" s="705"/>
      <c r="S29" s="706"/>
      <c r="T29" s="705"/>
      <c r="U29" s="706"/>
      <c r="V29" s="705"/>
      <c r="W29" s="706"/>
      <c r="X29" s="1354"/>
      <c r="Y29" s="3729"/>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29"/>
      <c r="Q30" s="1351" t="str">
        <f t="shared" si="8"/>
        <v>土地级别</v>
      </c>
      <c r="R30" s="705" t="s">
        <v>14</v>
      </c>
      <c r="S30" s="706">
        <f t="shared" si="10"/>
        <v>100</v>
      </c>
      <c r="T30" s="705" t="s">
        <v>14</v>
      </c>
      <c r="U30" s="706">
        <f t="shared" si="11"/>
        <v>100</v>
      </c>
      <c r="V30" s="705" t="s">
        <v>14</v>
      </c>
      <c r="W30" s="706">
        <f t="shared" si="12"/>
        <v>100</v>
      </c>
      <c r="X30" s="1354"/>
      <c r="Y30" s="3729"/>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29"/>
      <c r="Q31" s="1351">
        <f t="shared" si="8"/>
        <v>111</v>
      </c>
      <c r="R31" s="705" t="s">
        <v>14</v>
      </c>
      <c r="S31" s="706">
        <f t="shared" si="10"/>
        <v>100</v>
      </c>
      <c r="T31" s="705" t="s">
        <v>14</v>
      </c>
      <c r="U31" s="706">
        <f t="shared" si="11"/>
        <v>100</v>
      </c>
      <c r="V31" s="705" t="s">
        <v>14</v>
      </c>
      <c r="W31" s="706">
        <f t="shared" si="12"/>
        <v>100</v>
      </c>
      <c r="X31" s="1354"/>
      <c r="Y31" s="3729"/>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78" t="s">
        <v>1696</v>
      </c>
      <c r="Q32" s="1351">
        <f t="shared" si="8"/>
        <v>111</v>
      </c>
      <c r="R32" s="705" t="s">
        <v>14</v>
      </c>
      <c r="S32" s="706">
        <f t="shared" si="10"/>
        <v>100</v>
      </c>
      <c r="T32" s="705" t="s">
        <v>14</v>
      </c>
      <c r="U32" s="706">
        <f t="shared" si="11"/>
        <v>100</v>
      </c>
      <c r="V32" s="705" t="s">
        <v>14</v>
      </c>
      <c r="W32" s="706">
        <f t="shared" si="12"/>
        <v>100</v>
      </c>
      <c r="X32" s="1354"/>
      <c r="Y32" s="3733"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33"/>
      <c r="Q33" s="1351">
        <f t="shared" si="8"/>
        <v>111</v>
      </c>
      <c r="R33" s="708" t="s">
        <v>14</v>
      </c>
      <c r="S33" s="709">
        <f t="shared" si="10"/>
        <v>100</v>
      </c>
      <c r="T33" s="708" t="s">
        <v>14</v>
      </c>
      <c r="U33" s="709">
        <f t="shared" si="11"/>
        <v>100</v>
      </c>
      <c r="V33" s="708" t="s">
        <v>14</v>
      </c>
      <c r="W33" s="709">
        <f t="shared" si="12"/>
        <v>100</v>
      </c>
      <c r="X33" s="710"/>
      <c r="Y33" s="3733"/>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33"/>
      <c r="Q34" s="1351" t="str">
        <f>B34</f>
        <v>宗地面积</v>
      </c>
      <c r="R34" s="705" t="s">
        <v>14</v>
      </c>
      <c r="S34" s="706" t="e">
        <f t="shared" si="10"/>
        <v>#N/A</v>
      </c>
      <c r="T34" s="705" t="s">
        <v>14</v>
      </c>
      <c r="U34" s="706" t="e">
        <f t="shared" si="11"/>
        <v>#N/A</v>
      </c>
      <c r="V34" s="705" t="s">
        <v>14</v>
      </c>
      <c r="W34" s="706" t="e">
        <f t="shared" si="12"/>
        <v>#N/A</v>
      </c>
      <c r="X34" s="1354"/>
      <c r="Y34" s="3733"/>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33"/>
      <c r="Q35" s="1351" t="str">
        <f t="shared" ref="Q35:Q40" si="14">B35</f>
        <v>宗地形状</v>
      </c>
      <c r="R35" s="705" t="s">
        <v>14</v>
      </c>
      <c r="S35" s="706">
        <f t="shared" si="10"/>
        <v>100</v>
      </c>
      <c r="T35" s="705" t="s">
        <v>14</v>
      </c>
      <c r="U35" s="706">
        <f t="shared" si="11"/>
        <v>100</v>
      </c>
      <c r="V35" s="705" t="s">
        <v>14</v>
      </c>
      <c r="W35" s="706">
        <f t="shared" si="12"/>
        <v>100</v>
      </c>
      <c r="X35" s="1354"/>
      <c r="Y35" s="3733"/>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33"/>
      <c r="Q36" s="1351" t="str">
        <f t="shared" si="14"/>
        <v>宗地开发程度</v>
      </c>
      <c r="R36" s="701" t="s">
        <v>14</v>
      </c>
      <c r="S36" s="702">
        <f t="shared" si="10"/>
        <v>100</v>
      </c>
      <c r="T36" s="701" t="s">
        <v>14</v>
      </c>
      <c r="U36" s="702">
        <f t="shared" si="11"/>
        <v>100</v>
      </c>
      <c r="V36" s="701" t="s">
        <v>14</v>
      </c>
      <c r="W36" s="702">
        <f t="shared" si="12"/>
        <v>100</v>
      </c>
      <c r="X36" s="703"/>
      <c r="Y36" s="3733"/>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33" t="s">
        <v>1696</v>
      </c>
      <c r="Q37" s="1351" t="str">
        <f t="shared" si="14"/>
        <v>工程地质条件</v>
      </c>
      <c r="R37" s="705" t="s">
        <v>14</v>
      </c>
      <c r="S37" s="706">
        <f t="shared" si="10"/>
        <v>100</v>
      </c>
      <c r="T37" s="705" t="s">
        <v>14</v>
      </c>
      <c r="U37" s="706">
        <f t="shared" si="11"/>
        <v>100</v>
      </c>
      <c r="V37" s="705" t="s">
        <v>14</v>
      </c>
      <c r="W37" s="706">
        <f t="shared" si="12"/>
        <v>100</v>
      </c>
      <c r="X37" s="1354"/>
      <c r="Y37" s="3733"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33"/>
      <c r="Q38" s="1351">
        <f t="shared" si="14"/>
        <v>111</v>
      </c>
      <c r="R38" s="705" t="s">
        <v>14</v>
      </c>
      <c r="S38" s="706">
        <f t="shared" si="10"/>
        <v>100</v>
      </c>
      <c r="T38" s="705" t="s">
        <v>14</v>
      </c>
      <c r="U38" s="706">
        <f t="shared" si="11"/>
        <v>100</v>
      </c>
      <c r="V38" s="705" t="s">
        <v>14</v>
      </c>
      <c r="W38" s="706">
        <f t="shared" si="12"/>
        <v>100</v>
      </c>
      <c r="X38" s="1354"/>
      <c r="Y38" s="3733"/>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33"/>
      <c r="Q39" s="1351">
        <f t="shared" si="14"/>
        <v>111</v>
      </c>
      <c r="R39" s="705" t="s">
        <v>14</v>
      </c>
      <c r="S39" s="706">
        <f t="shared" si="10"/>
        <v>100</v>
      </c>
      <c r="T39" s="705" t="s">
        <v>14</v>
      </c>
      <c r="U39" s="706">
        <f t="shared" si="11"/>
        <v>100</v>
      </c>
      <c r="V39" s="705" t="s">
        <v>14</v>
      </c>
      <c r="W39" s="706">
        <f t="shared" si="12"/>
        <v>100</v>
      </c>
      <c r="X39" s="1354"/>
      <c r="Y39" s="3733"/>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33"/>
      <c r="Q40" s="1351">
        <f t="shared" si="14"/>
        <v>111</v>
      </c>
      <c r="R40" s="708" t="s">
        <v>14</v>
      </c>
      <c r="S40" s="709">
        <f t="shared" si="10"/>
        <v>100</v>
      </c>
      <c r="T40" s="708" t="s">
        <v>14</v>
      </c>
      <c r="U40" s="709">
        <f t="shared" si="11"/>
        <v>100</v>
      </c>
      <c r="V40" s="708" t="s">
        <v>14</v>
      </c>
      <c r="W40" s="709">
        <f t="shared" si="12"/>
        <v>100</v>
      </c>
      <c r="X40" s="710"/>
      <c r="Y40" s="3733"/>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3"/>
      <c r="M41" s="2715"/>
      <c r="N41" s="2715"/>
      <c r="O41" s="2724"/>
      <c r="P41" s="3726" t="str">
        <f>A41</f>
        <v>成交单价</v>
      </c>
      <c r="Q41" s="3726"/>
      <c r="R41" s="3721">
        <f>E41</f>
        <v>0</v>
      </c>
      <c r="S41" s="3721"/>
      <c r="T41" s="3721">
        <f>G41</f>
        <v>0</v>
      </c>
      <c r="U41" s="3721"/>
      <c r="V41" s="3721">
        <f>I41</f>
        <v>0</v>
      </c>
      <c r="W41" s="3721"/>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726" t="str">
        <f>A42</f>
        <v>比较价值（元/平方米）</v>
      </c>
      <c r="Q42" s="3726"/>
      <c r="R42" s="3780" t="e">
        <f>ROUND(PRODUCT(R41,AA7:AA40),0)</f>
        <v>#DIV/0!</v>
      </c>
      <c r="S42" s="3780"/>
      <c r="T42" s="3780" t="e">
        <f>ROUND(PRODUCT(T41,AB7:AB40),0)</f>
        <v>#DIV/0!</v>
      </c>
      <c r="U42" s="3780"/>
      <c r="V42" s="3780" t="e">
        <f>ROUND(PRODUCT(V41,AC7:AC40),0)</f>
        <v>#DIV/0!</v>
      </c>
      <c r="W42" s="378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23" t="str">
        <f>A43</f>
        <v>估价对象XX用房的比较价值（楼面单价，元/平方米）</v>
      </c>
      <c r="Q43" s="3724"/>
      <c r="R43" s="3781" t="e">
        <f>ROUND(IF(D42="简单平均",AVERAGE(R42:W42),R42*F42+T42*H42+V42*J42),0)</f>
        <v>#DIV/0!</v>
      </c>
      <c r="S43" s="3781"/>
      <c r="T43" s="3781"/>
      <c r="U43" s="3781"/>
      <c r="V43" s="3781"/>
      <c r="W43" s="3781"/>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709" t="s">
        <v>1887</v>
      </c>
      <c r="H50" s="3782"/>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347.45</v>
      </c>
      <c r="F51" s="639" t="e">
        <f t="shared" ref="F51:F60" si="15">ROUND(B51*E51/10000,0)</f>
        <v>#DIV/0!</v>
      </c>
      <c r="G51" s="3708"/>
      <c r="H51" s="3726"/>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1" t="str">
        <f>YEAR(C63)&amp;"-"&amp;ROUNDUP(MONTH(C63)/3,0)</f>
        <v>2023-4</v>
      </c>
      <c r="D65" s="1181" t="str">
        <f t="shared" ref="D65:O65" si="19">YEAR(D63)&amp;"-"&amp;ROUNDUP(MONTH(D63)/3,0)</f>
        <v>2023-3</v>
      </c>
      <c r="E65" s="1181" t="str">
        <f t="shared" si="19"/>
        <v>2023-2</v>
      </c>
      <c r="F65" s="1181" t="str">
        <f t="shared" si="19"/>
        <v>2023-1</v>
      </c>
      <c r="G65" s="1181" t="str">
        <f t="shared" si="19"/>
        <v>2022-4</v>
      </c>
      <c r="H65" s="1181" t="str">
        <f t="shared" si="19"/>
        <v>2022-3</v>
      </c>
      <c r="I65" s="1181" t="str">
        <f t="shared" si="19"/>
        <v>2022-2</v>
      </c>
      <c r="J65" s="1181" t="str">
        <f t="shared" si="19"/>
        <v>2022-1</v>
      </c>
      <c r="K65" s="1181" t="str">
        <f t="shared" si="19"/>
        <v>2021-4</v>
      </c>
      <c r="L65" s="1181" t="str">
        <f t="shared" si="19"/>
        <v>2021-3</v>
      </c>
      <c r="M65" s="1181" t="str">
        <f t="shared" si="19"/>
        <v>2021-2</v>
      </c>
      <c r="N65" s="1181" t="str">
        <f t="shared" si="19"/>
        <v>2021-1</v>
      </c>
      <c r="O65" s="1181" t="str">
        <f t="shared" si="19"/>
        <v>2020-4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9"/>
      <c r="C2" s="3509"/>
      <c r="D2" s="3509"/>
      <c r="E2" s="3509"/>
    </row>
    <row r="3" spans="1:5" ht="18">
      <c r="A3" s="3510" t="str">
        <f>IF(项目基本情况!B9="房地产市场价值","估价结果一览表（市场价值不需“结果表-1”）","估价结果一览表")</f>
        <v>估价结果一览表</v>
      </c>
      <c r="B3" s="3510"/>
      <c r="C3" s="3510"/>
      <c r="D3" s="3510"/>
      <c r="E3" s="3510"/>
    </row>
    <row r="4" spans="1:5" ht="19.5" thickBot="1">
      <c r="A4" s="1492"/>
      <c r="B4" s="3508" t="s">
        <v>917</v>
      </c>
      <c r="C4" s="3508"/>
      <c r="D4" s="3508"/>
      <c r="E4" s="1492"/>
    </row>
    <row r="5" spans="1:5" ht="16.5" thickTop="1">
      <c r="A5" s="1490"/>
      <c r="B5" s="3506" t="s">
        <v>909</v>
      </c>
      <c r="C5" s="1493" t="s">
        <v>910</v>
      </c>
      <c r="D5" s="850" t="e">
        <f ca="1">结果表!H101</f>
        <v>#REF!</v>
      </c>
      <c r="E5" s="1490"/>
    </row>
    <row r="6" spans="1:5" ht="15.75">
      <c r="A6" s="1490"/>
      <c r="B6" s="3506"/>
      <c r="C6" s="1493" t="s">
        <v>911</v>
      </c>
      <c r="D6" s="850" t="e">
        <f ca="1">NUMBERSTRING(INT(D5*10000),2)&amp;"元整"</f>
        <v>#REF!</v>
      </c>
      <c r="E6" s="1490"/>
    </row>
    <row r="7" spans="1:5" ht="15.75">
      <c r="A7" s="1490"/>
      <c r="B7" s="3511"/>
      <c r="C7" s="1494" t="s">
        <v>912</v>
      </c>
      <c r="D7" s="851" t="e">
        <f ca="1">结果表!H102</f>
        <v>#REF!</v>
      </c>
      <c r="E7" s="1490"/>
    </row>
    <row r="8" spans="1:5" ht="15.75">
      <c r="A8" s="1490"/>
      <c r="B8" s="3512" t="str">
        <f>结果表!E103</f>
        <v>2.估价师知悉的法定优先受偿款</v>
      </c>
      <c r="C8" s="1495" t="s">
        <v>913</v>
      </c>
      <c r="D8" s="851">
        <f>结果表!H103</f>
        <v>0</v>
      </c>
      <c r="E8" s="1490"/>
    </row>
    <row r="9" spans="1:5" ht="15.75">
      <c r="A9" s="1490"/>
      <c r="B9" s="3514"/>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505" t="str">
        <f>结果表!E107</f>
        <v>3.房地产抵押价值</v>
      </c>
      <c r="C13" s="1498" t="s">
        <v>910</v>
      </c>
      <c r="D13" s="853" t="e">
        <f ca="1">结果表!H107</f>
        <v>#REF!</v>
      </c>
      <c r="E13" s="1490"/>
    </row>
    <row r="14" spans="1:5" ht="15.75">
      <c r="A14" s="1490"/>
      <c r="B14" s="3506"/>
      <c r="C14" s="1493" t="s">
        <v>911</v>
      </c>
      <c r="D14" s="850" t="e">
        <f ca="1">NUMBERSTRING(INT(D13*10000),2)&amp;"元整"</f>
        <v>#REF!</v>
      </c>
      <c r="E14" s="1490"/>
    </row>
    <row r="15" spans="1:5" ht="15">
      <c r="A15" s="1490"/>
      <c r="B15" s="3511"/>
      <c r="C15" s="1494" t="s">
        <v>921</v>
      </c>
      <c r="D15" s="859" t="e">
        <f ca="1">结果表!H108</f>
        <v>#REF!</v>
      </c>
      <c r="E15" s="1490"/>
    </row>
    <row r="16" spans="1:5" ht="15">
      <c r="A16" s="1490"/>
      <c r="B16" s="3512" t="str">
        <f>结果表!E109</f>
        <v>——</v>
      </c>
      <c r="C16" s="1498" t="s">
        <v>922</v>
      </c>
      <c r="D16" s="1499" t="str">
        <f>结果表!H109</f>
        <v>——</v>
      </c>
      <c r="E16" s="1490"/>
    </row>
    <row r="17" spans="1:5" ht="15.75">
      <c r="A17" s="1490"/>
      <c r="B17" s="3513"/>
      <c r="C17" s="1493" t="s">
        <v>923</v>
      </c>
      <c r="D17" s="850" t="e">
        <f>NUMBERSTRING(INT(D16*10000),2)&amp;"元整"</f>
        <v>#VALUE!</v>
      </c>
      <c r="E17" s="1490"/>
    </row>
    <row r="18" spans="1:5" ht="15">
      <c r="A18" s="1490"/>
      <c r="B18" s="3514"/>
      <c r="C18" s="1494" t="s">
        <v>912</v>
      </c>
      <c r="D18" s="859" t="str">
        <f>结果表!H110</f>
        <v>——</v>
      </c>
      <c r="E18" s="1490"/>
    </row>
    <row r="19" spans="1:5" ht="15.75">
      <c r="A19" s="1490"/>
      <c r="B19" s="3505" t="str">
        <f>结果表!E111</f>
        <v>——</v>
      </c>
      <c r="C19" s="1498" t="s">
        <v>910</v>
      </c>
      <c r="D19" s="851" t="str">
        <f>结果表!H111</f>
        <v>——</v>
      </c>
      <c r="E19" s="1490"/>
    </row>
    <row r="20" spans="1:5" ht="15.75">
      <c r="A20" s="1490"/>
      <c r="B20" s="3506"/>
      <c r="C20" s="1493" t="s">
        <v>923</v>
      </c>
      <c r="D20" s="850" t="e">
        <f>NUMBERSTRING(INT(D19*10000),2)&amp;"元整"</f>
        <v>#VALUE!</v>
      </c>
      <c r="E20" s="1490"/>
    </row>
    <row r="21" spans="1:5" ht="15.75" thickBot="1">
      <c r="A21" s="1490"/>
      <c r="B21" s="3507"/>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90" t="s">
        <v>2084</v>
      </c>
      <c r="D1" s="3791"/>
      <c r="E1" s="3791"/>
      <c r="F1" s="3791"/>
      <c r="G1" s="3791"/>
      <c r="H1" s="3791"/>
      <c r="I1" s="3791"/>
      <c r="J1" s="3791"/>
      <c r="K1" s="3791"/>
      <c r="L1" s="3791"/>
      <c r="M1" s="3791"/>
      <c r="N1" s="3791"/>
      <c r="O1" s="3791"/>
      <c r="P1" s="3791"/>
      <c r="Q1" s="3791"/>
      <c r="R1" s="3791"/>
      <c r="S1" s="379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87" t="s">
        <v>27</v>
      </c>
      <c r="D22" s="3788"/>
      <c r="E22" s="3788"/>
      <c r="F22" s="3788"/>
      <c r="G22" s="3788"/>
      <c r="H22" s="3788"/>
      <c r="I22" s="3788"/>
      <c r="J22" s="3788"/>
      <c r="K22" s="3788"/>
      <c r="L22" s="3788"/>
      <c r="M22" s="3788"/>
      <c r="N22" s="3788"/>
      <c r="O22" s="3788"/>
      <c r="P22" s="3788"/>
      <c r="Q22" s="378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zoomScale="80" zoomScaleNormal="80" zoomScaleSheetLayoutView="80" workbookViewId="0">
      <selection activeCell="D23" sqref="D2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1" t="s">
        <v>3383</v>
      </c>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9"/>
      <c r="L2" s="2002" t="s">
        <v>1939</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9" t="s">
        <v>3463</v>
      </c>
      <c r="F3" s="2003" t="s">
        <v>3464</v>
      </c>
      <c r="G3" s="752">
        <f>IF(F3="宗地容积率",'数据-汇总表'!I4,IF(F3="估价对象容积率",'数据-汇总表'!I6,'数据-汇总表'!I7))</f>
        <v>0</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800"/>
      <c r="B4" s="3801"/>
      <c r="C4" s="3801"/>
      <c r="D4" s="3802"/>
      <c r="E4" s="3802"/>
      <c r="F4" s="3802"/>
      <c r="G4" s="3802"/>
      <c r="H4" s="3802"/>
      <c r="I4" s="3802"/>
      <c r="J4" s="3803"/>
      <c r="K4" s="1119"/>
      <c r="L4" s="2002" t="s">
        <v>1946</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t="e">
        <f>ROUND(IF(E2="商业",C6*C7*C17+C20,(IF(E2="住宅",C6*C13*C17+C20,IF(E2="办公",C6*C12*C17+C20,C6+C20)))),0)</f>
        <v>#DIV/0!</v>
      </c>
      <c r="D5" s="1338" t="e">
        <f>ROUND(C6*C17+C20,0)</f>
        <v>#DIV/0!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3242</v>
      </c>
      <c r="B7" s="2020" t="s">
        <v>1952</v>
      </c>
      <c r="C7" s="755">
        <f>IF(C8="不临65条商业街",1,ROUND(1+(1.6*E8+1.2*E9+0.8*E10+0.4*E11)*C9,4))</f>
        <v>1</v>
      </c>
      <c r="D7" s="2021" t="s">
        <v>1953</v>
      </c>
      <c r="E7" s="776">
        <v>6</v>
      </c>
      <c r="F7" s="2022"/>
      <c r="G7" s="2023"/>
      <c r="H7" s="2023"/>
      <c r="I7" s="2023"/>
      <c r="J7" s="2024"/>
      <c r="K7" s="1383"/>
      <c r="L7" s="2002" t="s">
        <v>1954</v>
      </c>
      <c r="M7" s="864">
        <f>SUMPRODUCT((区片价!B190:B233=I2)*(区片价!C3:G3=E2)*(区片价!C190:G233))</f>
        <v>0</v>
      </c>
      <c r="N7" s="866">
        <f>SUMPRODUCT((因素修正幅度!B190:B233=I2)*(因素修正幅度!C3:G3=E2)*(因素修正幅度!C190:G233))</f>
        <v>0</v>
      </c>
      <c r="O7" s="1119"/>
      <c r="P7" s="1119"/>
      <c r="Q7" s="1119"/>
      <c r="R7" s="1211">
        <v>6</v>
      </c>
      <c r="S7" s="3418"/>
      <c r="T7" s="3360" t="e">
        <f t="shared" si="0"/>
        <v>#DIV/0!</v>
      </c>
      <c r="U7" s="1212"/>
      <c r="V7" s="3360" t="e">
        <f t="shared" si="1"/>
        <v>#DIV/0!</v>
      </c>
      <c r="W7" s="1357" t="s">
        <v>1955</v>
      </c>
      <c r="X7" s="1213">
        <f>G2</f>
        <v>0</v>
      </c>
      <c r="Y7" s="1213" t="s">
        <v>1956</v>
      </c>
      <c r="Z7" s="1214">
        <f>G3</f>
        <v>0</v>
      </c>
      <c r="AA7" s="1215"/>
      <c r="AB7" s="1215"/>
      <c r="AC7" s="1216"/>
      <c r="AD7" s="1217"/>
      <c r="AE7" s="1217"/>
      <c r="AF7" s="1217"/>
      <c r="AG7" s="1217"/>
      <c r="AH7" s="1217"/>
      <c r="AI7" s="1217"/>
      <c r="AJ7" s="1218"/>
    </row>
    <row r="8" spans="1:36" ht="25.5">
      <c r="A8" s="3298"/>
      <c r="B8" s="170" t="s">
        <v>1957</v>
      </c>
      <c r="C8" s="2025" t="s">
        <v>3465</v>
      </c>
      <c r="D8" s="756" t="s">
        <v>112</v>
      </c>
      <c r="E8" s="757">
        <f>ROUND(C11/E7,4)</f>
        <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1">
        <v>7</v>
      </c>
      <c r="S8" s="1212"/>
      <c r="T8" s="3360" t="e">
        <f t="shared" si="0"/>
        <v>#DIV/0!</v>
      </c>
      <c r="U8" s="1212"/>
      <c r="V8" s="3360" t="e">
        <f t="shared" si="1"/>
        <v>#DIV/0!</v>
      </c>
      <c r="W8" s="3797" t="s">
        <v>1960</v>
      </c>
      <c r="X8" s="3798"/>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f>ROUND(C11/E7,4)</f>
        <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1">
        <v>8</v>
      </c>
      <c r="S9" s="1212"/>
      <c r="T9" s="3360" t="e">
        <f t="shared" si="0"/>
        <v>#DIV/0!</v>
      </c>
      <c r="U9" s="1212"/>
      <c r="V9" s="3360" t="e">
        <f t="shared" si="1"/>
        <v>#DIV/0!</v>
      </c>
      <c r="W9" s="3799"/>
      <c r="X9" s="3361" t="s">
        <v>3273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f>ROUND(C11/E7,4)</f>
        <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60" t="e">
        <f t="shared" si="0"/>
        <v>#DIV/0!</v>
      </c>
      <c r="U10" s="1212"/>
      <c r="V10" s="3360" t="e">
        <f t="shared" si="1"/>
        <v>#DIV/0!</v>
      </c>
      <c r="W10" s="379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f>ROUND(C11/E7,4)</f>
        <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3243</v>
      </c>
      <c r="B12" s="3304" t="s">
        <v>3244</v>
      </c>
      <c r="C12" s="3305"/>
      <c r="D12" s="3306" t="s">
        <v>3245</v>
      </c>
      <c r="E12" s="3307" t="s">
        <v>3246</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3247</v>
      </c>
      <c r="B13" s="2033" t="s">
        <v>1982</v>
      </c>
      <c r="C13" s="755">
        <f>ROUND(C16*D16*E16*F16*G16*H16*I16*J16,4)</f>
        <v>0</v>
      </c>
      <c r="D13" s="2034" t="s">
        <v>1983</v>
      </c>
      <c r="E13" s="2035"/>
      <c r="F13" s="2035"/>
      <c r="G13" s="2036"/>
      <c r="H13" s="2036"/>
      <c r="I13" s="2036"/>
      <c r="J13" s="2037"/>
      <c r="K13" s="1119"/>
      <c r="L13" s="3299"/>
      <c r="M13" s="3300"/>
      <c r="N13" s="3301"/>
      <c r="O13" s="1119"/>
      <c r="P13" s="1119"/>
      <c r="Q13" s="1119"/>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3248</v>
      </c>
      <c r="G14" s="3311" t="s">
        <v>3248</v>
      </c>
      <c r="H14" s="3311" t="s">
        <v>3248</v>
      </c>
      <c r="I14" s="3311" t="s">
        <v>3248</v>
      </c>
      <c r="J14" s="3311" t="s">
        <v>3248</v>
      </c>
      <c r="K14" s="1119"/>
      <c r="L14" s="1119"/>
      <c r="M14" s="1119"/>
      <c r="N14" s="1119"/>
      <c r="O14" s="1119"/>
      <c r="P14" s="1119"/>
      <c r="Q14" s="1119"/>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3249</v>
      </c>
      <c r="G15" s="3313"/>
      <c r="H15" s="3314"/>
      <c r="I15" s="3315"/>
      <c r="J15" s="3316"/>
      <c r="K15" s="1119"/>
      <c r="L15" s="1119"/>
      <c r="M15" s="1119"/>
      <c r="N15" s="1119"/>
      <c r="O15" s="1119"/>
      <c r="P15" s="1119"/>
      <c r="Q15" s="1119"/>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6"/>
      <c r="M16" s="1996"/>
      <c r="N16" s="1996"/>
      <c r="O16" s="1996"/>
      <c r="P16" s="1996"/>
      <c r="Q16" s="1119"/>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3250</v>
      </c>
      <c r="B17" s="3320" t="s">
        <v>3251</v>
      </c>
      <c r="C17" s="3330">
        <f>ROUND(IF(OR(E2="工业",E2="公共服务"),1,IF(AND(E18=0,E19=0),1,IF(AND(E18=J24,E19=G19),0.8,IF(E19=0,1+E17*(-0.2),1+E17*G17*(-0.2))))),4)</f>
        <v>1</v>
      </c>
      <c r="D17" s="3321" t="s">
        <v>3252</v>
      </c>
      <c r="E17" s="3330">
        <f>ROUND(G18/I18,2)</f>
        <v>0</v>
      </c>
      <c r="F17" s="3321" t="s">
        <v>3255</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3253</v>
      </c>
      <c r="E18" s="3328"/>
      <c r="F18" s="3323" t="s">
        <v>3256</v>
      </c>
      <c r="G18" s="3327">
        <f>ROUND(1-(1/(POWER(1+G24,E18))),4)</f>
        <v>0</v>
      </c>
      <c r="H18" s="3323" t="s">
        <v>3258</v>
      </c>
      <c r="I18" s="3327">
        <f>ROUND(1-(1/(POWER(1+G24,J24))),4)</f>
        <v>0.96709999999999996</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3254</v>
      </c>
      <c r="E19" s="3337"/>
      <c r="F19" s="3338" t="s">
        <v>3257</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804" t="s">
        <v>3259</v>
      </c>
      <c r="B20" s="167" t="s">
        <v>1994</v>
      </c>
      <c r="C20" s="3324" t="e">
        <f>ROUND(IF(F21="与级别开发程度一致",0,(G21-E21)/C21),0)</f>
        <v>#DIV/0!</v>
      </c>
      <c r="D20" s="3340" t="s">
        <v>1998</v>
      </c>
      <c r="E20" s="3341"/>
      <c r="F20" s="3810" t="s">
        <v>1995</v>
      </c>
      <c r="G20" s="3811"/>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15" thickBot="1">
      <c r="A21" s="3805"/>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1.0818000000000001</v>
      </c>
      <c r="D23" s="2053" t="s">
        <v>2002</v>
      </c>
      <c r="E23" s="761">
        <v>44197</v>
      </c>
      <c r="F23" s="2053" t="s">
        <v>2003</v>
      </c>
      <c r="G23" s="762">
        <f>'数据-取费表'!B2</f>
        <v>45231</v>
      </c>
      <c r="H23" s="3342" t="s">
        <v>3261</v>
      </c>
      <c r="I23" s="3343" t="str">
        <f>IF(H23="季度增幅（自定义）",SUMIF(N25:N28,E2,O25:O28),"")</f>
        <v/>
      </c>
      <c r="J23" s="3445" t="s">
        <v>3260</v>
      </c>
      <c r="K23" s="1125"/>
      <c r="L23" s="2054" t="s">
        <v>2004</v>
      </c>
      <c r="M23" s="1327">
        <f>ROUND(SUMIF(地价!B2:G2,E2,地价!B16:G16),0)</f>
        <v>687</v>
      </c>
      <c r="N23" s="2055" t="s">
        <v>2005</v>
      </c>
      <c r="O23" s="763">
        <f>ROUNDDOWN(DATEDIF(E23,G23,"M")/3,0)</f>
        <v>11</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f>ROUND(POWER(1+G24,J24-I24)*(POWER(1+G24,I24)-1)/(POWER(1+G24,J24)-1),4)</f>
        <v>0.88990000000000002</v>
      </c>
      <c r="D24" s="2059" t="s">
        <v>2007</v>
      </c>
      <c r="E24" s="1334">
        <f>存贷款利率!E24/100</f>
        <v>4.3499999999999997E-2</v>
      </c>
      <c r="F24" s="2059" t="s">
        <v>1999</v>
      </c>
      <c r="G24" s="768">
        <f>SUMIF(M30:Q30,E2,M33:Q33)</f>
        <v>0.05</v>
      </c>
      <c r="H24" s="2059" t="s">
        <v>2008</v>
      </c>
      <c r="I24" s="769">
        <f>SUMIF('数据-取费表'!C6:C15,E2,'数据-取费表'!F6:F15)/COUNTIF('数据-取费表'!C6:C15,E2)</f>
        <v>40.39</v>
      </c>
      <c r="J24" s="770">
        <f>IF(E2="住宅",70,IF(E2="商业",40,50))</f>
        <v>70</v>
      </c>
      <c r="K24" s="1125"/>
      <c r="L24" s="2060" t="s">
        <v>2009</v>
      </c>
      <c r="M24" s="1328">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3340</v>
      </c>
      <c r="C25" s="771">
        <f>IF(B25="容积率修正",IF(G3&lt;10,D26,J26),C27)</f>
        <v>0</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4" t="s">
        <v>3262</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3263</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1</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9"/>
      <c r="L30" s="3350" t="s">
        <v>1936</v>
      </c>
      <c r="M30" s="3351" t="s">
        <v>1990</v>
      </c>
      <c r="N30" s="3351" t="s">
        <v>1991</v>
      </c>
      <c r="O30" s="3351" t="s">
        <v>1992</v>
      </c>
      <c r="P30" s="3351" t="s">
        <v>1993</v>
      </c>
      <c r="Q30" s="3354" t="s">
        <v>3267</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t="e">
        <f>E34+SUM(I37:I42)</f>
        <v>#DIV/0!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t="e">
        <f>ROUND(C5*C22*C23*C24*C25*C28,0)</f>
        <v>#DIV/0!</v>
      </c>
      <c r="D33" s="2097"/>
      <c r="E33" s="773" t="e">
        <f>ROUND(C33*D33/10000,0)</f>
        <v>#DIV/0!</v>
      </c>
      <c r="F33" s="3345" t="s">
        <v>3265</v>
      </c>
      <c r="G33" s="2098"/>
      <c r="H33" s="2098"/>
      <c r="I33" s="2098"/>
      <c r="J33" s="2099"/>
      <c r="K33" s="1119"/>
      <c r="L33" s="3348" t="s">
        <v>3268</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t="e">
        <f>ROUND(IF(E2="工业",C33*M42,IF(B25="楼层修正",SUM(V2:V16)*M41*10000/D34,C33*M41)),0)</f>
        <v>#DIV/0!</v>
      </c>
      <c r="D34" s="2102"/>
      <c r="E34" s="773" t="e">
        <f>ROUND(IF(B25="楼层修正",SUM(V2:V16)*M40,C34*D34/10000),0)</f>
        <v>#DIV/0!</v>
      </c>
      <c r="F34" s="2103" t="s">
        <v>2032</v>
      </c>
      <c r="G34" s="2104"/>
      <c r="H34" s="2104"/>
      <c r="I34" s="2104"/>
      <c r="J34" s="2105"/>
      <c r="K34" s="1119"/>
      <c r="L34" s="3348" t="s">
        <v>3269</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3266</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3270</v>
      </c>
      <c r="L36" s="3446">
        <f ca="1">'数据-取费表'!B40</f>
        <v>4.5499999999999999E-2</v>
      </c>
      <c r="M36" s="3357">
        <f ca="1">ROUND($L$36*(1+M31),3)</f>
        <v>5.7000000000000002E-2</v>
      </c>
      <c r="N36" s="3357">
        <f ca="1">ROUND($L$36*(1+N31),3)</f>
        <v>5.5E-2</v>
      </c>
      <c r="O36" s="3357">
        <f ca="1">ROUND($L$36*(1+O31),3)</f>
        <v>5.1999999999999998E-2</v>
      </c>
      <c r="P36" s="3357">
        <f ca="1">ROUND($L$36*(1+P31),3)</f>
        <v>0.05</v>
      </c>
      <c r="Q36" s="3357">
        <f ca="1">ROUND($L$36*(1+Q31),3)</f>
        <v>5.1999999999999998E-2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808"/>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3271</v>
      </c>
      <c r="L37" s="3356">
        <f ca="1">L36+K38</f>
        <v>5.0499999999999996E-2</v>
      </c>
      <c r="M37" s="3357">
        <f ca="1">ROUND($L$37*(1+M31),3)</f>
        <v>6.3E-2</v>
      </c>
      <c r="N37" s="3357">
        <f t="shared" ref="N37:Q37" ca="1" si="3">ROUND($L$37*(1+N31),3)</f>
        <v>6.0999999999999999E-2</v>
      </c>
      <c r="O37" s="3357">
        <f t="shared" ca="1" si="3"/>
        <v>5.8000000000000003E-2</v>
      </c>
      <c r="P37" s="3357">
        <f t="shared" ca="1" si="3"/>
        <v>5.6000000000000001E-2</v>
      </c>
      <c r="Q37" s="3357">
        <f t="shared" ca="1" si="3"/>
        <v>5.8000000000000003E-2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09"/>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809"/>
      <c r="B39" s="2040" t="s">
        <v>3264</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3272</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f>ROUND(POWER(1+E44,H44-G44)*(POWER(1+E44,G44)-1)/(POWER(1+E44,H44)-1),4)</f>
        <v>0</v>
      </c>
      <c r="D44" s="171" t="s">
        <v>1999</v>
      </c>
      <c r="E44" s="2152">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2043</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3274</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2054</v>
      </c>
      <c r="B53" s="2134" t="s">
        <v>2055</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2057</v>
      </c>
      <c r="B55" s="2135" t="s">
        <v>2058</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2059</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3274</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2054</v>
      </c>
      <c r="B64" s="2134" t="s">
        <v>2055</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2057</v>
      </c>
      <c r="B66" s="2135" t="s">
        <v>2058</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2059</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2060</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f>IF(E2="住宅",SUMIF(L1:L12,G2,N1:N12),"——")</f>
        <v>0</v>
      </c>
      <c r="G72" s="1063"/>
      <c r="H72" s="1066">
        <f t="shared" ref="H72:H80" si="18">IFERROR(ROUNDDOWN($F$72*I72/2,4),"——")</f>
        <v>0</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7"/>
        <v>0</v>
      </c>
      <c r="E73" s="747"/>
      <c r="F73" s="1813"/>
      <c r="G73" s="1063"/>
      <c r="H73" s="1066">
        <f t="shared" si="18"/>
        <v>0</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3274</v>
      </c>
      <c r="B74" s="2133">
        <f>估价对象房地状况!C19</f>
        <v>0</v>
      </c>
      <c r="C74" s="2043"/>
      <c r="D74" s="1065">
        <f t="shared" si="17"/>
        <v>0</v>
      </c>
      <c r="E74" s="747"/>
      <c r="F74" s="1813"/>
      <c r="G74" s="1063"/>
      <c r="H74" s="1066">
        <f t="shared" si="18"/>
        <v>0</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7"/>
        <v>0</v>
      </c>
      <c r="E75" s="747"/>
      <c r="F75" s="1813"/>
      <c r="G75" s="1063"/>
      <c r="H75" s="1066">
        <f t="shared" si="18"/>
        <v>0</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2059</v>
      </c>
      <c r="B76" s="1325" t="str">
        <f>估价对象房地状况!C21</f>
        <v>估价对象所在区域公共配套设施齐备情况</v>
      </c>
      <c r="C76" s="2043"/>
      <c r="D76" s="1065">
        <f t="shared" si="17"/>
        <v>0</v>
      </c>
      <c r="E76" s="747"/>
      <c r="F76" s="1813"/>
      <c r="G76" s="1063"/>
      <c r="H76" s="1066">
        <f t="shared" si="18"/>
        <v>0</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2060</v>
      </c>
      <c r="B77" s="1325" t="str">
        <f>估价对象房地状况!C22</f>
        <v>估价对象所在区域基础设施水平</v>
      </c>
      <c r="C77" s="2043"/>
      <c r="D77" s="1065">
        <f t="shared" si="17"/>
        <v>0</v>
      </c>
      <c r="E77" s="747"/>
      <c r="F77" s="1813"/>
      <c r="G77" s="1063"/>
      <c r="H77" s="1066">
        <f t="shared" si="18"/>
        <v>0</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2057</v>
      </c>
      <c r="B78" s="2135" t="s">
        <v>2058</v>
      </c>
      <c r="C78" s="2043"/>
      <c r="D78" s="1065">
        <f t="shared" si="17"/>
        <v>0</v>
      </c>
      <c r="E78" s="747"/>
      <c r="F78" s="1813"/>
      <c r="G78" s="1063"/>
      <c r="H78" s="1066">
        <f t="shared" si="18"/>
        <v>0</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7"/>
        <v>0</v>
      </c>
      <c r="E79" s="747"/>
      <c r="F79" s="1813"/>
      <c r="G79" s="1063"/>
      <c r="H79" s="1066">
        <f t="shared" si="18"/>
        <v>0</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2068</v>
      </c>
      <c r="B80" s="2141"/>
      <c r="C80" s="2043"/>
      <c r="D80" s="1065">
        <f t="shared" si="17"/>
        <v>0</v>
      </c>
      <c r="E80" s="748"/>
      <c r="F80" s="1813"/>
      <c r="G80" s="1063"/>
      <c r="H80" s="1066">
        <f t="shared" si="18"/>
        <v>0</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2069</v>
      </c>
      <c r="B81" s="2126">
        <f>1+E83</f>
        <v>1</v>
      </c>
      <c r="C81" s="741"/>
      <c r="D81" s="741"/>
      <c r="E81" s="742"/>
      <c r="F81" s="2128"/>
      <c r="G81" s="3"/>
      <c r="H81" s="3"/>
      <c r="I81" s="3"/>
      <c r="J81" s="4"/>
      <c r="K81" s="4"/>
      <c r="L81" s="4"/>
      <c r="M81" s="4"/>
      <c r="N81" s="4"/>
      <c r="Z81" s="1997"/>
      <c r="AA81" s="2052"/>
      <c r="AG81" s="1121"/>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6">
        <v>0.3</v>
      </c>
      <c r="J84" s="1064">
        <f t="shared" si="24"/>
        <v>0</v>
      </c>
      <c r="K84" s="1064">
        <f t="shared" si="25"/>
        <v>0</v>
      </c>
      <c r="L84" s="1064">
        <v>0</v>
      </c>
      <c r="M84" s="1064">
        <f t="shared" si="26"/>
        <v>0</v>
      </c>
      <c r="N84" s="1064">
        <f t="shared" si="26"/>
        <v>0</v>
      </c>
      <c r="Z84" s="1997"/>
      <c r="AA84" s="2052"/>
      <c r="AG84" s="1121"/>
      <c r="AK84" s="2052"/>
    </row>
    <row r="85" spans="1:37" ht="36">
      <c r="A85" s="3368" t="s">
        <v>3275</v>
      </c>
      <c r="B85" s="2133">
        <f>估价对象房地状况!G17</f>
        <v>0</v>
      </c>
      <c r="C85" s="2043"/>
      <c r="D85" s="1065">
        <f t="shared" si="22"/>
        <v>0</v>
      </c>
      <c r="E85" s="747"/>
      <c r="F85" s="1813"/>
      <c r="G85" s="1063"/>
      <c r="H85" s="1066" t="str">
        <f t="shared" si="23"/>
        <v>——</v>
      </c>
      <c r="I85" s="3366">
        <v>0.1</v>
      </c>
      <c r="J85" s="1064">
        <f t="shared" si="24"/>
        <v>0</v>
      </c>
      <c r="K85" s="1064">
        <f t="shared" si="25"/>
        <v>0</v>
      </c>
      <c r="L85" s="1064">
        <v>0</v>
      </c>
      <c r="M85" s="1064">
        <f t="shared" si="26"/>
        <v>0</v>
      </c>
      <c r="N85" s="1064">
        <f t="shared" si="26"/>
        <v>0</v>
      </c>
      <c r="Z85" s="1997"/>
      <c r="AA85" s="2052"/>
      <c r="AG85" s="1121"/>
      <c r="AK85" s="2052"/>
    </row>
    <row r="86" spans="1:37" ht="14.25">
      <c r="A86" s="2129" t="s">
        <v>2067</v>
      </c>
      <c r="B86" s="2133">
        <f>估价对象房地状况!G22</f>
        <v>0</v>
      </c>
      <c r="C86" s="2043"/>
      <c r="D86" s="1065">
        <f t="shared" si="22"/>
        <v>0</v>
      </c>
      <c r="E86" s="747"/>
      <c r="F86" s="1813"/>
      <c r="G86" s="1063"/>
      <c r="H86" s="1066" t="str">
        <f t="shared" si="23"/>
        <v>——</v>
      </c>
      <c r="I86" s="3366">
        <v>0.05</v>
      </c>
      <c r="J86" s="1064">
        <f t="shared" si="24"/>
        <v>0</v>
      </c>
      <c r="K86" s="1064">
        <f t="shared" si="25"/>
        <v>0</v>
      </c>
      <c r="L86" s="1064">
        <v>0</v>
      </c>
      <c r="M86" s="1064">
        <f t="shared" si="26"/>
        <v>0</v>
      </c>
      <c r="N86" s="1064">
        <f t="shared" si="26"/>
        <v>0</v>
      </c>
      <c r="Z86" s="1997"/>
      <c r="AA86" s="2052"/>
      <c r="AG86" s="1121"/>
      <c r="AK86" s="2052"/>
    </row>
    <row r="87" spans="1:37" ht="25.5">
      <c r="A87" s="2129" t="s">
        <v>2059</v>
      </c>
      <c r="B87" s="1325" t="str">
        <f>估价对象房地状况!G19</f>
        <v>估价对象所在区域公共配套设施齐备情况</v>
      </c>
      <c r="C87" s="2043"/>
      <c r="D87" s="1065">
        <f t="shared" si="22"/>
        <v>0</v>
      </c>
      <c r="E87" s="747"/>
      <c r="F87" s="1813"/>
      <c r="G87" s="1063"/>
      <c r="H87" s="1066" t="str">
        <f t="shared" si="23"/>
        <v>——</v>
      </c>
      <c r="I87" s="3366">
        <v>0.06</v>
      </c>
      <c r="J87" s="1064">
        <f t="shared" si="24"/>
        <v>0</v>
      </c>
      <c r="K87" s="1064">
        <f t="shared" si="25"/>
        <v>0</v>
      </c>
      <c r="L87" s="1064">
        <v>0</v>
      </c>
      <c r="M87" s="1064">
        <f t="shared" si="26"/>
        <v>0</v>
      </c>
      <c r="N87" s="1064">
        <f t="shared" si="26"/>
        <v>0</v>
      </c>
    </row>
    <row r="88" spans="1:37" ht="25.5">
      <c r="A88" s="2129" t="s">
        <v>2060</v>
      </c>
      <c r="B88" s="1325" t="str">
        <f>估价对象房地状况!G20</f>
        <v>估价对象所在区域基础设施水平</v>
      </c>
      <c r="C88" s="2043"/>
      <c r="D88" s="1065">
        <f t="shared" si="22"/>
        <v>0</v>
      </c>
      <c r="E88" s="747"/>
      <c r="F88" s="1813"/>
      <c r="G88" s="1063"/>
      <c r="H88" s="1066" t="str">
        <f t="shared" si="23"/>
        <v>——</v>
      </c>
      <c r="I88" s="3366">
        <v>0.12</v>
      </c>
      <c r="J88" s="1064">
        <f t="shared" si="24"/>
        <v>0</v>
      </c>
      <c r="K88" s="1064">
        <f t="shared" si="25"/>
        <v>0</v>
      </c>
      <c r="L88" s="1064">
        <v>0</v>
      </c>
      <c r="M88" s="1064">
        <f t="shared" si="26"/>
        <v>0</v>
      </c>
      <c r="N88" s="1064">
        <f t="shared" si="26"/>
        <v>0</v>
      </c>
    </row>
    <row r="89" spans="1:37" ht="24">
      <c r="A89" s="2129" t="s">
        <v>2057</v>
      </c>
      <c r="B89" s="2135" t="s">
        <v>2071</v>
      </c>
      <c r="C89" s="2043"/>
      <c r="D89" s="1065">
        <f t="shared" si="22"/>
        <v>0</v>
      </c>
      <c r="E89" s="747"/>
      <c r="F89" s="1813"/>
      <c r="G89" s="1063"/>
      <c r="H89" s="1066" t="str">
        <f t="shared" si="23"/>
        <v>——</v>
      </c>
      <c r="I89" s="3366">
        <v>0.06</v>
      </c>
      <c r="J89" s="1064">
        <f t="shared" si="24"/>
        <v>0</v>
      </c>
      <c r="K89" s="1064">
        <f t="shared" si="25"/>
        <v>0</v>
      </c>
      <c r="L89" s="1064">
        <v>0</v>
      </c>
      <c r="M89" s="1064">
        <f t="shared" si="26"/>
        <v>0</v>
      </c>
      <c r="N89" s="1064">
        <f t="shared" si="26"/>
        <v>0</v>
      </c>
    </row>
    <row r="90" spans="1:37" ht="39" thickBot="1">
      <c r="A90" s="2137" t="s">
        <v>2072</v>
      </c>
      <c r="B90" s="2142" t="str">
        <f>估价对象房地状况!G18</f>
        <v>该园区内是否有污染型企业，绿化情况，卫生条件，整体环境状况判断</v>
      </c>
      <c r="C90" s="2043"/>
      <c r="D90" s="1065">
        <f t="shared" si="22"/>
        <v>0</v>
      </c>
      <c r="E90" s="748"/>
      <c r="F90" s="1813"/>
      <c r="G90" s="1063"/>
      <c r="H90" s="1066" t="str">
        <f t="shared" si="23"/>
        <v>——</v>
      </c>
      <c r="I90" s="3367">
        <v>0.05</v>
      </c>
      <c r="J90" s="1064">
        <f t="shared" si="24"/>
        <v>0</v>
      </c>
      <c r="K90" s="1064">
        <f t="shared" si="25"/>
        <v>0</v>
      </c>
      <c r="L90" s="1064">
        <v>0</v>
      </c>
      <c r="M90" s="1064">
        <f t="shared" si="26"/>
        <v>0</v>
      </c>
      <c r="N90" s="1064">
        <f t="shared" si="26"/>
        <v>0</v>
      </c>
    </row>
    <row r="91" spans="1:37" ht="15">
      <c r="A91" s="3376" t="s">
        <v>2615</v>
      </c>
      <c r="B91" s="3377">
        <f>1+E93</f>
        <v>1</v>
      </c>
      <c r="C91" s="3370"/>
      <c r="D91" s="3371"/>
      <c r="E91" s="1813"/>
      <c r="F91" s="1813"/>
      <c r="G91" s="3372"/>
      <c r="H91" s="3373"/>
      <c r="I91" s="3374"/>
      <c r="J91" s="3375"/>
      <c r="K91" s="3375"/>
      <c r="L91" s="3375"/>
      <c r="M91" s="3375"/>
      <c r="N91" s="3375"/>
    </row>
    <row r="92" spans="1:37" ht="24.75">
      <c r="A92" s="3378" t="s">
        <v>3276</v>
      </c>
      <c r="B92" s="3365"/>
      <c r="C92" s="3365" t="s">
        <v>3285</v>
      </c>
      <c r="D92" s="3365" t="s">
        <v>3286</v>
      </c>
      <c r="E92" s="3347" t="s">
        <v>3287</v>
      </c>
      <c r="F92" s="3380" t="s">
        <v>3288</v>
      </c>
      <c r="G92" s="3365" t="s">
        <v>3289</v>
      </c>
      <c r="H92" s="3387" t="s">
        <v>3292</v>
      </c>
      <c r="I92" s="3365" t="s">
        <v>3293</v>
      </c>
      <c r="J92" s="3388" t="s">
        <v>3294</v>
      </c>
      <c r="K92" s="3388" t="s">
        <v>3295</v>
      </c>
      <c r="L92" s="3388" t="s">
        <v>3296</v>
      </c>
      <c r="M92" s="3388" t="s">
        <v>3297</v>
      </c>
      <c r="N92" s="3388" t="s">
        <v>3298</v>
      </c>
    </row>
    <row r="93" spans="1:37" ht="24">
      <c r="A93" s="3368" t="s">
        <v>3277</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3278</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3274</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3279</v>
      </c>
      <c r="B96" s="3384" t="s">
        <v>3290</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3280</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3281</v>
      </c>
      <c r="B98" s="3385" t="s">
        <v>3291</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3282</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3283</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3284</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806" t="s">
        <v>3299</v>
      </c>
      <c r="B103" s="3806"/>
      <c r="C103" s="3806"/>
      <c r="D103" s="3806"/>
      <c r="E103" s="3806"/>
      <c r="F103" s="3806"/>
      <c r="G103" s="3806"/>
      <c r="H103" s="3806"/>
      <c r="I103" s="3806"/>
      <c r="J103" s="3806"/>
      <c r="K103" s="3389"/>
      <c r="L103" s="3389"/>
      <c r="M103" s="3389"/>
      <c r="N103" s="3389"/>
    </row>
    <row r="104" spans="1:14">
      <c r="A104" s="3807" t="s">
        <v>3300</v>
      </c>
      <c r="B104" s="3807" t="s">
        <v>3301</v>
      </c>
      <c r="C104" s="3390" t="s">
        <v>3302</v>
      </c>
      <c r="D104" s="3391"/>
      <c r="E104" s="3391"/>
      <c r="F104" s="3391"/>
      <c r="G104" s="3391"/>
      <c r="H104" s="3391"/>
      <c r="I104" s="3391"/>
      <c r="J104" s="3392"/>
      <c r="K104" s="3393"/>
      <c r="L104" s="3393"/>
      <c r="M104" s="3393"/>
      <c r="N104" s="3393"/>
    </row>
    <row r="105" spans="1:14">
      <c r="A105" s="3807"/>
      <c r="B105" s="3807"/>
      <c r="C105" s="3394" t="s">
        <v>3303</v>
      </c>
      <c r="D105" s="3394" t="s">
        <v>3304</v>
      </c>
      <c r="E105" s="3394" t="s">
        <v>3305</v>
      </c>
      <c r="F105" s="3394" t="s">
        <v>3306</v>
      </c>
      <c r="G105" s="3394" t="s">
        <v>3307</v>
      </c>
      <c r="H105" s="3394" t="s">
        <v>3308</v>
      </c>
      <c r="I105" s="3394" t="s">
        <v>3309</v>
      </c>
      <c r="J105" s="3394" t="s">
        <v>3310</v>
      </c>
      <c r="K105" s="3394" t="s">
        <v>3311</v>
      </c>
      <c r="L105" s="3394" t="s">
        <v>3312</v>
      </c>
      <c r="M105" s="3394" t="s">
        <v>3313</v>
      </c>
      <c r="N105" s="3394" t="s">
        <v>3314</v>
      </c>
    </row>
    <row r="106" spans="1:14">
      <c r="A106" s="3793" t="s">
        <v>3315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94"/>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94"/>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94"/>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94"/>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94"/>
      <c r="B111" s="3394" t="s">
        <v>3273</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95"/>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96" t="s">
        <v>3316</v>
      </c>
      <c r="B113" s="3796"/>
      <c r="C113" s="3796"/>
      <c r="D113" s="3796"/>
      <c r="E113" s="3796"/>
      <c r="F113" s="3796"/>
      <c r="G113" s="3796"/>
      <c r="H113" s="3796"/>
      <c r="I113" s="3796"/>
      <c r="J113" s="3796"/>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3317</v>
      </c>
      <c r="B116" s="3415">
        <f>G3</f>
        <v>0</v>
      </c>
      <c r="C116" s="3399" t="s">
        <v>3318</v>
      </c>
      <c r="D116" s="3400">
        <f>SUMPRODUCT((A118:A122=F116)*(B117:M117=H116)*B118:M122)</f>
        <v>0</v>
      </c>
      <c r="E116" s="1999" t="s">
        <v>3319</v>
      </c>
      <c r="F116" s="3401" t="str">
        <f>E2</f>
        <v>住宅</v>
      </c>
      <c r="G116" s="1999" t="s">
        <v>3320</v>
      </c>
      <c r="H116" s="3401">
        <f>G2</f>
        <v>0</v>
      </c>
      <c r="I116" s="1999"/>
      <c r="J116" s="3402"/>
      <c r="K116" s="3402"/>
      <c r="L116" s="3402"/>
      <c r="M116" s="3402"/>
      <c r="N116" s="3397"/>
    </row>
    <row r="117" spans="1:14">
      <c r="A117" s="3403"/>
      <c r="B117" s="3404" t="s">
        <v>3321</v>
      </c>
      <c r="C117" s="3404" t="s">
        <v>3322</v>
      </c>
      <c r="D117" s="3404" t="s">
        <v>3323</v>
      </c>
      <c r="E117" s="3405" t="s">
        <v>3324</v>
      </c>
      <c r="F117" s="3405" t="s">
        <v>3325</v>
      </c>
      <c r="G117" s="3405" t="s">
        <v>3326</v>
      </c>
      <c r="H117" s="3406" t="s">
        <v>3327</v>
      </c>
      <c r="I117" s="3406" t="s">
        <v>3328</v>
      </c>
      <c r="J117" s="3407" t="s">
        <v>3329</v>
      </c>
      <c r="K117" s="3407" t="s">
        <v>3330</v>
      </c>
      <c r="L117" s="3407" t="s">
        <v>3331</v>
      </c>
      <c r="M117" s="3408" t="s">
        <v>3332</v>
      </c>
      <c r="N117" s="3397"/>
    </row>
    <row r="118" spans="1:14">
      <c r="A118" s="3409" t="s">
        <v>3333</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3334</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3335</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3336</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2615</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700-000000000000}">
      <formula1>"500米范围内,500-1000米,1000米以外"</formula1>
    </dataValidation>
    <dataValidation type="list" allowBlank="1" showInputMessage="1" showErrorMessage="1" sqref="C15:D15" xr:uid="{00000000-0002-0000-2700-000001000000}">
      <formula1>"有,无"</formula1>
    </dataValidation>
    <dataValidation type="list" allowBlank="1" showInputMessage="1" showErrorMessage="1" sqref="B25" xr:uid="{00000000-0002-0000-2700-000002000000}">
      <formula1>"容积率修正,楼层修正"</formula1>
    </dataValidation>
    <dataValidation type="list" allowBlank="1" showInputMessage="1" showErrorMessage="1" sqref="F21" xr:uid="{00000000-0002-0000-2700-000003000000}">
      <formula1>"与级别开发程度一致,与级别开发程度不一致"</formula1>
    </dataValidation>
    <dataValidation type="list" allowBlank="1" showInputMessage="1" showErrorMessage="1" sqref="E2" xr:uid="{00000000-0002-0000-2700-000004000000}">
      <formula1>"商业,办公,住宅,工业,公共服务"</formula1>
    </dataValidation>
    <dataValidation type="list" allowBlank="1" showInputMessage="1" showErrorMessage="1" sqref="F3" xr:uid="{00000000-0002-0000-2700-000005000000}">
      <formula1>"宗地容积率,估价对象容积率,自定义容积率"</formula1>
    </dataValidation>
    <dataValidation type="list" allowBlank="1" showInputMessage="1" showErrorMessage="1" sqref="C8" xr:uid="{00000000-0002-0000-2700-000006000000}">
      <formula1>商业街名称</formula1>
    </dataValidation>
    <dataValidation type="list" allowBlank="1" showInputMessage="1" showErrorMessage="1" sqref="E3" xr:uid="{00000000-0002-0000-2700-000007000000}">
      <formula1>二级分类</formula1>
    </dataValidation>
    <dataValidation type="list" allowBlank="1" showInputMessage="1" showErrorMessage="1" sqref="C61:C69 C72:C80 C50:C58 C83:C91 C93:C101" xr:uid="{00000000-0002-0000-2700-000008000000}">
      <formula1>五等判定</formula1>
    </dataValidation>
    <dataValidation type="list" allowBlank="1" showInputMessage="1" showErrorMessage="1" sqref="H23" xr:uid="{00000000-0002-0000-2700-000009000000}">
      <formula1>"地价指数,季度增幅（自定义）,按公示增长率计算"</formula1>
    </dataValidation>
    <dataValidation type="list" allowBlank="1" showInputMessage="1" showErrorMessage="1" sqref="H20:O20" xr:uid="{00000000-0002-0000-2700-00000A000000}">
      <formula1>七通一平</formula1>
    </dataValidation>
    <dataValidation type="list" allowBlank="1" showInputMessage="1" showErrorMessage="1" sqref="J23" xr:uid="{00000000-0002-0000-27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819" t="s">
        <v>2610</v>
      </c>
      <c r="B20" s="3812" t="s">
        <v>2631</v>
      </c>
      <c r="C20" s="3102" t="s">
        <v>2442</v>
      </c>
      <c r="D20" s="3103"/>
      <c r="E20" s="3104">
        <v>1</v>
      </c>
      <c r="F20" s="3105" t="s">
        <v>2443</v>
      </c>
      <c r="G20" s="3105"/>
    </row>
    <row r="21" spans="1:13" ht="19.5" customHeight="1">
      <c r="A21" s="3820"/>
      <c r="B21" s="3813"/>
      <c r="C21" s="3106" t="s">
        <v>2444</v>
      </c>
      <c r="D21" s="3107"/>
      <c r="E21" s="3108">
        <v>1</v>
      </c>
      <c r="F21" s="3105" t="s">
        <v>2445</v>
      </c>
      <c r="G21" s="3105"/>
    </row>
    <row r="22" spans="1:13" ht="19.5" customHeight="1">
      <c r="A22" s="3820"/>
      <c r="B22" s="3813"/>
      <c r="C22" s="3106" t="s">
        <v>2446</v>
      </c>
      <c r="D22" s="3107"/>
      <c r="E22" s="3108">
        <v>0.9</v>
      </c>
      <c r="F22" s="3105" t="s">
        <v>2447</v>
      </c>
      <c r="G22" s="3105"/>
    </row>
    <row r="23" spans="1:13" ht="19.5" customHeight="1">
      <c r="A23" s="3820"/>
      <c r="B23" s="3813"/>
      <c r="C23" s="3106" t="s">
        <v>2448</v>
      </c>
      <c r="D23" s="3107"/>
      <c r="E23" s="3108">
        <v>0.9</v>
      </c>
      <c r="F23" s="3105" t="s">
        <v>2449</v>
      </c>
      <c r="G23" s="3105"/>
    </row>
    <row r="24" spans="1:13" ht="19.5" customHeight="1">
      <c r="A24" s="3820"/>
      <c r="B24" s="3813"/>
      <c r="C24" s="3106" t="s">
        <v>2450</v>
      </c>
      <c r="D24" s="3107"/>
      <c r="E24" s="3108">
        <v>0.8</v>
      </c>
      <c r="F24" s="3105" t="s">
        <v>2451</v>
      </c>
      <c r="G24" s="3105"/>
    </row>
    <row r="25" spans="1:13" ht="19.5" customHeight="1" thickBot="1">
      <c r="A25" s="3821"/>
      <c r="B25" s="3814"/>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815" t="s">
        <v>2634</v>
      </c>
      <c r="B27" s="3812" t="s">
        <v>2615</v>
      </c>
      <c r="C27" s="3102" t="s">
        <v>2455</v>
      </c>
      <c r="D27" s="3103"/>
      <c r="E27" s="3104">
        <v>1</v>
      </c>
      <c r="F27" s="3105" t="s">
        <v>2456</v>
      </c>
      <c r="G27" s="3105"/>
    </row>
    <row r="28" spans="1:13" ht="19.5" customHeight="1">
      <c r="A28" s="3816"/>
      <c r="B28" s="3813"/>
      <c r="C28" s="3106" t="s">
        <v>2457</v>
      </c>
      <c r="D28" s="3107"/>
      <c r="E28" s="3108">
        <v>1</v>
      </c>
      <c r="F28" s="3105" t="s">
        <v>2458</v>
      </c>
      <c r="G28" s="3105"/>
    </row>
    <row r="29" spans="1:13" ht="19.5" customHeight="1">
      <c r="A29" s="3816"/>
      <c r="B29" s="3813"/>
      <c r="C29" s="3106" t="s">
        <v>2459</v>
      </c>
      <c r="D29" s="3107"/>
      <c r="E29" s="3108">
        <v>0.8</v>
      </c>
      <c r="F29" s="3105" t="s">
        <v>2460</v>
      </c>
      <c r="G29" s="3105"/>
    </row>
    <row r="30" spans="1:13" ht="19.5" customHeight="1">
      <c r="A30" s="3816"/>
      <c r="B30" s="3813"/>
      <c r="C30" s="3106" t="s">
        <v>2461</v>
      </c>
      <c r="D30" s="3107"/>
      <c r="E30" s="3108">
        <v>0.8</v>
      </c>
      <c r="F30" s="3105" t="s">
        <v>2462</v>
      </c>
      <c r="G30" s="3105"/>
    </row>
    <row r="31" spans="1:13" ht="19.5" customHeight="1">
      <c r="A31" s="3816"/>
      <c r="B31" s="3813"/>
      <c r="C31" s="3106" t="s">
        <v>2463</v>
      </c>
      <c r="D31" s="3107"/>
      <c r="E31" s="3108">
        <v>0.8</v>
      </c>
      <c r="F31" s="3105" t="s">
        <v>2464</v>
      </c>
      <c r="G31" s="3105"/>
    </row>
    <row r="32" spans="1:13" ht="19.5" customHeight="1">
      <c r="A32" s="3816"/>
      <c r="B32" s="3813"/>
      <c r="C32" s="3106" t="s">
        <v>2465</v>
      </c>
      <c r="D32" s="3107"/>
      <c r="E32" s="3108">
        <v>0.7</v>
      </c>
      <c r="F32" s="3105" t="s">
        <v>2466</v>
      </c>
      <c r="G32" s="3105"/>
    </row>
    <row r="33" spans="1:7" ht="19.5" customHeight="1">
      <c r="A33" s="3816"/>
      <c r="B33" s="3813"/>
      <c r="C33" s="3106" t="s">
        <v>2467</v>
      </c>
      <c r="D33" s="3107"/>
      <c r="E33" s="3108">
        <v>0.8</v>
      </c>
      <c r="F33" s="3105" t="s">
        <v>2468</v>
      </c>
      <c r="G33" s="3105"/>
    </row>
    <row r="34" spans="1:7" ht="19.5" customHeight="1">
      <c r="A34" s="3816"/>
      <c r="B34" s="3813"/>
      <c r="C34" s="3106" t="s">
        <v>2469</v>
      </c>
      <c r="D34" s="3107"/>
      <c r="E34" s="3108">
        <v>0.6</v>
      </c>
      <c r="F34" s="3105" t="s">
        <v>2470</v>
      </c>
      <c r="G34" s="3105"/>
    </row>
    <row r="35" spans="1:7" ht="19.5" customHeight="1">
      <c r="A35" s="3816"/>
      <c r="B35" s="3813"/>
      <c r="C35" s="3106" t="s">
        <v>2471</v>
      </c>
      <c r="D35" s="3107"/>
      <c r="E35" s="3108">
        <v>0.2</v>
      </c>
      <c r="F35" s="3105" t="s">
        <v>2472</v>
      </c>
      <c r="G35" s="3105"/>
    </row>
    <row r="36" spans="1:7" ht="19.5" customHeight="1">
      <c r="A36" s="3816"/>
      <c r="B36" s="3813"/>
      <c r="C36" s="3106" t="s">
        <v>2473</v>
      </c>
      <c r="D36" s="3107"/>
      <c r="E36" s="3108">
        <v>0.2</v>
      </c>
      <c r="F36" s="3105" t="s">
        <v>2474</v>
      </c>
      <c r="G36" s="3105"/>
    </row>
    <row r="37" spans="1:7" ht="19.5" customHeight="1">
      <c r="A37" s="3816"/>
      <c r="B37" s="3818" t="s">
        <v>2635</v>
      </c>
      <c r="C37" s="3106" t="s">
        <v>2475</v>
      </c>
      <c r="D37" s="3107"/>
      <c r="E37" s="3108">
        <v>0.6</v>
      </c>
      <c r="F37" s="3105" t="s">
        <v>2476</v>
      </c>
      <c r="G37" s="3105"/>
    </row>
    <row r="38" spans="1:7" ht="19.5" customHeight="1">
      <c r="A38" s="3816"/>
      <c r="B38" s="3813"/>
      <c r="C38" s="3106" t="s">
        <v>2477</v>
      </c>
      <c r="D38" s="3107"/>
      <c r="E38" s="3108">
        <v>0.6</v>
      </c>
      <c r="F38" s="3105" t="s">
        <v>2478</v>
      </c>
      <c r="G38" s="3105"/>
    </row>
    <row r="39" spans="1:7" ht="19.5" customHeight="1" thickBot="1">
      <c r="A39" s="3817"/>
      <c r="B39" s="3814"/>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819" t="s">
        <v>2613</v>
      </c>
      <c r="B41" s="3812" t="s">
        <v>2637</v>
      </c>
      <c r="C41" s="3102" t="s">
        <v>2482</v>
      </c>
      <c r="D41" s="3103"/>
      <c r="E41" s="3104">
        <v>1</v>
      </c>
      <c r="F41" s="3105" t="s">
        <v>2483</v>
      </c>
      <c r="G41" s="3105"/>
    </row>
    <row r="42" spans="1:7" ht="19.5" customHeight="1">
      <c r="A42" s="3820"/>
      <c r="B42" s="3813"/>
      <c r="C42" s="3106" t="s">
        <v>2484</v>
      </c>
      <c r="D42" s="3107"/>
      <c r="E42" s="3108">
        <v>1</v>
      </c>
      <c r="F42" s="3105" t="s">
        <v>2485</v>
      </c>
      <c r="G42" s="3105"/>
    </row>
    <row r="43" spans="1:7" ht="19.5" customHeight="1">
      <c r="A43" s="3820"/>
      <c r="B43" s="3822"/>
      <c r="C43" s="3106" t="s">
        <v>2486</v>
      </c>
      <c r="D43" s="3107"/>
      <c r="E43" s="3108">
        <v>1.5</v>
      </c>
      <c r="F43" s="3105" t="s">
        <v>2487</v>
      </c>
      <c r="G43" s="3105"/>
    </row>
    <row r="44" spans="1:7" ht="19.5" customHeight="1">
      <c r="A44" s="3820"/>
      <c r="B44" s="3117" t="s">
        <v>2638</v>
      </c>
      <c r="C44" s="3106" t="s">
        <v>2639</v>
      </c>
      <c r="D44" s="3107"/>
      <c r="E44" s="3108">
        <v>2</v>
      </c>
      <c r="F44" s="3105" t="s">
        <v>2488</v>
      </c>
      <c r="G44" s="3105"/>
    </row>
    <row r="45" spans="1:7" ht="19.5" customHeight="1">
      <c r="A45" s="3820"/>
      <c r="B45" s="3818" t="s">
        <v>2640</v>
      </c>
      <c r="C45" s="3106" t="s">
        <v>2489</v>
      </c>
      <c r="D45" s="3107"/>
      <c r="E45" s="3108">
        <v>1</v>
      </c>
      <c r="F45" s="3105" t="s">
        <v>2490</v>
      </c>
      <c r="G45" s="3105"/>
    </row>
    <row r="46" spans="1:7" ht="19.5" customHeight="1">
      <c r="A46" s="3820"/>
      <c r="B46" s="3813"/>
      <c r="C46" s="3106" t="s">
        <v>2491</v>
      </c>
      <c r="D46" s="3107"/>
      <c r="E46" s="3108">
        <v>1</v>
      </c>
      <c r="F46" s="3105" t="s">
        <v>2492</v>
      </c>
      <c r="G46" s="3105"/>
    </row>
    <row r="47" spans="1:7" ht="19.5" customHeight="1">
      <c r="A47" s="3820"/>
      <c r="B47" s="3813"/>
      <c r="C47" s="3106" t="s">
        <v>2493</v>
      </c>
      <c r="D47" s="3107"/>
      <c r="E47" s="3108">
        <v>1</v>
      </c>
      <c r="F47" s="3105" t="s">
        <v>2494</v>
      </c>
      <c r="G47" s="3105"/>
    </row>
    <row r="48" spans="1:7" ht="19.5" customHeight="1">
      <c r="A48" s="3820"/>
      <c r="B48" s="3813"/>
      <c r="C48" s="3106" t="s">
        <v>2495</v>
      </c>
      <c r="D48" s="3107"/>
      <c r="E48" s="3108">
        <v>1</v>
      </c>
      <c r="F48" s="3105" t="s">
        <v>2496</v>
      </c>
      <c r="G48" s="3105"/>
    </row>
    <row r="49" spans="1:7" ht="19.5" customHeight="1">
      <c r="A49" s="3820"/>
      <c r="B49" s="3813"/>
      <c r="C49" s="3106" t="s">
        <v>2497</v>
      </c>
      <c r="D49" s="3107"/>
      <c r="E49" s="3108">
        <v>1</v>
      </c>
      <c r="F49" s="3105" t="s">
        <v>2498</v>
      </c>
      <c r="G49" s="3105"/>
    </row>
    <row r="50" spans="1:7" ht="19.5" customHeight="1">
      <c r="A50" s="3820"/>
      <c r="B50" s="3813"/>
      <c r="C50" s="3106" t="s">
        <v>2499</v>
      </c>
      <c r="D50" s="3107"/>
      <c r="E50" s="3108">
        <v>1</v>
      </c>
      <c r="F50" s="3105" t="s">
        <v>2500</v>
      </c>
      <c r="G50" s="3105"/>
    </row>
    <row r="51" spans="1:7" ht="19.5" customHeight="1" thickBot="1">
      <c r="A51" s="3821"/>
      <c r="B51" s="3814"/>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818" t="s">
        <v>2654</v>
      </c>
      <c r="C73" s="3091" t="s">
        <v>2655</v>
      </c>
      <c r="D73" s="3091" t="s">
        <v>2656</v>
      </c>
      <c r="E73" s="3117">
        <v>0.2</v>
      </c>
      <c r="F73" s="3117">
        <v>25</v>
      </c>
    </row>
    <row r="74" spans="1:7" ht="24">
      <c r="A74" s="3117">
        <v>2</v>
      </c>
      <c r="B74" s="3813"/>
      <c r="C74" s="3091" t="s">
        <v>2657</v>
      </c>
      <c r="D74" s="3091" t="s">
        <v>2658</v>
      </c>
      <c r="E74" s="3117">
        <v>0.2</v>
      </c>
      <c r="F74" s="3117">
        <v>25</v>
      </c>
    </row>
    <row r="75" spans="1:7" ht="24">
      <c r="A75" s="3117">
        <v>3</v>
      </c>
      <c r="B75" s="3813"/>
      <c r="C75" s="3091" t="s">
        <v>2659</v>
      </c>
      <c r="D75" s="3091" t="s">
        <v>2660</v>
      </c>
      <c r="E75" s="3117">
        <v>0.2</v>
      </c>
      <c r="F75" s="3117">
        <v>25</v>
      </c>
    </row>
    <row r="76" spans="1:7" ht="13.5">
      <c r="A76" s="3117">
        <v>4</v>
      </c>
      <c r="B76" s="3813"/>
      <c r="C76" s="3091" t="s">
        <v>2661</v>
      </c>
      <c r="D76" s="3091" t="s">
        <v>2662</v>
      </c>
      <c r="E76" s="3117">
        <v>0.15</v>
      </c>
      <c r="F76" s="3117">
        <v>20</v>
      </c>
    </row>
    <row r="77" spans="1:7" ht="24">
      <c r="A77" s="3117">
        <v>5</v>
      </c>
      <c r="B77" s="3813"/>
      <c r="C77" s="3091" t="s">
        <v>2663</v>
      </c>
      <c r="D77" s="3091" t="s">
        <v>2664</v>
      </c>
      <c r="E77" s="3117">
        <v>0.15</v>
      </c>
      <c r="F77" s="3117">
        <v>20</v>
      </c>
    </row>
    <row r="78" spans="1:7" ht="24">
      <c r="A78" s="3117">
        <v>6</v>
      </c>
      <c r="B78" s="3813"/>
      <c r="C78" s="3091" t="s">
        <v>2665</v>
      </c>
      <c r="D78" s="3091" t="s">
        <v>2666</v>
      </c>
      <c r="E78" s="3117">
        <v>0.15</v>
      </c>
      <c r="F78" s="3117">
        <v>20</v>
      </c>
    </row>
    <row r="79" spans="1:7" ht="24">
      <c r="A79" s="3117">
        <v>7</v>
      </c>
      <c r="B79" s="3813"/>
      <c r="C79" s="3091" t="s">
        <v>2667</v>
      </c>
      <c r="D79" s="3091" t="s">
        <v>2668</v>
      </c>
      <c r="E79" s="3117">
        <v>0.15</v>
      </c>
      <c r="F79" s="3117">
        <v>20</v>
      </c>
    </row>
    <row r="80" spans="1:7" ht="24">
      <c r="A80" s="3117">
        <v>8</v>
      </c>
      <c r="B80" s="3813"/>
      <c r="C80" s="3091" t="s">
        <v>2669</v>
      </c>
      <c r="D80" s="3091" t="s">
        <v>2670</v>
      </c>
      <c r="E80" s="3117">
        <v>0.1</v>
      </c>
      <c r="F80" s="3117">
        <v>15</v>
      </c>
    </row>
    <row r="81" spans="1:6" ht="24">
      <c r="A81" s="3117">
        <v>9</v>
      </c>
      <c r="B81" s="3813"/>
      <c r="C81" s="3091" t="s">
        <v>2671</v>
      </c>
      <c r="D81" s="3091" t="s">
        <v>2672</v>
      </c>
      <c r="E81" s="3117">
        <v>0.1</v>
      </c>
      <c r="F81" s="3117">
        <v>15</v>
      </c>
    </row>
    <row r="82" spans="1:6" ht="24">
      <c r="A82" s="3117">
        <v>10</v>
      </c>
      <c r="B82" s="3813"/>
      <c r="C82" s="3091" t="s">
        <v>2673</v>
      </c>
      <c r="D82" s="3091" t="s">
        <v>2674</v>
      </c>
      <c r="E82" s="3117">
        <v>0.1</v>
      </c>
      <c r="F82" s="3117">
        <v>15</v>
      </c>
    </row>
    <row r="83" spans="1:6" ht="24">
      <c r="A83" s="3117">
        <v>11</v>
      </c>
      <c r="B83" s="3813"/>
      <c r="C83" s="3091" t="s">
        <v>2675</v>
      </c>
      <c r="D83" s="3091" t="s">
        <v>2676</v>
      </c>
      <c r="E83" s="3117">
        <v>0.1</v>
      </c>
      <c r="F83" s="3117">
        <v>15</v>
      </c>
    </row>
    <row r="84" spans="1:6" ht="24">
      <c r="A84" s="3117">
        <v>12</v>
      </c>
      <c r="B84" s="3813"/>
      <c r="C84" s="3091" t="s">
        <v>2677</v>
      </c>
      <c r="D84" s="3091" t="s">
        <v>2678</v>
      </c>
      <c r="E84" s="3117">
        <v>0.1</v>
      </c>
      <c r="F84" s="3117">
        <v>15</v>
      </c>
    </row>
    <row r="85" spans="1:6" ht="13.5">
      <c r="A85" s="3117">
        <v>13</v>
      </c>
      <c r="B85" s="3813"/>
      <c r="C85" s="3091" t="s">
        <v>2679</v>
      </c>
      <c r="D85" s="3091" t="s">
        <v>2680</v>
      </c>
      <c r="E85" s="3117">
        <v>0.1</v>
      </c>
      <c r="F85" s="3117">
        <v>15</v>
      </c>
    </row>
    <row r="86" spans="1:6" ht="13.5">
      <c r="A86" s="3117">
        <v>14</v>
      </c>
      <c r="B86" s="3813"/>
      <c r="C86" s="3091" t="s">
        <v>2681</v>
      </c>
      <c r="D86" s="3091" t="s">
        <v>2682</v>
      </c>
      <c r="E86" s="3117">
        <v>0.1</v>
      </c>
      <c r="F86" s="3117">
        <v>15</v>
      </c>
    </row>
    <row r="87" spans="1:6" ht="13.5">
      <c r="A87" s="3117">
        <v>15</v>
      </c>
      <c r="B87" s="3813"/>
      <c r="C87" s="3091" t="s">
        <v>2683</v>
      </c>
      <c r="D87" s="3091" t="s">
        <v>2684</v>
      </c>
      <c r="E87" s="3117">
        <v>0.1</v>
      </c>
      <c r="F87" s="3117">
        <v>15</v>
      </c>
    </row>
    <row r="88" spans="1:6" ht="24">
      <c r="A88" s="3117">
        <v>16</v>
      </c>
      <c r="B88" s="3813"/>
      <c r="C88" s="3091" t="s">
        <v>2685</v>
      </c>
      <c r="D88" s="3091" t="s">
        <v>2686</v>
      </c>
      <c r="E88" s="3117">
        <v>0.1</v>
      </c>
      <c r="F88" s="3117">
        <v>15</v>
      </c>
    </row>
    <row r="89" spans="1:6" ht="24">
      <c r="A89" s="3117">
        <v>17</v>
      </c>
      <c r="B89" s="3822"/>
      <c r="C89" s="3091" t="s">
        <v>2687</v>
      </c>
      <c r="D89" s="3091" t="s">
        <v>2688</v>
      </c>
      <c r="E89" s="3117">
        <v>0.1</v>
      </c>
      <c r="F89" s="3117">
        <v>15</v>
      </c>
    </row>
    <row r="90" spans="1:6" ht="13.5">
      <c r="A90" s="3117">
        <v>18</v>
      </c>
      <c r="B90" s="3818" t="s">
        <v>2689</v>
      </c>
      <c r="C90" s="3091" t="s">
        <v>2690</v>
      </c>
      <c r="D90" s="3091" t="s">
        <v>2691</v>
      </c>
      <c r="E90" s="3117">
        <v>0.2</v>
      </c>
      <c r="F90" s="3117">
        <v>25</v>
      </c>
    </row>
    <row r="91" spans="1:6" ht="24">
      <c r="A91" s="3117">
        <v>19</v>
      </c>
      <c r="B91" s="3813"/>
      <c r="C91" s="3091" t="s">
        <v>2692</v>
      </c>
      <c r="D91" s="3091" t="s">
        <v>2693</v>
      </c>
      <c r="E91" s="3117">
        <v>0.2</v>
      </c>
      <c r="F91" s="3117">
        <v>25</v>
      </c>
    </row>
    <row r="92" spans="1:6" ht="13.5">
      <c r="A92" s="3117">
        <v>20</v>
      </c>
      <c r="B92" s="3813"/>
      <c r="C92" s="3091" t="s">
        <v>2694</v>
      </c>
      <c r="D92" s="3091" t="s">
        <v>2695</v>
      </c>
      <c r="E92" s="3117">
        <v>0.15</v>
      </c>
      <c r="F92" s="3117">
        <v>20</v>
      </c>
    </row>
    <row r="93" spans="1:6" ht="13.5">
      <c r="A93" s="3117">
        <v>21</v>
      </c>
      <c r="B93" s="3813"/>
      <c r="C93" s="3091" t="s">
        <v>2696</v>
      </c>
      <c r="D93" s="3091" t="s">
        <v>2697</v>
      </c>
      <c r="E93" s="3117">
        <v>0.15</v>
      </c>
      <c r="F93" s="3117">
        <v>20</v>
      </c>
    </row>
    <row r="94" spans="1:6" ht="13.5">
      <c r="A94" s="3117">
        <v>22</v>
      </c>
      <c r="B94" s="3813"/>
      <c r="C94" s="3091" t="s">
        <v>2698</v>
      </c>
      <c r="D94" s="3091" t="s">
        <v>2699</v>
      </c>
      <c r="E94" s="3117">
        <v>0.15</v>
      </c>
      <c r="F94" s="3117">
        <v>20</v>
      </c>
    </row>
    <row r="95" spans="1:6" ht="36">
      <c r="A95" s="3117">
        <v>23</v>
      </c>
      <c r="B95" s="3813"/>
      <c r="C95" s="3091" t="s">
        <v>2700</v>
      </c>
      <c r="D95" s="3091" t="s">
        <v>2701</v>
      </c>
      <c r="E95" s="3117">
        <v>0.15</v>
      </c>
      <c r="F95" s="3117">
        <v>20</v>
      </c>
    </row>
    <row r="96" spans="1:6" ht="13.5">
      <c r="A96" s="3117">
        <v>24</v>
      </c>
      <c r="B96" s="3813"/>
      <c r="C96" s="3091" t="s">
        <v>2702</v>
      </c>
      <c r="D96" s="3091" t="s">
        <v>2703</v>
      </c>
      <c r="E96" s="3117">
        <v>0.1</v>
      </c>
      <c r="F96" s="3117">
        <v>15</v>
      </c>
    </row>
    <row r="97" spans="1:6" ht="13.5">
      <c r="A97" s="3117">
        <v>25</v>
      </c>
      <c r="B97" s="3813"/>
      <c r="C97" s="3091" t="s">
        <v>2704</v>
      </c>
      <c r="D97" s="3091" t="s">
        <v>2705</v>
      </c>
      <c r="E97" s="3117">
        <v>0.1</v>
      </c>
      <c r="F97" s="3117">
        <v>15</v>
      </c>
    </row>
    <row r="98" spans="1:6" ht="24">
      <c r="A98" s="3117">
        <v>26</v>
      </c>
      <c r="B98" s="3813"/>
      <c r="C98" s="3091" t="s">
        <v>2706</v>
      </c>
      <c r="D98" s="3091" t="s">
        <v>2707</v>
      </c>
      <c r="E98" s="3117">
        <v>0.1</v>
      </c>
      <c r="F98" s="3117">
        <v>15</v>
      </c>
    </row>
    <row r="99" spans="1:6" ht="24">
      <c r="A99" s="3117">
        <v>27</v>
      </c>
      <c r="B99" s="3813"/>
      <c r="C99" s="3091" t="s">
        <v>2708</v>
      </c>
      <c r="D99" s="3091" t="s">
        <v>2709</v>
      </c>
      <c r="E99" s="3117">
        <v>0.1</v>
      </c>
      <c r="F99" s="3117">
        <v>15</v>
      </c>
    </row>
    <row r="100" spans="1:6" ht="13.5">
      <c r="A100" s="3117">
        <v>28</v>
      </c>
      <c r="B100" s="3813"/>
      <c r="C100" s="3091" t="s">
        <v>2710</v>
      </c>
      <c r="D100" s="3091" t="s">
        <v>2711</v>
      </c>
      <c r="E100" s="3117">
        <v>0.1</v>
      </c>
      <c r="F100" s="3117">
        <v>15</v>
      </c>
    </row>
    <row r="101" spans="1:6" ht="13.5">
      <c r="A101" s="3117">
        <v>29</v>
      </c>
      <c r="B101" s="3813"/>
      <c r="C101" s="3091" t="s">
        <v>2712</v>
      </c>
      <c r="D101" s="3091" t="s">
        <v>2713</v>
      </c>
      <c r="E101" s="3117">
        <v>0.1</v>
      </c>
      <c r="F101" s="3117">
        <v>15</v>
      </c>
    </row>
    <row r="102" spans="1:6" ht="13.5">
      <c r="A102" s="3117">
        <v>30</v>
      </c>
      <c r="B102" s="3813"/>
      <c r="C102" s="3091" t="s">
        <v>2714</v>
      </c>
      <c r="D102" s="3091" t="s">
        <v>2715</v>
      </c>
      <c r="E102" s="3117">
        <v>0.1</v>
      </c>
      <c r="F102" s="3117">
        <v>15</v>
      </c>
    </row>
    <row r="103" spans="1:6" ht="24">
      <c r="A103" s="3117">
        <v>31</v>
      </c>
      <c r="B103" s="3813"/>
      <c r="C103" s="3091" t="s">
        <v>2716</v>
      </c>
      <c r="D103" s="3091" t="s">
        <v>2717</v>
      </c>
      <c r="E103" s="3117">
        <v>0.1</v>
      </c>
      <c r="F103" s="3117">
        <v>15</v>
      </c>
    </row>
    <row r="104" spans="1:6" ht="24">
      <c r="A104" s="3117">
        <v>32</v>
      </c>
      <c r="B104" s="3813"/>
      <c r="C104" s="3091" t="s">
        <v>2718</v>
      </c>
      <c r="D104" s="3091" t="s">
        <v>2719</v>
      </c>
      <c r="E104" s="3117">
        <v>0.1</v>
      </c>
      <c r="F104" s="3117">
        <v>15</v>
      </c>
    </row>
    <row r="105" spans="1:6" ht="24">
      <c r="A105" s="3117">
        <v>33</v>
      </c>
      <c r="B105" s="3813"/>
      <c r="C105" s="3091" t="s">
        <v>2720</v>
      </c>
      <c r="D105" s="3091" t="s">
        <v>2721</v>
      </c>
      <c r="E105" s="3117">
        <v>0.1</v>
      </c>
      <c r="F105" s="3117">
        <v>15</v>
      </c>
    </row>
    <row r="106" spans="1:6" ht="24">
      <c r="A106" s="3117">
        <v>34</v>
      </c>
      <c r="B106" s="3822"/>
      <c r="C106" s="3091" t="s">
        <v>2722</v>
      </c>
      <c r="D106" s="3091" t="s">
        <v>2723</v>
      </c>
      <c r="E106" s="3117">
        <v>0.1</v>
      </c>
      <c r="F106" s="3117">
        <v>15</v>
      </c>
    </row>
    <row r="107" spans="1:6" ht="24">
      <c r="A107" s="3117">
        <v>35</v>
      </c>
      <c r="B107" s="3818" t="s">
        <v>2724</v>
      </c>
      <c r="C107" s="3117" t="s">
        <v>2725</v>
      </c>
      <c r="D107" s="3091" t="s">
        <v>2726</v>
      </c>
      <c r="E107" s="3117">
        <v>0.15</v>
      </c>
      <c r="F107" s="3117">
        <v>20</v>
      </c>
    </row>
    <row r="108" spans="1:6" ht="13.5">
      <c r="A108" s="3117">
        <v>36</v>
      </c>
      <c r="B108" s="3813"/>
      <c r="C108" s="3117" t="s">
        <v>2727</v>
      </c>
      <c r="D108" s="3091" t="s">
        <v>2728</v>
      </c>
      <c r="E108" s="3117">
        <v>0.15</v>
      </c>
      <c r="F108" s="3117">
        <v>20</v>
      </c>
    </row>
    <row r="109" spans="1:6" ht="13.5">
      <c r="A109" s="3117">
        <v>37</v>
      </c>
      <c r="B109" s="3813"/>
      <c r="C109" s="3117" t="s">
        <v>2729</v>
      </c>
      <c r="D109" s="3091" t="s">
        <v>2730</v>
      </c>
      <c r="E109" s="3117">
        <v>0.15</v>
      </c>
      <c r="F109" s="3117">
        <v>20</v>
      </c>
    </row>
    <row r="110" spans="1:6" ht="13.5">
      <c r="A110" s="3117">
        <v>38</v>
      </c>
      <c r="B110" s="3813"/>
      <c r="C110" s="3117" t="s">
        <v>2731</v>
      </c>
      <c r="D110" s="3091" t="s">
        <v>2732</v>
      </c>
      <c r="E110" s="3117">
        <v>0.1</v>
      </c>
      <c r="F110" s="3117">
        <v>15</v>
      </c>
    </row>
    <row r="111" spans="1:6" ht="24">
      <c r="A111" s="3117">
        <v>39</v>
      </c>
      <c r="B111" s="3813"/>
      <c r="C111" s="3117" t="s">
        <v>2733</v>
      </c>
      <c r="D111" s="3091" t="s">
        <v>2734</v>
      </c>
      <c r="E111" s="3117">
        <v>0.1</v>
      </c>
      <c r="F111" s="3117">
        <v>15</v>
      </c>
    </row>
    <row r="112" spans="1:6" ht="24">
      <c r="A112" s="3117">
        <v>40</v>
      </c>
      <c r="B112" s="3822"/>
      <c r="C112" s="3117" t="s">
        <v>2735</v>
      </c>
      <c r="D112" s="3091" t="s">
        <v>2736</v>
      </c>
      <c r="E112" s="3117">
        <v>0.1</v>
      </c>
      <c r="F112" s="3117">
        <v>15</v>
      </c>
    </row>
    <row r="113" spans="1:6" ht="13.5">
      <c r="A113" s="3117">
        <v>41</v>
      </c>
      <c r="B113" s="3823" t="s">
        <v>2737</v>
      </c>
      <c r="C113" s="3117" t="s">
        <v>2738</v>
      </c>
      <c r="D113" s="3091" t="s">
        <v>2739</v>
      </c>
      <c r="E113" s="3117">
        <v>0.1</v>
      </c>
      <c r="F113" s="3117">
        <v>15</v>
      </c>
    </row>
    <row r="114" spans="1:6" ht="13.5">
      <c r="A114" s="3117">
        <v>42</v>
      </c>
      <c r="B114" s="3823"/>
      <c r="C114" s="3117" t="s">
        <v>2740</v>
      </c>
      <c r="D114" s="3091" t="s">
        <v>2741</v>
      </c>
      <c r="E114" s="3117">
        <v>0.1</v>
      </c>
      <c r="F114" s="3117">
        <v>15</v>
      </c>
    </row>
    <row r="115" spans="1:6" ht="24">
      <c r="A115" s="3117">
        <v>43</v>
      </c>
      <c r="B115" s="3823"/>
      <c r="C115" s="3117" t="s">
        <v>2742</v>
      </c>
      <c r="D115" s="3091" t="s">
        <v>2743</v>
      </c>
      <c r="E115" s="3117">
        <v>0.1</v>
      </c>
      <c r="F115" s="3117">
        <v>15</v>
      </c>
    </row>
    <row r="116" spans="1:6" ht="13.5">
      <c r="A116" s="3117">
        <v>44</v>
      </c>
      <c r="B116" s="3818" t="s">
        <v>2744</v>
      </c>
      <c r="C116" s="3117" t="s">
        <v>2745</v>
      </c>
      <c r="D116" s="3091" t="s">
        <v>2746</v>
      </c>
      <c r="E116" s="3117">
        <v>0.1</v>
      </c>
      <c r="F116" s="3117">
        <v>15</v>
      </c>
    </row>
    <row r="117" spans="1:6" ht="24">
      <c r="A117" s="3117">
        <v>45</v>
      </c>
      <c r="B117" s="3822"/>
      <c r="C117" s="3091" t="s">
        <v>2747</v>
      </c>
      <c r="D117" s="3091" t="s">
        <v>2748</v>
      </c>
      <c r="E117" s="3117">
        <v>0.1</v>
      </c>
      <c r="F117" s="3117">
        <v>15</v>
      </c>
    </row>
    <row r="118" spans="1:6" ht="24">
      <c r="A118" s="3117">
        <v>46</v>
      </c>
      <c r="B118" s="3818" t="s">
        <v>2749</v>
      </c>
      <c r="C118" s="3117" t="s">
        <v>2750</v>
      </c>
      <c r="D118" s="3091" t="s">
        <v>2751</v>
      </c>
      <c r="E118" s="3117">
        <v>0.1</v>
      </c>
      <c r="F118" s="3117">
        <v>15</v>
      </c>
    </row>
    <row r="119" spans="1:6" ht="24">
      <c r="A119" s="3117">
        <v>47</v>
      </c>
      <c r="B119" s="3822"/>
      <c r="C119" s="3117" t="s">
        <v>2752</v>
      </c>
      <c r="D119" s="3091" t="s">
        <v>2753</v>
      </c>
      <c r="E119" s="3117">
        <v>0.1</v>
      </c>
      <c r="F119" s="3117">
        <v>15</v>
      </c>
    </row>
    <row r="120" spans="1:6" ht="13.5">
      <c r="A120" s="3117">
        <v>48</v>
      </c>
      <c r="B120" s="3818" t="s">
        <v>2754</v>
      </c>
      <c r="C120" s="3117" t="s">
        <v>2755</v>
      </c>
      <c r="D120" s="3091" t="s">
        <v>2756</v>
      </c>
      <c r="E120" s="3117">
        <v>0.1</v>
      </c>
      <c r="F120" s="3117">
        <v>15</v>
      </c>
    </row>
    <row r="121" spans="1:6" ht="13.5">
      <c r="A121" s="3117">
        <v>49</v>
      </c>
      <c r="B121" s="3822"/>
      <c r="C121" s="3117" t="s">
        <v>2757</v>
      </c>
      <c r="D121" s="3091" t="s">
        <v>2758</v>
      </c>
      <c r="E121" s="3117">
        <v>0.1</v>
      </c>
      <c r="F121" s="3117">
        <v>15</v>
      </c>
    </row>
    <row r="122" spans="1:6" ht="24">
      <c r="A122" s="3117">
        <v>50</v>
      </c>
      <c r="B122" s="3823" t="s">
        <v>2759</v>
      </c>
      <c r="C122" s="3117" t="s">
        <v>2760</v>
      </c>
      <c r="D122" s="3091" t="s">
        <v>2761</v>
      </c>
      <c r="E122" s="3117">
        <v>0.1</v>
      </c>
      <c r="F122" s="3117">
        <v>15</v>
      </c>
    </row>
    <row r="123" spans="1:6" ht="24">
      <c r="A123" s="3117">
        <v>51</v>
      </c>
      <c r="B123" s="3823"/>
      <c r="C123" s="3117" t="s">
        <v>2762</v>
      </c>
      <c r="D123" s="3091" t="s">
        <v>2763</v>
      </c>
      <c r="E123" s="3117">
        <v>0.1</v>
      </c>
      <c r="F123" s="3117">
        <v>15</v>
      </c>
    </row>
    <row r="124" spans="1:6" ht="24">
      <c r="A124" s="3117">
        <v>52</v>
      </c>
      <c r="B124" s="3823" t="s">
        <v>2764</v>
      </c>
      <c r="C124" s="3117" t="s">
        <v>2765</v>
      </c>
      <c r="D124" s="3091" t="s">
        <v>2766</v>
      </c>
      <c r="E124" s="3117">
        <v>0.1</v>
      </c>
      <c r="F124" s="3117">
        <v>15</v>
      </c>
    </row>
    <row r="125" spans="1:6" ht="24">
      <c r="A125" s="3117">
        <v>53</v>
      </c>
      <c r="B125" s="3823"/>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823" t="s">
        <v>2772</v>
      </c>
      <c r="C127" s="3117" t="s">
        <v>2773</v>
      </c>
      <c r="D127" s="3091" t="s">
        <v>2774</v>
      </c>
      <c r="E127" s="3117">
        <v>0.1</v>
      </c>
      <c r="F127" s="3117">
        <v>15</v>
      </c>
    </row>
    <row r="128" spans="1:6" ht="13.5">
      <c r="A128" s="3117">
        <v>56</v>
      </c>
      <c r="B128" s="3823"/>
      <c r="C128" s="3117" t="s">
        <v>2775</v>
      </c>
      <c r="D128" s="3091" t="s">
        <v>2776</v>
      </c>
      <c r="E128" s="3117">
        <v>0.1</v>
      </c>
      <c r="F128" s="3117">
        <v>15</v>
      </c>
    </row>
    <row r="129" spans="1:6" ht="24">
      <c r="A129" s="3117">
        <v>57</v>
      </c>
      <c r="B129" s="3823"/>
      <c r="C129" s="3117" t="s">
        <v>2777</v>
      </c>
      <c r="D129" s="3091" t="s">
        <v>2778</v>
      </c>
      <c r="E129" s="3117">
        <v>0.1</v>
      </c>
      <c r="F129" s="3117">
        <v>15</v>
      </c>
    </row>
    <row r="130" spans="1:6" ht="24">
      <c r="A130" s="3117">
        <v>58</v>
      </c>
      <c r="B130" s="3823" t="s">
        <v>2779</v>
      </c>
      <c r="C130" s="3117" t="s">
        <v>2780</v>
      </c>
      <c r="D130" s="3091" t="s">
        <v>2781</v>
      </c>
      <c r="E130" s="3117">
        <v>0.1</v>
      </c>
      <c r="F130" s="3117">
        <v>15</v>
      </c>
    </row>
    <row r="131" spans="1:6" ht="13.5">
      <c r="A131" s="3117">
        <v>59</v>
      </c>
      <c r="B131" s="3823"/>
      <c r="C131" s="3117" t="s">
        <v>2782</v>
      </c>
      <c r="D131" s="3091" t="s">
        <v>2783</v>
      </c>
      <c r="E131" s="3117">
        <v>0.1</v>
      </c>
      <c r="F131" s="3117">
        <v>15</v>
      </c>
    </row>
    <row r="132" spans="1:6" ht="13.5">
      <c r="A132" s="3117">
        <v>60</v>
      </c>
      <c r="B132" s="3818" t="s">
        <v>2784</v>
      </c>
      <c r="C132" s="3117" t="s">
        <v>2785</v>
      </c>
      <c r="D132" s="3091" t="s">
        <v>2786</v>
      </c>
      <c r="E132" s="3117">
        <v>0.1</v>
      </c>
      <c r="F132" s="3117">
        <v>15</v>
      </c>
    </row>
    <row r="133" spans="1:6" ht="13.5">
      <c r="A133" s="3117">
        <v>61</v>
      </c>
      <c r="B133" s="3822"/>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823" t="s">
        <v>2792</v>
      </c>
      <c r="C135" s="3117" t="s">
        <v>2793</v>
      </c>
      <c r="D135" s="3091" t="s">
        <v>2794</v>
      </c>
      <c r="E135" s="3117">
        <v>0.1</v>
      </c>
      <c r="F135" s="3117">
        <v>15</v>
      </c>
    </row>
    <row r="136" spans="1:6" ht="13.5">
      <c r="A136" s="3117">
        <v>64</v>
      </c>
      <c r="B136" s="3823"/>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30794</v>
      </c>
      <c r="C2" s="2" t="s">
        <v>106</v>
      </c>
      <c r="D2" s="199"/>
      <c r="E2" s="199"/>
      <c r="F2" s="199"/>
      <c r="G2" s="199"/>
    </row>
    <row r="3" spans="1:7" s="200" customFormat="1" ht="18" customHeight="1" thickBot="1">
      <c r="A3" s="203" t="s">
        <v>58</v>
      </c>
      <c r="B3" s="204">
        <f ca="1">ROUND(B2*10000/'数据-汇总表'!E3,0)</f>
        <v>886286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6</v>
      </c>
      <c r="D9" s="845">
        <f>'数据-汇总表'!E5</f>
        <v>347.45</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v>
      </c>
      <c r="D19" s="849">
        <f>'数据-汇总表'!E3</f>
        <v>347.45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1938</v>
      </c>
      <c r="D22" s="235">
        <f ca="1">C26</f>
        <v>8.9999999999999998E-4</v>
      </c>
      <c r="E22" s="236" t="s">
        <v>99</v>
      </c>
      <c r="F22" s="237">
        <f ca="1">'数据-取费表'!B40</f>
        <v>4.5499999999999999E-2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1918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4.75">
      <c r="A27" s="777" t="s">
        <v>342</v>
      </c>
      <c r="B27" s="244" t="s">
        <v>85</v>
      </c>
      <c r="C27" s="245">
        <f>C28</f>
        <v>5257</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5257</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30653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141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122</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6</v>
      </c>
      <c r="D36" s="220"/>
      <c r="E36" s="220"/>
      <c r="F36" s="259">
        <f>'数据-取费表'!B34</f>
        <v>0.05</v>
      </c>
      <c r="G36" s="260" t="s">
        <v>35</v>
      </c>
    </row>
    <row r="37" spans="1:7" s="258" customFormat="1" ht="13.5" customHeight="1">
      <c r="A37" s="780" t="s">
        <v>353</v>
      </c>
      <c r="B37" s="215" t="s">
        <v>91</v>
      </c>
      <c r="C37" s="249">
        <f>ROUND(E37*D37*F34/10000,0)</f>
        <v>7</v>
      </c>
      <c r="D37" s="217">
        <f>'数据-汇总表'!E3</f>
        <v>347.45</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v>
      </c>
      <c r="D42" s="238"/>
      <c r="E42" s="238"/>
      <c r="F42" s="239"/>
      <c r="G42" s="3687" t="s">
        <v>94</v>
      </c>
    </row>
    <row r="43" spans="1:7" ht="13.5" customHeight="1">
      <c r="A43" s="780" t="s">
        <v>347</v>
      </c>
      <c r="B43" s="215" t="s">
        <v>426</v>
      </c>
      <c r="C43" s="238">
        <f ca="1">ROUND(IF('数据-取费表'!B22&lt;=1,C39*F22*'数据-取费表'!B21/2,C39*(POWER((1+F22),'数据-取费表'!B21/2)-1)),0)</f>
        <v>0</v>
      </c>
      <c r="D43" s="238"/>
      <c r="E43" s="238"/>
      <c r="F43" s="239"/>
      <c r="G43" s="3688"/>
    </row>
    <row r="44" spans="1:7" ht="13.5" customHeight="1">
      <c r="A44" s="780" t="s">
        <v>348</v>
      </c>
      <c r="B44" s="215" t="s">
        <v>428</v>
      </c>
      <c r="C44" s="238">
        <f ca="1">ROUND(IF('数据-取费表'!B22&lt;=1,C40*F22*'数据-取费表'!B21/2,C40*(POWER((1+F22),'数据-取费表'!B21/2)-1)),4)</f>
        <v>8.9999999999999998E-4</v>
      </c>
      <c r="D44" s="238"/>
      <c r="E44" s="238"/>
      <c r="F44" s="239"/>
      <c r="G44" s="3689"/>
    </row>
    <row r="45" spans="1:7" s="214" customFormat="1" ht="13.5" customHeight="1">
      <c r="A45" s="777" t="s">
        <v>341</v>
      </c>
      <c r="B45" s="244" t="s">
        <v>85</v>
      </c>
      <c r="C45" s="245">
        <f>C46</f>
        <v>36</v>
      </c>
      <c r="D45" s="235">
        <f>C47</f>
        <v>5.0000000000000001E-3</v>
      </c>
      <c r="E45" s="236" t="s">
        <v>102</v>
      </c>
      <c r="F45" s="246"/>
      <c r="G45" s="247" t="s">
        <v>434</v>
      </c>
    </row>
    <row r="46" spans="1:7" s="214" customFormat="1" ht="13.5" customHeight="1">
      <c r="A46" s="780" t="s">
        <v>349</v>
      </c>
      <c r="B46" s="248" t="s">
        <v>427</v>
      </c>
      <c r="C46" s="249">
        <f>ROUND((C33+C39)*F27,0)</f>
        <v>36</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202</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141</v>
      </c>
      <c r="D51" s="232"/>
      <c r="E51" s="232"/>
      <c r="F51" s="264"/>
      <c r="G51" s="234" t="s">
        <v>37</v>
      </c>
    </row>
    <row r="52" spans="1:7" s="208" customFormat="1" ht="16.5" thickBot="1">
      <c r="A52" s="265" t="s">
        <v>38</v>
      </c>
      <c r="B52" s="266"/>
      <c r="C52" s="267">
        <f ca="1">C31+C51</f>
        <v>30794</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26" t="s">
        <v>2844</v>
      </c>
      <c r="B1" s="3826"/>
      <c r="C1" s="3826"/>
      <c r="D1" s="3826"/>
      <c r="E1" s="3826"/>
      <c r="F1" s="3826"/>
      <c r="G1" s="3827"/>
      <c r="I1" s="3222" t="s">
        <v>2845</v>
      </c>
      <c r="J1" s="3223" t="s">
        <v>2846</v>
      </c>
      <c r="K1" s="3223" t="s">
        <v>2847</v>
      </c>
      <c r="L1" s="3223" t="s">
        <v>2848</v>
      </c>
      <c r="M1" s="3223" t="s">
        <v>2849</v>
      </c>
      <c r="N1" s="3223" t="s">
        <v>2850</v>
      </c>
      <c r="O1" s="3223" t="s">
        <v>2851</v>
      </c>
      <c r="P1" s="3223" t="s">
        <v>2852</v>
      </c>
      <c r="Q1" s="3223" t="s">
        <v>2853</v>
      </c>
      <c r="R1" s="3223" t="s">
        <v>2854</v>
      </c>
      <c r="S1" s="3223" t="s">
        <v>2855</v>
      </c>
      <c r="T1" s="3224" t="s">
        <v>2856</v>
      </c>
    </row>
    <row r="2" spans="1:20" ht="12" thickBot="1">
      <c r="A2" s="3226" t="s">
        <v>2857</v>
      </c>
      <c r="B2" s="3226"/>
      <c r="C2" s="3226"/>
      <c r="D2" s="3226"/>
      <c r="E2" s="3226"/>
      <c r="F2" s="3226"/>
      <c r="G2" s="3227" t="s">
        <v>2858</v>
      </c>
      <c r="I2" s="3228" t="s">
        <v>2859</v>
      </c>
      <c r="J2" s="3228" t="s">
        <v>2860</v>
      </c>
      <c r="K2" s="3228" t="s">
        <v>2861</v>
      </c>
      <c r="L2" s="3228" t="s">
        <v>2862</v>
      </c>
      <c r="M2" s="3228" t="s">
        <v>2863</v>
      </c>
      <c r="N2" s="3228" t="s">
        <v>2864</v>
      </c>
      <c r="O2" s="3228" t="s">
        <v>2865</v>
      </c>
      <c r="P2" s="3228" t="s">
        <v>2866</v>
      </c>
      <c r="Q2" s="3228" t="s">
        <v>2867</v>
      </c>
      <c r="R2" s="3228" t="s">
        <v>2868</v>
      </c>
      <c r="S2" s="3228" t="s">
        <v>2869</v>
      </c>
      <c r="T2" s="3228" t="s">
        <v>2870</v>
      </c>
    </row>
    <row r="3" spans="1:20" s="3234" customFormat="1">
      <c r="A3" s="3824" t="s">
        <v>2871</v>
      </c>
      <c r="B3" s="3229"/>
      <c r="C3" s="3230" t="s">
        <v>2814</v>
      </c>
      <c r="D3" s="3230" t="s">
        <v>2872</v>
      </c>
      <c r="E3" s="3230" t="s">
        <v>2816</v>
      </c>
      <c r="F3" s="3230" t="s">
        <v>2873</v>
      </c>
      <c r="G3" s="3230" t="s">
        <v>2634</v>
      </c>
      <c r="H3" s="3231"/>
      <c r="I3" s="3232" t="s">
        <v>2874</v>
      </c>
      <c r="J3" s="3233" t="s">
        <v>128</v>
      </c>
      <c r="K3" s="3233" t="s">
        <v>129</v>
      </c>
      <c r="L3" s="3232" t="s">
        <v>130</v>
      </c>
      <c r="M3" s="3232" t="s">
        <v>131</v>
      </c>
      <c r="N3" s="3232" t="s">
        <v>132</v>
      </c>
      <c r="O3" s="3232" t="s">
        <v>133</v>
      </c>
      <c r="P3" s="3232" t="s">
        <v>134</v>
      </c>
      <c r="Q3" s="3232" t="s">
        <v>135</v>
      </c>
      <c r="R3" s="3232" t="s">
        <v>136</v>
      </c>
      <c r="S3" s="3232" t="s">
        <v>2875</v>
      </c>
      <c r="T3" s="3232" t="s">
        <v>2876</v>
      </c>
    </row>
    <row r="4" spans="1:20" s="3234" customFormat="1" ht="12" thickBot="1">
      <c r="A4" s="3825"/>
      <c r="B4" s="3235" t="s">
        <v>2877</v>
      </c>
      <c r="C4" s="3235" t="s">
        <v>2878</v>
      </c>
      <c r="D4" s="3235" t="s">
        <v>2878</v>
      </c>
      <c r="E4" s="3235" t="s">
        <v>2878</v>
      </c>
      <c r="F4" s="3236" t="s">
        <v>2878</v>
      </c>
      <c r="G4" s="3236" t="s">
        <v>2878</v>
      </c>
      <c r="H4" s="3231"/>
      <c r="I4" s="3233" t="s">
        <v>137</v>
      </c>
      <c r="J4" s="3233" t="s">
        <v>111</v>
      </c>
      <c r="K4" s="3233" t="s">
        <v>138</v>
      </c>
      <c r="L4" s="3232" t="s">
        <v>139</v>
      </c>
      <c r="M4" s="3232" t="s">
        <v>140</v>
      </c>
      <c r="N4" s="3232" t="s">
        <v>141</v>
      </c>
      <c r="O4" s="3232" t="s">
        <v>142</v>
      </c>
      <c r="P4" s="3232" t="s">
        <v>143</v>
      </c>
      <c r="Q4" s="3232" t="s">
        <v>2879</v>
      </c>
      <c r="R4" s="3232" t="s">
        <v>2880</v>
      </c>
      <c r="S4" s="3232" t="s">
        <v>2881</v>
      </c>
      <c r="T4" s="3232" t="s">
        <v>2882</v>
      </c>
    </row>
    <row r="5" spans="1:20">
      <c r="A5" s="3237" t="s">
        <v>2845</v>
      </c>
      <c r="B5" s="3228" t="s">
        <v>2859</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2883</v>
      </c>
      <c r="R5" s="3232" t="s">
        <v>2884</v>
      </c>
      <c r="S5" s="3232" t="s">
        <v>153</v>
      </c>
      <c r="T5" s="3232" t="s">
        <v>2885</v>
      </c>
    </row>
    <row r="6" spans="1:20" ht="12" thickBot="1">
      <c r="A6" s="3232" t="s">
        <v>144</v>
      </c>
      <c r="B6" s="3232" t="s">
        <v>2874</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2886</v>
      </c>
      <c r="Q6" s="3232" t="s">
        <v>2887</v>
      </c>
      <c r="R6" s="3232" t="s">
        <v>161</v>
      </c>
      <c r="S6" s="3232" t="s">
        <v>2888</v>
      </c>
      <c r="T6" s="3232" t="s">
        <v>2889</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2890</v>
      </c>
      <c r="Q7" s="3232" t="s">
        <v>2891</v>
      </c>
      <c r="R7" s="3232" t="s">
        <v>2892</v>
      </c>
      <c r="S7" s="3232" t="s">
        <v>2893</v>
      </c>
      <c r="T7" s="3232" t="s">
        <v>2894</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2895</v>
      </c>
      <c r="Q8" s="3232" t="s">
        <v>174</v>
      </c>
      <c r="R8" s="3232" t="s">
        <v>2896</v>
      </c>
      <c r="S8" s="3232" t="s">
        <v>2897</v>
      </c>
      <c r="T8" s="3239" t="s">
        <v>2898</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2899</v>
      </c>
      <c r="Q9" s="3232" t="s">
        <v>182</v>
      </c>
      <c r="R9" s="3232" t="s">
        <v>183</v>
      </c>
      <c r="S9" s="3232" t="s">
        <v>200</v>
      </c>
    </row>
    <row r="10" spans="1:20">
      <c r="A10" s="3237" t="s">
        <v>184</v>
      </c>
      <c r="B10" s="3228" t="s">
        <v>2860</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2900</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2901</v>
      </c>
      <c r="P11" s="3232" t="s">
        <v>191</v>
      </c>
      <c r="Q11" s="3232" t="s">
        <v>199</v>
      </c>
      <c r="R11" s="3232" t="s">
        <v>2902</v>
      </c>
      <c r="S11" s="3232" t="s">
        <v>2903</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2904</v>
      </c>
      <c r="P12" s="3232" t="s">
        <v>2905</v>
      </c>
      <c r="Q12" s="3232" t="s">
        <v>2906</v>
      </c>
      <c r="R12" s="3232" t="s">
        <v>2907</v>
      </c>
      <c r="S12" s="3232" t="s">
        <v>2908</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2909</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2910</v>
      </c>
      <c r="K14" s="3233" t="s">
        <v>215</v>
      </c>
      <c r="L14" s="3232" t="s">
        <v>216</v>
      </c>
      <c r="M14" s="3232" t="s">
        <v>217</v>
      </c>
      <c r="N14" s="3232" t="s">
        <v>218</v>
      </c>
      <c r="O14" s="3232" t="s">
        <v>240</v>
      </c>
      <c r="P14" s="3232" t="s">
        <v>213</v>
      </c>
      <c r="Q14" s="3232" t="s">
        <v>2911</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2912</v>
      </c>
      <c r="P15" s="3232" t="s">
        <v>2913</v>
      </c>
      <c r="Q15" s="3232" t="s">
        <v>242</v>
      </c>
      <c r="R15" s="3232" t="s">
        <v>2914</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2915</v>
      </c>
      <c r="P16" s="3232" t="s">
        <v>227</v>
      </c>
      <c r="Q16" s="3232" t="s">
        <v>250</v>
      </c>
      <c r="R16" s="3232" t="s">
        <v>207</v>
      </c>
      <c r="S16" s="3232" t="s">
        <v>2916</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2917</v>
      </c>
      <c r="P17" s="3232" t="s">
        <v>2918</v>
      </c>
      <c r="Q17" s="3232" t="s">
        <v>256</v>
      </c>
      <c r="R17" s="3232" t="s">
        <v>2919</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2920</v>
      </c>
      <c r="P18" s="3232" t="s">
        <v>241</v>
      </c>
      <c r="Q18" s="3232" t="s">
        <v>2921</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2922</v>
      </c>
      <c r="P19" s="3232" t="s">
        <v>249</v>
      </c>
      <c r="Q19" s="3232" t="s">
        <v>2923</v>
      </c>
      <c r="R19" s="3232" t="s">
        <v>265</v>
      </c>
      <c r="S19" s="3232" t="s">
        <v>2924</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2925</v>
      </c>
      <c r="P20" s="3232" t="s">
        <v>2926</v>
      </c>
      <c r="Q20" s="3232" t="s">
        <v>290</v>
      </c>
      <c r="R20" s="3232" t="s">
        <v>2927</v>
      </c>
      <c r="S20" s="3232" t="s">
        <v>277</v>
      </c>
    </row>
    <row r="21" spans="1:19" ht="14.25" customHeight="1" thickBot="1">
      <c r="A21" s="3232" t="s">
        <v>184</v>
      </c>
      <c r="B21" s="3233" t="s">
        <v>208</v>
      </c>
      <c r="C21" s="3232">
        <v>32370</v>
      </c>
      <c r="D21" s="3232">
        <v>26730</v>
      </c>
      <c r="E21" s="3232">
        <v>26640</v>
      </c>
      <c r="F21" s="3232"/>
      <c r="G21" s="3232">
        <v>19440</v>
      </c>
      <c r="J21" s="3239" t="s">
        <v>2928</v>
      </c>
      <c r="K21" s="3233" t="s">
        <v>267</v>
      </c>
      <c r="L21" s="3232" t="s">
        <v>268</v>
      </c>
      <c r="M21" s="3232" t="s">
        <v>269</v>
      </c>
      <c r="N21" s="3232" t="s">
        <v>270</v>
      </c>
      <c r="O21" s="3232" t="s">
        <v>264</v>
      </c>
      <c r="P21" s="3232" t="s">
        <v>283</v>
      </c>
      <c r="Q21" s="3232" t="s">
        <v>293</v>
      </c>
      <c r="R21" s="3232" t="s">
        <v>2929</v>
      </c>
      <c r="S21" s="3239" t="s">
        <v>2930</v>
      </c>
    </row>
    <row r="22" spans="1:19" ht="14.25" customHeight="1">
      <c r="A22" s="3232" t="s">
        <v>184</v>
      </c>
      <c r="B22" s="3233" t="s">
        <v>2910</v>
      </c>
      <c r="C22" s="3232">
        <v>29830</v>
      </c>
      <c r="D22" s="3232">
        <v>27600</v>
      </c>
      <c r="E22" s="3232">
        <v>28150</v>
      </c>
      <c r="F22" s="3232"/>
      <c r="G22" s="3232">
        <v>20080</v>
      </c>
      <c r="K22" s="3233" t="s">
        <v>2931</v>
      </c>
      <c r="L22" s="3232" t="s">
        <v>272</v>
      </c>
      <c r="M22" s="3232" t="s">
        <v>273</v>
      </c>
      <c r="N22" s="3232" t="s">
        <v>274</v>
      </c>
      <c r="O22" s="3232" t="s">
        <v>2932</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2933</v>
      </c>
      <c r="L23" s="3232" t="s">
        <v>278</v>
      </c>
      <c r="M23" s="3232" t="s">
        <v>279</v>
      </c>
      <c r="N23" s="3232" t="s">
        <v>2934</v>
      </c>
      <c r="O23" s="3232" t="s">
        <v>2935</v>
      </c>
      <c r="P23" s="3232" t="s">
        <v>289</v>
      </c>
      <c r="Q23" s="3232" t="s">
        <v>298</v>
      </c>
      <c r="R23" s="3232" t="s">
        <v>2936</v>
      </c>
    </row>
    <row r="24" spans="1:19" ht="14.25" customHeight="1">
      <c r="A24" s="3232" t="s">
        <v>184</v>
      </c>
      <c r="B24" s="3233" t="s">
        <v>230</v>
      </c>
      <c r="C24" s="3232">
        <v>27930</v>
      </c>
      <c r="D24" s="3232">
        <v>32260</v>
      </c>
      <c r="E24" s="3232">
        <v>32120</v>
      </c>
      <c r="F24" s="3232"/>
      <c r="G24" s="3232">
        <v>23470</v>
      </c>
      <c r="K24" s="3233" t="s">
        <v>2937</v>
      </c>
      <c r="L24" s="3232" t="s">
        <v>281</v>
      </c>
      <c r="M24" s="3232" t="s">
        <v>282</v>
      </c>
      <c r="N24" s="3232" t="s">
        <v>2938</v>
      </c>
      <c r="O24" s="3232" t="s">
        <v>285</v>
      </c>
      <c r="P24" s="3232" t="s">
        <v>2939</v>
      </c>
      <c r="Q24" s="3241" t="s">
        <v>2940</v>
      </c>
      <c r="R24" s="3232" t="s">
        <v>2941</v>
      </c>
    </row>
    <row r="25" spans="1:19" ht="14.25" customHeight="1">
      <c r="A25" s="3232" t="s">
        <v>184</v>
      </c>
      <c r="B25" s="3233" t="s">
        <v>235</v>
      </c>
      <c r="C25" s="3232">
        <v>32230</v>
      </c>
      <c r="D25" s="3232">
        <v>29640</v>
      </c>
      <c r="E25" s="3232">
        <v>29510</v>
      </c>
      <c r="F25" s="3232"/>
      <c r="G25" s="3232">
        <v>21560</v>
      </c>
      <c r="K25" s="3233" t="s">
        <v>2942</v>
      </c>
      <c r="L25" s="3232" t="s">
        <v>2943</v>
      </c>
      <c r="M25" s="3232" t="s">
        <v>284</v>
      </c>
      <c r="N25" s="3232" t="s">
        <v>292</v>
      </c>
      <c r="O25" s="3232" t="s">
        <v>288</v>
      </c>
      <c r="P25" s="3232" t="s">
        <v>275</v>
      </c>
      <c r="Q25" s="3241" t="s">
        <v>271</v>
      </c>
      <c r="R25" s="3232" t="s">
        <v>2944</v>
      </c>
    </row>
    <row r="26" spans="1:19" ht="14.25" customHeight="1" thickBot="1">
      <c r="A26" s="3232" t="s">
        <v>184</v>
      </c>
      <c r="B26" s="3233" t="s">
        <v>244</v>
      </c>
      <c r="C26" s="3232">
        <v>31690</v>
      </c>
      <c r="D26" s="3232">
        <v>27650</v>
      </c>
      <c r="E26" s="3232">
        <v>28200</v>
      </c>
      <c r="F26" s="3232"/>
      <c r="G26" s="3232">
        <v>20110</v>
      </c>
      <c r="K26" s="3238" t="s">
        <v>2945</v>
      </c>
      <c r="L26" s="3232" t="s">
        <v>2946</v>
      </c>
      <c r="M26" s="3232" t="s">
        <v>287</v>
      </c>
      <c r="N26" s="3232" t="s">
        <v>294</v>
      </c>
      <c r="O26" s="3232" t="s">
        <v>2947</v>
      </c>
      <c r="P26" s="3232" t="s">
        <v>2948</v>
      </c>
      <c r="Q26" s="3241" t="s">
        <v>276</v>
      </c>
      <c r="R26" s="3232" t="s">
        <v>2949</v>
      </c>
    </row>
    <row r="27" spans="1:19" ht="14.25" customHeight="1">
      <c r="A27" s="3232" t="s">
        <v>184</v>
      </c>
      <c r="B27" s="3233" t="s">
        <v>251</v>
      </c>
      <c r="C27" s="3232">
        <v>29610</v>
      </c>
      <c r="D27" s="3232">
        <v>27770</v>
      </c>
      <c r="E27" s="3232">
        <v>28300</v>
      </c>
      <c r="F27" s="3232"/>
      <c r="G27" s="3232">
        <v>20210</v>
      </c>
      <c r="L27" s="3232" t="s">
        <v>2950</v>
      </c>
      <c r="M27" s="3232" t="s">
        <v>291</v>
      </c>
      <c r="N27" s="3232" t="s">
        <v>297</v>
      </c>
      <c r="O27" s="3232" t="s">
        <v>2951</v>
      </c>
      <c r="P27" s="3232" t="s">
        <v>2952</v>
      </c>
      <c r="Q27" s="3232" t="s">
        <v>2953</v>
      </c>
      <c r="R27" s="3232" t="s">
        <v>2954</v>
      </c>
    </row>
    <row r="28" spans="1:19" ht="14.25" customHeight="1">
      <c r="A28" s="3232" t="s">
        <v>184</v>
      </c>
      <c r="B28" s="3233" t="s">
        <v>259</v>
      </c>
      <c r="C28" s="3232"/>
      <c r="D28" s="3232">
        <v>31520</v>
      </c>
      <c r="E28" s="3232">
        <v>31410</v>
      </c>
      <c r="F28" s="3232"/>
      <c r="G28" s="3232">
        <v>22940</v>
      </c>
      <c r="L28" s="3232" t="s">
        <v>2955</v>
      </c>
      <c r="M28" s="3232" t="s">
        <v>2956</v>
      </c>
      <c r="N28" s="3232" t="s">
        <v>2957</v>
      </c>
      <c r="O28" s="3232" t="s">
        <v>2958</v>
      </c>
      <c r="P28" s="3232" t="s">
        <v>2959</v>
      </c>
      <c r="Q28" s="3232" t="s">
        <v>2960</v>
      </c>
      <c r="R28" s="3232" t="s">
        <v>2961</v>
      </c>
    </row>
    <row r="29" spans="1:19" ht="14.25" customHeight="1" thickBot="1">
      <c r="A29" s="3240" t="s">
        <v>184</v>
      </c>
      <c r="B29" s="3242" t="s">
        <v>2928</v>
      </c>
      <c r="C29" s="3243"/>
      <c r="D29" s="3243">
        <v>29460</v>
      </c>
      <c r="E29" s="3243">
        <v>28640</v>
      </c>
      <c r="F29" s="3243"/>
      <c r="G29" s="3243">
        <v>21430</v>
      </c>
      <c r="L29" s="3232" t="s">
        <v>2962</v>
      </c>
      <c r="M29" s="3232" t="s">
        <v>2963</v>
      </c>
      <c r="N29" s="3232" t="s">
        <v>2964</v>
      </c>
      <c r="O29" s="3232" t="s">
        <v>2965</v>
      </c>
      <c r="P29" s="3232" t="s">
        <v>2966</v>
      </c>
      <c r="Q29" s="3232" t="s">
        <v>2967</v>
      </c>
      <c r="R29" s="3232" t="s">
        <v>280</v>
      </c>
    </row>
    <row r="30" spans="1:19" ht="14.25" customHeight="1">
      <c r="A30" s="3237" t="s">
        <v>296</v>
      </c>
      <c r="B30" s="3228" t="s">
        <v>2861</v>
      </c>
      <c r="C30" s="3228">
        <v>26890</v>
      </c>
      <c r="D30" s="3228">
        <v>26770</v>
      </c>
      <c r="E30" s="3228">
        <v>25700</v>
      </c>
      <c r="F30" s="3228">
        <v>8180</v>
      </c>
      <c r="G30" s="3244">
        <v>18740</v>
      </c>
      <c r="L30" s="3232" t="s">
        <v>2968</v>
      </c>
      <c r="M30" s="3232" t="s">
        <v>2969</v>
      </c>
      <c r="N30" s="3232" t="s">
        <v>2970</v>
      </c>
      <c r="O30" s="3232" t="s">
        <v>2971</v>
      </c>
      <c r="P30" s="3232" t="s">
        <v>2972</v>
      </c>
      <c r="Q30" s="3232" t="s">
        <v>2973</v>
      </c>
      <c r="R30" s="3232" t="s">
        <v>2974</v>
      </c>
    </row>
    <row r="31" spans="1:19" ht="14.25" customHeight="1">
      <c r="A31" s="3232" t="s">
        <v>296</v>
      </c>
      <c r="B31" s="3233" t="s">
        <v>129</v>
      </c>
      <c r="C31" s="3232">
        <v>24550</v>
      </c>
      <c r="D31" s="3232">
        <v>23990</v>
      </c>
      <c r="E31" s="3232">
        <v>22930</v>
      </c>
      <c r="F31" s="3232">
        <v>7470</v>
      </c>
      <c r="G31" s="3245">
        <v>16790</v>
      </c>
      <c r="L31" s="3232" t="s">
        <v>2975</v>
      </c>
      <c r="M31" s="3232" t="s">
        <v>2976</v>
      </c>
      <c r="N31" s="3232" t="s">
        <v>2977</v>
      </c>
      <c r="O31" s="3232" t="s">
        <v>2978</v>
      </c>
      <c r="P31" s="3232" t="s">
        <v>2979</v>
      </c>
      <c r="Q31" s="3232" t="s">
        <v>2980</v>
      </c>
      <c r="R31" s="3232" t="s">
        <v>2981</v>
      </c>
    </row>
    <row r="32" spans="1:19" ht="14.25" customHeight="1" thickBot="1">
      <c r="A32" s="3232" t="s">
        <v>296</v>
      </c>
      <c r="B32" s="3233" t="s">
        <v>138</v>
      </c>
      <c r="C32" s="3232">
        <v>27210</v>
      </c>
      <c r="D32" s="3232">
        <v>23240</v>
      </c>
      <c r="E32" s="3232">
        <v>23260</v>
      </c>
      <c r="F32" s="3232">
        <v>7130</v>
      </c>
      <c r="G32" s="3245">
        <v>16270</v>
      </c>
      <c r="L32" s="3232" t="s">
        <v>2982</v>
      </c>
      <c r="M32" s="3232" t="s">
        <v>2983</v>
      </c>
      <c r="N32" s="3232" t="s">
        <v>300</v>
      </c>
      <c r="O32" s="3232" t="s">
        <v>2984</v>
      </c>
      <c r="P32" s="3232" t="s">
        <v>299</v>
      </c>
      <c r="Q32" s="3232" t="s">
        <v>2985</v>
      </c>
      <c r="R32" s="3239" t="s">
        <v>2986</v>
      </c>
    </row>
    <row r="33" spans="1:17" ht="14.25" customHeight="1" thickBot="1">
      <c r="A33" s="3232" t="s">
        <v>296</v>
      </c>
      <c r="B33" s="3233" t="s">
        <v>147</v>
      </c>
      <c r="C33" s="3232">
        <v>27300</v>
      </c>
      <c r="D33" s="3232">
        <v>22980</v>
      </c>
      <c r="E33" s="3232">
        <v>24260</v>
      </c>
      <c r="F33" s="3232">
        <v>5860</v>
      </c>
      <c r="G33" s="3245">
        <v>16090</v>
      </c>
      <c r="L33" s="3239" t="s">
        <v>2987</v>
      </c>
      <c r="M33" s="3232" t="s">
        <v>2988</v>
      </c>
      <c r="N33" s="3232" t="s">
        <v>301</v>
      </c>
      <c r="O33" s="3232" t="s">
        <v>2989</v>
      </c>
      <c r="P33" s="3232" t="s">
        <v>2990</v>
      </c>
      <c r="Q33" s="3232" t="s">
        <v>2991</v>
      </c>
    </row>
    <row r="34" spans="1:17" ht="14.25" customHeight="1">
      <c r="A34" s="3232" t="s">
        <v>296</v>
      </c>
      <c r="B34" s="3233" t="s">
        <v>156</v>
      </c>
      <c r="C34" s="3232">
        <v>23090</v>
      </c>
      <c r="D34" s="3232">
        <v>23390</v>
      </c>
      <c r="E34" s="3232">
        <v>23510</v>
      </c>
      <c r="F34" s="3232">
        <v>6700</v>
      </c>
      <c r="G34" s="3245">
        <v>16370</v>
      </c>
      <c r="M34" s="3232" t="s">
        <v>2992</v>
      </c>
      <c r="N34" s="3232" t="s">
        <v>302</v>
      </c>
      <c r="O34" s="3232" t="s">
        <v>2993</v>
      </c>
      <c r="P34" s="3232" t="s">
        <v>2994</v>
      </c>
      <c r="Q34" s="3232" t="s">
        <v>2995</v>
      </c>
    </row>
    <row r="35" spans="1:17" ht="14.25" customHeight="1">
      <c r="A35" s="3232" t="s">
        <v>296</v>
      </c>
      <c r="B35" s="3233" t="s">
        <v>163</v>
      </c>
      <c r="C35" s="3232">
        <v>27270</v>
      </c>
      <c r="D35" s="3232">
        <v>24270</v>
      </c>
      <c r="E35" s="3232">
        <v>24950</v>
      </c>
      <c r="F35" s="3232">
        <v>6600</v>
      </c>
      <c r="G35" s="3245">
        <v>16990</v>
      </c>
      <c r="M35" s="3232" t="s">
        <v>2996</v>
      </c>
      <c r="N35" s="3232" t="s">
        <v>2997</v>
      </c>
      <c r="O35" s="3232" t="s">
        <v>2998</v>
      </c>
      <c r="P35" s="3232" t="s">
        <v>2999</v>
      </c>
      <c r="Q35" s="3232" t="s">
        <v>3000</v>
      </c>
    </row>
    <row r="36" spans="1:17" ht="14.25" customHeight="1">
      <c r="A36" s="3232" t="s">
        <v>296</v>
      </c>
      <c r="B36" s="3233" t="s">
        <v>169</v>
      </c>
      <c r="C36" s="3232">
        <v>23490</v>
      </c>
      <c r="D36" s="3232">
        <v>23020</v>
      </c>
      <c r="E36" s="3232">
        <v>25230</v>
      </c>
      <c r="F36" s="3232">
        <v>6780</v>
      </c>
      <c r="G36" s="3245">
        <v>16120</v>
      </c>
      <c r="M36" s="3232" t="s">
        <v>3001</v>
      </c>
      <c r="N36" s="3232" t="s">
        <v>3002</v>
      </c>
      <c r="O36" s="3232" t="s">
        <v>3003</v>
      </c>
      <c r="P36" s="3232" t="s">
        <v>3004</v>
      </c>
      <c r="Q36" s="3232" t="s">
        <v>3005</v>
      </c>
    </row>
    <row r="37" spans="1:17" ht="14.25" customHeight="1">
      <c r="A37" s="3232" t="s">
        <v>296</v>
      </c>
      <c r="B37" s="3233" t="s">
        <v>176</v>
      </c>
      <c r="C37" s="3232">
        <v>24380</v>
      </c>
      <c r="D37" s="3232">
        <v>22240</v>
      </c>
      <c r="E37" s="3232">
        <v>25980</v>
      </c>
      <c r="F37" s="3232">
        <v>8160</v>
      </c>
      <c r="G37" s="3245">
        <v>15570</v>
      </c>
      <c r="M37" s="3232" t="s">
        <v>3006</v>
      </c>
      <c r="N37" s="3232" t="s">
        <v>3007</v>
      </c>
      <c r="O37" s="3232" t="s">
        <v>3008</v>
      </c>
      <c r="P37" s="3232" t="s">
        <v>3009</v>
      </c>
      <c r="Q37" s="3232" t="s">
        <v>3010</v>
      </c>
    </row>
    <row r="38" spans="1:17" ht="14.25" customHeight="1">
      <c r="A38" s="3232" t="s">
        <v>296</v>
      </c>
      <c r="B38" s="3233" t="s">
        <v>186</v>
      </c>
      <c r="C38" s="3232">
        <v>23120</v>
      </c>
      <c r="D38" s="3232">
        <v>24630</v>
      </c>
      <c r="E38" s="3232">
        <v>25030</v>
      </c>
      <c r="F38" s="3232">
        <v>7710</v>
      </c>
      <c r="G38" s="3245">
        <v>17240</v>
      </c>
      <c r="M38" s="3232" t="s">
        <v>3011</v>
      </c>
      <c r="N38" s="3232" t="s">
        <v>3012</v>
      </c>
      <c r="O38" s="3232" t="s">
        <v>3013</v>
      </c>
      <c r="P38" s="3232" t="s">
        <v>3014</v>
      </c>
      <c r="Q38" s="3232" t="s">
        <v>3015</v>
      </c>
    </row>
    <row r="39" spans="1:17" ht="14.25" customHeight="1">
      <c r="A39" s="3232" t="s">
        <v>296</v>
      </c>
      <c r="B39" s="3233" t="s">
        <v>195</v>
      </c>
      <c r="C39" s="3232">
        <v>22330</v>
      </c>
      <c r="D39" s="3232">
        <v>21140</v>
      </c>
      <c r="E39" s="3232">
        <v>23970</v>
      </c>
      <c r="F39" s="3232">
        <v>7940</v>
      </c>
      <c r="G39" s="3245">
        <v>14790</v>
      </c>
      <c r="M39" s="3232" t="s">
        <v>3016</v>
      </c>
      <c r="N39" s="3232" t="s">
        <v>3017</v>
      </c>
      <c r="O39" s="3232" t="s">
        <v>3018</v>
      </c>
      <c r="P39" s="3232" t="s">
        <v>3019</v>
      </c>
      <c r="Q39" s="3232" t="s">
        <v>3020</v>
      </c>
    </row>
    <row r="40" spans="1:17" ht="14.25" customHeight="1">
      <c r="A40" s="3232" t="s">
        <v>296</v>
      </c>
      <c r="B40" s="3233" t="s">
        <v>202</v>
      </c>
      <c r="C40" s="3232">
        <v>24740</v>
      </c>
      <c r="D40" s="3232">
        <v>24690</v>
      </c>
      <c r="E40" s="3232">
        <v>22610</v>
      </c>
      <c r="F40" s="3232"/>
      <c r="G40" s="3245">
        <v>17280</v>
      </c>
      <c r="M40" s="3232" t="s">
        <v>3021</v>
      </c>
      <c r="N40" s="3232" t="s">
        <v>3022</v>
      </c>
      <c r="O40" s="3232" t="s">
        <v>3023</v>
      </c>
      <c r="P40" s="3232" t="s">
        <v>3024</v>
      </c>
      <c r="Q40" s="3232" t="s">
        <v>3025</v>
      </c>
    </row>
    <row r="41" spans="1:17" ht="14.25" customHeight="1" thickBot="1">
      <c r="A41" s="3232" t="s">
        <v>296</v>
      </c>
      <c r="B41" s="3233" t="s">
        <v>209</v>
      </c>
      <c r="C41" s="3232">
        <v>21220</v>
      </c>
      <c r="D41" s="3232">
        <v>21120</v>
      </c>
      <c r="E41" s="3232">
        <v>22590</v>
      </c>
      <c r="F41" s="3232"/>
      <c r="G41" s="3245">
        <v>14780</v>
      </c>
      <c r="M41" s="3239" t="s">
        <v>3026</v>
      </c>
      <c r="N41" s="3232" t="s">
        <v>3027</v>
      </c>
      <c r="O41" s="3232" t="s">
        <v>3028</v>
      </c>
      <c r="P41" s="3232" t="s">
        <v>3029</v>
      </c>
      <c r="Q41" s="3232" t="s">
        <v>3030</v>
      </c>
    </row>
    <row r="42" spans="1:17" ht="14.25" customHeight="1">
      <c r="A42" s="3232" t="s">
        <v>296</v>
      </c>
      <c r="B42" s="3233" t="s">
        <v>215</v>
      </c>
      <c r="C42" s="3232">
        <v>24800</v>
      </c>
      <c r="D42" s="3232">
        <v>22280</v>
      </c>
      <c r="E42" s="3232">
        <v>24350</v>
      </c>
      <c r="F42" s="3232"/>
      <c r="G42" s="3245">
        <v>15590</v>
      </c>
      <c r="N42" s="3232" t="s">
        <v>3031</v>
      </c>
      <c r="O42" s="3232" t="s">
        <v>3032</v>
      </c>
      <c r="P42" s="3232" t="s">
        <v>3033</v>
      </c>
      <c r="Q42" s="3232" t="s">
        <v>3034</v>
      </c>
    </row>
    <row r="43" spans="1:17" ht="14.25" customHeight="1">
      <c r="A43" s="3232" t="s">
        <v>3035</v>
      </c>
      <c r="B43" s="3233" t="s">
        <v>223</v>
      </c>
      <c r="C43" s="3232">
        <v>21210</v>
      </c>
      <c r="D43" s="3232">
        <v>21160</v>
      </c>
      <c r="E43" s="3232">
        <v>22650</v>
      </c>
      <c r="F43" s="3232"/>
      <c r="G43" s="3245">
        <v>14800</v>
      </c>
      <c r="N43" s="3232" t="s">
        <v>3036</v>
      </c>
      <c r="O43" s="3232" t="s">
        <v>3037</v>
      </c>
      <c r="P43" s="3232" t="s">
        <v>3038</v>
      </c>
      <c r="Q43" s="3232" t="s">
        <v>3039</v>
      </c>
    </row>
    <row r="44" spans="1:17" ht="14.25" customHeight="1" thickBot="1">
      <c r="A44" s="3232" t="s">
        <v>296</v>
      </c>
      <c r="B44" s="3233" t="s">
        <v>231</v>
      </c>
      <c r="C44" s="3232">
        <v>22370</v>
      </c>
      <c r="D44" s="3232">
        <v>23140</v>
      </c>
      <c r="E44" s="3232">
        <v>25090</v>
      </c>
      <c r="F44" s="3232"/>
      <c r="G44" s="3245">
        <v>16190</v>
      </c>
      <c r="N44" s="3232" t="s">
        <v>3040</v>
      </c>
      <c r="O44" s="3232" t="s">
        <v>3041</v>
      </c>
      <c r="P44" s="3239" t="s">
        <v>3042</v>
      </c>
      <c r="Q44" s="3232" t="s">
        <v>3043</v>
      </c>
    </row>
    <row r="45" spans="1:17" ht="14.25" customHeight="1" thickBot="1">
      <c r="A45" s="3232" t="s">
        <v>296</v>
      </c>
      <c r="B45" s="3233" t="s">
        <v>236</v>
      </c>
      <c r="C45" s="3232">
        <v>21240</v>
      </c>
      <c r="D45" s="3232">
        <v>27050</v>
      </c>
      <c r="E45" s="3232">
        <v>28000</v>
      </c>
      <c r="F45" s="3232"/>
      <c r="G45" s="3245">
        <v>18940</v>
      </c>
      <c r="N45" s="3232" t="s">
        <v>3044</v>
      </c>
      <c r="O45" s="3239" t="s">
        <v>3045</v>
      </c>
      <c r="Q45" s="3232" t="s">
        <v>3046</v>
      </c>
    </row>
    <row r="46" spans="1:17" ht="14.25" customHeight="1">
      <c r="A46" s="3232" t="s">
        <v>296</v>
      </c>
      <c r="B46" s="3233" t="s">
        <v>245</v>
      </c>
      <c r="C46" s="3232">
        <v>23240</v>
      </c>
      <c r="D46" s="3232">
        <v>23000</v>
      </c>
      <c r="E46" s="3232">
        <v>24980</v>
      </c>
      <c r="F46" s="3232"/>
      <c r="G46" s="3245">
        <v>16100</v>
      </c>
      <c r="N46" s="3232" t="s">
        <v>3047</v>
      </c>
      <c r="Q46" s="3232" t="s">
        <v>3048</v>
      </c>
    </row>
    <row r="47" spans="1:17" ht="14.25" customHeight="1">
      <c r="A47" s="3232" t="s">
        <v>296</v>
      </c>
      <c r="B47" s="3233" t="s">
        <v>252</v>
      </c>
      <c r="C47" s="3232">
        <v>27150</v>
      </c>
      <c r="D47" s="3232">
        <v>23310</v>
      </c>
      <c r="E47" s="3232">
        <v>25150</v>
      </c>
      <c r="F47" s="3232"/>
      <c r="G47" s="3245">
        <v>16310</v>
      </c>
      <c r="N47" s="3232" t="s">
        <v>3049</v>
      </c>
      <c r="Q47" s="3232" t="s">
        <v>3050</v>
      </c>
    </row>
    <row r="48" spans="1:17" ht="14.25" customHeight="1">
      <c r="A48" s="3232" t="s">
        <v>296</v>
      </c>
      <c r="B48" s="3233" t="s">
        <v>260</v>
      </c>
      <c r="C48" s="3232">
        <v>23100</v>
      </c>
      <c r="D48" s="3232">
        <v>21110</v>
      </c>
      <c r="E48" s="3232">
        <v>23080</v>
      </c>
      <c r="F48" s="3232"/>
      <c r="G48" s="3245">
        <v>14780</v>
      </c>
      <c r="N48" s="3232" t="s">
        <v>3051</v>
      </c>
      <c r="Q48" s="3232" t="s">
        <v>3052</v>
      </c>
    </row>
    <row r="49" spans="1:17" ht="14.25" customHeight="1">
      <c r="A49" s="3232" t="s">
        <v>296</v>
      </c>
      <c r="B49" s="3233" t="s">
        <v>267</v>
      </c>
      <c r="C49" s="3232">
        <v>23400</v>
      </c>
      <c r="D49" s="3232">
        <v>22920</v>
      </c>
      <c r="E49" s="3232">
        <v>24900</v>
      </c>
      <c r="F49" s="3232"/>
      <c r="G49" s="3245">
        <v>16040</v>
      </c>
      <c r="N49" s="3232" t="s">
        <v>3053</v>
      </c>
      <c r="Q49" s="3232" t="s">
        <v>3054</v>
      </c>
    </row>
    <row r="50" spans="1:17" ht="14.25" customHeight="1">
      <c r="A50" s="3232" t="s">
        <v>296</v>
      </c>
      <c r="B50" s="3233" t="s">
        <v>2931</v>
      </c>
      <c r="C50" s="3232">
        <v>21200</v>
      </c>
      <c r="D50" s="3232">
        <v>26540</v>
      </c>
      <c r="E50" s="3232">
        <v>23200</v>
      </c>
      <c r="F50" s="3232"/>
      <c r="G50" s="3245">
        <v>18580</v>
      </c>
      <c r="N50" s="3232" t="s">
        <v>3055</v>
      </c>
      <c r="Q50" s="3233" t="s">
        <v>3056</v>
      </c>
    </row>
    <row r="51" spans="1:17" ht="14.25" customHeight="1" thickBot="1">
      <c r="A51" s="3232" t="s">
        <v>296</v>
      </c>
      <c r="B51" s="3233" t="s">
        <v>2933</v>
      </c>
      <c r="C51" s="3232">
        <v>23000</v>
      </c>
      <c r="D51" s="3232">
        <v>23460</v>
      </c>
      <c r="E51" s="3232">
        <v>25290</v>
      </c>
      <c r="F51" s="3232"/>
      <c r="G51" s="3245">
        <v>16420</v>
      </c>
      <c r="N51" s="3232" t="s">
        <v>3057</v>
      </c>
      <c r="Q51" s="3239" t="s">
        <v>3058</v>
      </c>
    </row>
    <row r="52" spans="1:17" ht="14.25" customHeight="1">
      <c r="A52" s="3232" t="s">
        <v>296</v>
      </c>
      <c r="B52" s="3233" t="s">
        <v>2937</v>
      </c>
      <c r="C52" s="3232">
        <v>26660</v>
      </c>
      <c r="D52" s="3232">
        <v>22350</v>
      </c>
      <c r="E52" s="3232">
        <v>22920</v>
      </c>
      <c r="F52" s="3232"/>
      <c r="G52" s="3245">
        <v>15640</v>
      </c>
      <c r="N52" s="3232" t="s">
        <v>3059</v>
      </c>
    </row>
    <row r="53" spans="1:17" ht="14.25" customHeight="1">
      <c r="A53" s="3232" t="s">
        <v>296</v>
      </c>
      <c r="B53" s="3233" t="s">
        <v>2942</v>
      </c>
      <c r="C53" s="3232">
        <v>23580</v>
      </c>
      <c r="D53" s="3232"/>
      <c r="E53" s="3232">
        <v>24280</v>
      </c>
      <c r="F53" s="3232"/>
      <c r="G53" s="3245"/>
      <c r="N53" s="3232" t="s">
        <v>3060</v>
      </c>
    </row>
    <row r="54" spans="1:17" ht="14.25" customHeight="1" thickBot="1">
      <c r="A54" s="3246" t="s">
        <v>296</v>
      </c>
      <c r="B54" s="3238" t="s">
        <v>2945</v>
      </c>
      <c r="C54" s="3239">
        <v>22460</v>
      </c>
      <c r="D54" s="3239"/>
      <c r="E54" s="3239"/>
      <c r="F54" s="3239"/>
      <c r="G54" s="3247"/>
      <c r="N54" s="3232" t="s">
        <v>3061</v>
      </c>
    </row>
    <row r="55" spans="1:17" ht="14.25" customHeight="1">
      <c r="A55" s="3237" t="s">
        <v>110</v>
      </c>
      <c r="B55" s="3228" t="s">
        <v>3062</v>
      </c>
      <c r="C55" s="3232">
        <v>21970</v>
      </c>
      <c r="D55" s="3232">
        <v>20370</v>
      </c>
      <c r="E55" s="3232">
        <v>20180</v>
      </c>
      <c r="F55" s="3232">
        <v>5730</v>
      </c>
      <c r="G55" s="3232">
        <v>13820</v>
      </c>
      <c r="N55" s="3232" t="s">
        <v>3063</v>
      </c>
    </row>
    <row r="56" spans="1:17" ht="14.25" customHeight="1">
      <c r="A56" s="3232" t="s">
        <v>110</v>
      </c>
      <c r="B56" s="3232" t="s">
        <v>130</v>
      </c>
      <c r="C56" s="3232">
        <v>20470</v>
      </c>
      <c r="D56" s="3232">
        <v>20700</v>
      </c>
      <c r="E56" s="3232">
        <v>20380</v>
      </c>
      <c r="F56" s="3232">
        <v>4760</v>
      </c>
      <c r="G56" s="3232">
        <v>14050</v>
      </c>
      <c r="N56" s="3232" t="s">
        <v>3064</v>
      </c>
    </row>
    <row r="57" spans="1:17" ht="14.25" customHeight="1">
      <c r="A57" s="3232" t="s">
        <v>110</v>
      </c>
      <c r="B57" s="3232" t="s">
        <v>139</v>
      </c>
      <c r="C57" s="3232">
        <v>20790</v>
      </c>
      <c r="D57" s="3232">
        <v>21370</v>
      </c>
      <c r="E57" s="3232">
        <v>20890</v>
      </c>
      <c r="F57" s="3232">
        <v>4910</v>
      </c>
      <c r="G57" s="3232">
        <v>14510</v>
      </c>
      <c r="N57" s="3232" t="s">
        <v>3065</v>
      </c>
    </row>
    <row r="58" spans="1:17" ht="14.25" customHeight="1">
      <c r="A58" s="3232" t="s">
        <v>110</v>
      </c>
      <c r="B58" s="3232" t="s">
        <v>148</v>
      </c>
      <c r="C58" s="3232">
        <v>21460</v>
      </c>
      <c r="D58" s="3232">
        <v>20920</v>
      </c>
      <c r="E58" s="3232">
        <v>23410</v>
      </c>
      <c r="F58" s="3232">
        <v>5100</v>
      </c>
      <c r="G58" s="3232">
        <v>14200</v>
      </c>
      <c r="N58" s="3232" t="s">
        <v>3066</v>
      </c>
    </row>
    <row r="59" spans="1:17" ht="14.25" customHeight="1">
      <c r="A59" s="3232" t="s">
        <v>110</v>
      </c>
      <c r="B59" s="3232" t="s">
        <v>157</v>
      </c>
      <c r="C59" s="3232">
        <v>21000</v>
      </c>
      <c r="D59" s="3232">
        <v>21550</v>
      </c>
      <c r="E59" s="3232">
        <v>21150</v>
      </c>
      <c r="F59" s="3232">
        <v>5250</v>
      </c>
      <c r="G59" s="3232">
        <v>14630</v>
      </c>
      <c r="N59" s="3232" t="s">
        <v>3067</v>
      </c>
    </row>
    <row r="60" spans="1:17" ht="14.25" customHeight="1">
      <c r="A60" s="3232" t="s">
        <v>110</v>
      </c>
      <c r="B60" s="3232" t="s">
        <v>164</v>
      </c>
      <c r="C60" s="3232">
        <v>21640</v>
      </c>
      <c r="D60" s="3232">
        <v>21260</v>
      </c>
      <c r="E60" s="3232">
        <v>24040</v>
      </c>
      <c r="F60" s="3232">
        <v>4470</v>
      </c>
      <c r="G60" s="3232">
        <v>14430</v>
      </c>
      <c r="N60" s="3232" t="s">
        <v>3068</v>
      </c>
    </row>
    <row r="61" spans="1:17" ht="14.25" customHeight="1">
      <c r="A61" s="3232" t="s">
        <v>110</v>
      </c>
      <c r="B61" s="3232" t="s">
        <v>170</v>
      </c>
      <c r="C61" s="3232">
        <v>21330</v>
      </c>
      <c r="D61" s="3232">
        <v>18640</v>
      </c>
      <c r="E61" s="3232">
        <v>21190</v>
      </c>
      <c r="F61" s="3232">
        <v>4180</v>
      </c>
      <c r="G61" s="3232">
        <v>12650</v>
      </c>
      <c r="N61" s="3232" t="s">
        <v>3069</v>
      </c>
    </row>
    <row r="62" spans="1:17" ht="14.25" customHeight="1">
      <c r="A62" s="3232" t="s">
        <v>110</v>
      </c>
      <c r="B62" s="3232" t="s">
        <v>177</v>
      </c>
      <c r="C62" s="3232">
        <v>18710</v>
      </c>
      <c r="D62" s="3232">
        <v>19400</v>
      </c>
      <c r="E62" s="3232">
        <v>23750</v>
      </c>
      <c r="F62" s="3232">
        <v>4860</v>
      </c>
      <c r="G62" s="3232">
        <v>13170</v>
      </c>
      <c r="N62" s="3232" t="s">
        <v>3070</v>
      </c>
    </row>
    <row r="63" spans="1:17" ht="14.25" customHeight="1">
      <c r="A63" s="3232" t="s">
        <v>110</v>
      </c>
      <c r="B63" s="3232" t="s">
        <v>187</v>
      </c>
      <c r="C63" s="3232">
        <v>19480</v>
      </c>
      <c r="D63" s="3232">
        <v>16830</v>
      </c>
      <c r="E63" s="3232">
        <v>21590</v>
      </c>
      <c r="F63" s="3232">
        <v>4560</v>
      </c>
      <c r="G63" s="3232">
        <v>11420</v>
      </c>
      <c r="N63" s="3232" t="s">
        <v>3071</v>
      </c>
    </row>
    <row r="64" spans="1:17" ht="14.25" customHeight="1" thickBot="1">
      <c r="A64" s="3232" t="s">
        <v>110</v>
      </c>
      <c r="B64" s="3232" t="s">
        <v>196</v>
      </c>
      <c r="C64" s="3232">
        <v>16920</v>
      </c>
      <c r="D64" s="3232">
        <v>19190</v>
      </c>
      <c r="E64" s="3232">
        <v>22200</v>
      </c>
      <c r="F64" s="3232">
        <v>4390</v>
      </c>
      <c r="G64" s="3232">
        <v>13030</v>
      </c>
      <c r="N64" s="3239" t="s">
        <v>3072</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2943</v>
      </c>
      <c r="C78" s="3232">
        <v>19820</v>
      </c>
      <c r="D78" s="3232">
        <v>19780</v>
      </c>
      <c r="E78" s="3232">
        <v>18560</v>
      </c>
      <c r="F78" s="3232"/>
      <c r="G78" s="3232">
        <v>13430</v>
      </c>
    </row>
    <row r="79" spans="1:7" s="3221" customFormat="1" ht="14.25" customHeight="1">
      <c r="A79" s="3232" t="s">
        <v>110</v>
      </c>
      <c r="B79" s="3232" t="s">
        <v>2946</v>
      </c>
      <c r="C79" s="3232">
        <v>21660</v>
      </c>
      <c r="D79" s="3232">
        <v>18000</v>
      </c>
      <c r="E79" s="3232">
        <v>22570</v>
      </c>
      <c r="F79" s="3232"/>
      <c r="G79" s="3232">
        <v>12220</v>
      </c>
    </row>
    <row r="80" spans="1:7" s="3221" customFormat="1" ht="14.25" customHeight="1">
      <c r="A80" s="3232" t="s">
        <v>110</v>
      </c>
      <c r="B80" s="3232" t="s">
        <v>2950</v>
      </c>
      <c r="C80" s="3232">
        <v>19850</v>
      </c>
      <c r="D80" s="3232"/>
      <c r="E80" s="3232">
        <v>21700</v>
      </c>
      <c r="F80" s="3232"/>
      <c r="G80" s="3232"/>
    </row>
    <row r="81" spans="1:7" s="3221" customFormat="1" ht="14.25" customHeight="1">
      <c r="A81" s="3232" t="s">
        <v>110</v>
      </c>
      <c r="B81" s="3232" t="s">
        <v>2955</v>
      </c>
      <c r="C81" s="3232">
        <v>18080</v>
      </c>
      <c r="D81" s="3232"/>
      <c r="E81" s="3232">
        <v>20900</v>
      </c>
      <c r="F81" s="3232"/>
      <c r="G81" s="3232"/>
    </row>
    <row r="82" spans="1:7" s="3221" customFormat="1" ht="14.25" customHeight="1">
      <c r="A82" s="3232" t="s">
        <v>110</v>
      </c>
      <c r="B82" s="3232" t="s">
        <v>2962</v>
      </c>
      <c r="C82" s="3232"/>
      <c r="D82" s="3232"/>
      <c r="E82" s="3232">
        <v>20840</v>
      </c>
      <c r="F82" s="3232"/>
      <c r="G82" s="3232"/>
    </row>
    <row r="83" spans="1:7" s="3221" customFormat="1" ht="14.25" customHeight="1">
      <c r="A83" s="3232" t="s">
        <v>110</v>
      </c>
      <c r="B83" s="3232" t="s">
        <v>3073</v>
      </c>
      <c r="C83" s="3232"/>
      <c r="D83" s="3232"/>
      <c r="E83" s="3232"/>
      <c r="F83" s="3232">
        <v>4770</v>
      </c>
      <c r="G83" s="3232"/>
    </row>
    <row r="84" spans="1:7" s="3221" customFormat="1" ht="14.25" customHeight="1">
      <c r="A84" s="3232" t="s">
        <v>110</v>
      </c>
      <c r="B84" s="3232" t="s">
        <v>3074</v>
      </c>
      <c r="C84" s="3232"/>
      <c r="D84" s="3232"/>
      <c r="E84" s="3232"/>
      <c r="F84" s="3232">
        <v>4600</v>
      </c>
      <c r="G84" s="3232"/>
    </row>
    <row r="85" spans="1:7" s="3221" customFormat="1" ht="14.25" customHeight="1">
      <c r="A85" s="3232" t="s">
        <v>110</v>
      </c>
      <c r="B85" s="3232" t="s">
        <v>3075</v>
      </c>
      <c r="C85" s="3232"/>
      <c r="D85" s="3232"/>
      <c r="E85" s="3232"/>
      <c r="F85" s="3232">
        <v>4680</v>
      </c>
      <c r="G85" s="3232"/>
    </row>
    <row r="86" spans="1:7" s="3221" customFormat="1" ht="14.25" customHeight="1" thickBot="1">
      <c r="A86" s="3240" t="s">
        <v>110</v>
      </c>
      <c r="B86" s="3242" t="s">
        <v>3076</v>
      </c>
      <c r="C86" s="3243">
        <v>16610</v>
      </c>
      <c r="D86" s="3243">
        <v>16540</v>
      </c>
      <c r="E86" s="3243">
        <v>18850</v>
      </c>
      <c r="F86" s="3243"/>
      <c r="G86" s="3243">
        <v>11220</v>
      </c>
    </row>
    <row r="87" spans="1:7" s="3221" customFormat="1" ht="14.25" customHeight="1">
      <c r="A87" s="3237" t="s">
        <v>303</v>
      </c>
      <c r="B87" s="3228" t="s">
        <v>3077</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2956</v>
      </c>
      <c r="C113" s="3232">
        <v>15520</v>
      </c>
      <c r="D113" s="3232">
        <v>15450</v>
      </c>
      <c r="E113" s="3232"/>
      <c r="F113" s="3232"/>
      <c r="G113" s="3245">
        <v>10210</v>
      </c>
    </row>
    <row r="114" spans="1:7" s="3221" customFormat="1" ht="14.25" customHeight="1">
      <c r="A114" s="3232" t="s">
        <v>303</v>
      </c>
      <c r="B114" s="3232" t="s">
        <v>2963</v>
      </c>
      <c r="C114" s="3232">
        <v>13110</v>
      </c>
      <c r="D114" s="3232">
        <v>13050</v>
      </c>
      <c r="E114" s="3232"/>
      <c r="F114" s="3232"/>
      <c r="G114" s="3245">
        <v>8620</v>
      </c>
    </row>
    <row r="115" spans="1:7" s="3221" customFormat="1" ht="14.25" customHeight="1">
      <c r="A115" s="3232" t="s">
        <v>303</v>
      </c>
      <c r="B115" s="3232" t="s">
        <v>2969</v>
      </c>
      <c r="C115" s="3232">
        <v>12460</v>
      </c>
      <c r="D115" s="3232">
        <v>12390</v>
      </c>
      <c r="E115" s="3232"/>
      <c r="F115" s="3232"/>
      <c r="G115" s="3245">
        <v>8190</v>
      </c>
    </row>
    <row r="116" spans="1:7" s="3221" customFormat="1" ht="14.25" customHeight="1">
      <c r="A116" s="3232" t="s">
        <v>303</v>
      </c>
      <c r="B116" s="3232" t="s">
        <v>2976</v>
      </c>
      <c r="C116" s="3232">
        <v>13580</v>
      </c>
      <c r="D116" s="3232">
        <v>13520</v>
      </c>
      <c r="E116" s="3232"/>
      <c r="F116" s="3232"/>
      <c r="G116" s="3245">
        <v>8930</v>
      </c>
    </row>
    <row r="117" spans="1:7" s="3221" customFormat="1" ht="14.25" customHeight="1">
      <c r="A117" s="3232" t="s">
        <v>303</v>
      </c>
      <c r="B117" s="3232" t="s">
        <v>2983</v>
      </c>
      <c r="C117" s="3232">
        <v>17120</v>
      </c>
      <c r="D117" s="3232">
        <v>17040</v>
      </c>
      <c r="E117" s="3232"/>
      <c r="F117" s="3232"/>
      <c r="G117" s="3245">
        <v>11260</v>
      </c>
    </row>
    <row r="118" spans="1:7" s="3221" customFormat="1" ht="14.25" customHeight="1">
      <c r="A118" s="3232" t="s">
        <v>303</v>
      </c>
      <c r="B118" s="3232" t="s">
        <v>2988</v>
      </c>
      <c r="C118" s="3232">
        <v>14860</v>
      </c>
      <c r="D118" s="3232">
        <v>14790</v>
      </c>
      <c r="E118" s="3232"/>
      <c r="F118" s="3232"/>
      <c r="G118" s="3245">
        <v>9780</v>
      </c>
    </row>
    <row r="119" spans="1:7" s="3221" customFormat="1" ht="14.25" customHeight="1">
      <c r="A119" s="3232" t="s">
        <v>303</v>
      </c>
      <c r="B119" s="3232" t="s">
        <v>2992</v>
      </c>
      <c r="C119" s="3232">
        <v>16470</v>
      </c>
      <c r="D119" s="3232">
        <v>16400</v>
      </c>
      <c r="E119" s="3232"/>
      <c r="F119" s="3232"/>
      <c r="G119" s="3245">
        <v>10840</v>
      </c>
    </row>
    <row r="120" spans="1:7" s="3221" customFormat="1" ht="14.25" customHeight="1">
      <c r="A120" s="3232" t="s">
        <v>303</v>
      </c>
      <c r="B120" s="3232" t="s">
        <v>3078</v>
      </c>
      <c r="C120" s="3232"/>
      <c r="D120" s="3232"/>
      <c r="E120" s="3232"/>
      <c r="F120" s="3232">
        <v>4160</v>
      </c>
      <c r="G120" s="3245"/>
    </row>
    <row r="121" spans="1:7" s="3221" customFormat="1" ht="14.25" customHeight="1">
      <c r="A121" s="3232" t="s">
        <v>303</v>
      </c>
      <c r="B121" s="3232" t="s">
        <v>3079</v>
      </c>
      <c r="C121" s="3232"/>
      <c r="D121" s="3232"/>
      <c r="E121" s="3232"/>
      <c r="F121" s="3232">
        <v>3880</v>
      </c>
      <c r="G121" s="3245"/>
    </row>
    <row r="122" spans="1:7" s="3221" customFormat="1" ht="14.25" customHeight="1">
      <c r="A122" s="3232" t="s">
        <v>303</v>
      </c>
      <c r="B122" s="3232" t="s">
        <v>3080</v>
      </c>
      <c r="C122" s="3232">
        <v>13750</v>
      </c>
      <c r="D122" s="3232">
        <v>13680</v>
      </c>
      <c r="E122" s="3232">
        <v>16460</v>
      </c>
      <c r="F122" s="3232">
        <v>2880</v>
      </c>
      <c r="G122" s="3245">
        <v>9040</v>
      </c>
    </row>
    <row r="123" spans="1:7" s="3221" customFormat="1" ht="14.25" customHeight="1">
      <c r="A123" s="3232" t="s">
        <v>303</v>
      </c>
      <c r="B123" s="3232" t="s">
        <v>3011</v>
      </c>
      <c r="C123" s="3232">
        <v>13590</v>
      </c>
      <c r="D123" s="3232">
        <v>13520</v>
      </c>
      <c r="E123" s="3232">
        <v>16290</v>
      </c>
      <c r="F123" s="3232">
        <v>2790</v>
      </c>
      <c r="G123" s="3245">
        <v>8930</v>
      </c>
    </row>
    <row r="124" spans="1:7" s="3221" customFormat="1" ht="14.25" customHeight="1">
      <c r="A124" s="3232" t="s">
        <v>303</v>
      </c>
      <c r="B124" s="3232" t="s">
        <v>3016</v>
      </c>
      <c r="C124" s="3232">
        <v>13400</v>
      </c>
      <c r="D124" s="3232">
        <v>13320</v>
      </c>
      <c r="E124" s="3232">
        <v>16100</v>
      </c>
      <c r="F124" s="3232">
        <v>2320</v>
      </c>
      <c r="G124" s="3245">
        <v>8800</v>
      </c>
    </row>
    <row r="125" spans="1:7" s="3221" customFormat="1" ht="14.25" customHeight="1">
      <c r="A125" s="3232" t="s">
        <v>303</v>
      </c>
      <c r="B125" s="3232" t="s">
        <v>3021</v>
      </c>
      <c r="C125" s="3232">
        <v>12860</v>
      </c>
      <c r="D125" s="3232">
        <v>12790</v>
      </c>
      <c r="E125" s="3232">
        <v>15370</v>
      </c>
      <c r="F125" s="3232">
        <v>2280</v>
      </c>
      <c r="G125" s="3245">
        <v>8450</v>
      </c>
    </row>
    <row r="126" spans="1:7" s="3221" customFormat="1" ht="14.25" customHeight="1" thickBot="1">
      <c r="A126" s="3246" t="s">
        <v>303</v>
      </c>
      <c r="B126" s="3239" t="s">
        <v>3026</v>
      </c>
      <c r="C126" s="3239">
        <v>12960</v>
      </c>
      <c r="D126" s="3239">
        <v>12890</v>
      </c>
      <c r="E126" s="3239">
        <v>15530</v>
      </c>
      <c r="F126" s="3239">
        <v>2910</v>
      </c>
      <c r="G126" s="3247">
        <v>8520</v>
      </c>
    </row>
    <row r="127" spans="1:7" s="3221" customFormat="1" ht="14.25" customHeight="1">
      <c r="A127" s="3237" t="s">
        <v>29</v>
      </c>
      <c r="B127" s="3228" t="s">
        <v>3081</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3082</v>
      </c>
      <c r="C148" s="3232">
        <v>10370</v>
      </c>
      <c r="D148" s="3232">
        <v>10310</v>
      </c>
      <c r="E148" s="3232">
        <v>12970</v>
      </c>
      <c r="F148" s="3232"/>
      <c r="G148" s="3232">
        <v>6630</v>
      </c>
    </row>
    <row r="149" spans="1:7" s="3221" customFormat="1" ht="14.25" customHeight="1">
      <c r="A149" s="3232" t="s">
        <v>29</v>
      </c>
      <c r="B149" s="3232" t="s">
        <v>3083</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2957</v>
      </c>
      <c r="C153" s="3232">
        <v>10880</v>
      </c>
      <c r="D153" s="3232">
        <v>10820</v>
      </c>
      <c r="E153" s="3232">
        <v>13660</v>
      </c>
      <c r="F153" s="3232">
        <v>2260</v>
      </c>
      <c r="G153" s="3232">
        <v>6970</v>
      </c>
    </row>
    <row r="154" spans="1:7" s="3221" customFormat="1" ht="14.25" customHeight="1">
      <c r="A154" s="3232" t="s">
        <v>29</v>
      </c>
      <c r="B154" s="3232" t="s">
        <v>3084</v>
      </c>
      <c r="C154" s="3232">
        <v>11220</v>
      </c>
      <c r="D154" s="3232">
        <v>11160</v>
      </c>
      <c r="E154" s="3232">
        <v>14130</v>
      </c>
      <c r="F154" s="3232">
        <v>2230</v>
      </c>
      <c r="G154" s="3232">
        <v>7180</v>
      </c>
    </row>
    <row r="155" spans="1:7" s="3221" customFormat="1" ht="14.25" customHeight="1">
      <c r="A155" s="3232" t="s">
        <v>29</v>
      </c>
      <c r="B155" s="3232" t="s">
        <v>2970</v>
      </c>
      <c r="C155" s="3232">
        <v>10430</v>
      </c>
      <c r="D155" s="3232">
        <v>10380</v>
      </c>
      <c r="E155" s="3232">
        <v>13140</v>
      </c>
      <c r="F155" s="3232">
        <v>2080</v>
      </c>
      <c r="G155" s="3232">
        <v>6650</v>
      </c>
    </row>
    <row r="156" spans="1:7" s="3221" customFormat="1" ht="14.25" customHeight="1">
      <c r="A156" s="3232" t="s">
        <v>29</v>
      </c>
      <c r="B156" s="3232" t="s">
        <v>3085</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3086</v>
      </c>
      <c r="C160" s="3232">
        <v>11180</v>
      </c>
      <c r="D160" s="3232">
        <v>11140</v>
      </c>
      <c r="E160" s="3232">
        <v>14050</v>
      </c>
      <c r="F160" s="3232">
        <v>2270</v>
      </c>
      <c r="G160" s="3232">
        <v>7170</v>
      </c>
    </row>
    <row r="161" spans="1:7" s="3221" customFormat="1" ht="14.25" customHeight="1">
      <c r="A161" s="3232" t="s">
        <v>29</v>
      </c>
      <c r="B161" s="3232" t="s">
        <v>3002</v>
      </c>
      <c r="C161" s="3232">
        <v>11160</v>
      </c>
      <c r="D161" s="3232">
        <v>11120</v>
      </c>
      <c r="E161" s="3232">
        <v>14020</v>
      </c>
      <c r="F161" s="3232">
        <v>2150</v>
      </c>
      <c r="G161" s="3232">
        <v>7160</v>
      </c>
    </row>
    <row r="162" spans="1:7" s="3221" customFormat="1" ht="14.25" customHeight="1">
      <c r="A162" s="3232" t="s">
        <v>29</v>
      </c>
      <c r="B162" s="3232" t="s">
        <v>3007</v>
      </c>
      <c r="C162" s="3232">
        <v>9620</v>
      </c>
      <c r="D162" s="3232">
        <v>9570</v>
      </c>
      <c r="E162" s="3232">
        <v>12320</v>
      </c>
      <c r="F162" s="3232">
        <v>2010</v>
      </c>
      <c r="G162" s="3232">
        <v>6160</v>
      </c>
    </row>
    <row r="163" spans="1:7" s="3221" customFormat="1" ht="14.25" customHeight="1">
      <c r="A163" s="3232" t="s">
        <v>29</v>
      </c>
      <c r="B163" s="3232" t="s">
        <v>3012</v>
      </c>
      <c r="C163" s="3232">
        <v>9320</v>
      </c>
      <c r="D163" s="3232">
        <v>9270</v>
      </c>
      <c r="E163" s="3232">
        <v>11790</v>
      </c>
      <c r="F163" s="3232">
        <v>1920</v>
      </c>
      <c r="G163" s="3232">
        <v>5960</v>
      </c>
    </row>
    <row r="164" spans="1:7" s="3221" customFormat="1" ht="14.25" customHeight="1">
      <c r="A164" s="3232" t="s">
        <v>29</v>
      </c>
      <c r="B164" s="3232" t="s">
        <v>3017</v>
      </c>
      <c r="C164" s="3232"/>
      <c r="D164" s="3232"/>
      <c r="E164" s="3232"/>
      <c r="F164" s="3232">
        <v>1980</v>
      </c>
      <c r="G164" s="3232"/>
    </row>
    <row r="165" spans="1:7" s="3221" customFormat="1" ht="14.25" customHeight="1">
      <c r="A165" s="3232" t="s">
        <v>29</v>
      </c>
      <c r="B165" s="3232" t="s">
        <v>3087</v>
      </c>
      <c r="C165" s="3232">
        <v>11060</v>
      </c>
      <c r="D165" s="3232">
        <v>11030</v>
      </c>
      <c r="E165" s="3232">
        <v>13850</v>
      </c>
      <c r="F165" s="3232">
        <v>2170</v>
      </c>
      <c r="G165" s="3232">
        <v>7090</v>
      </c>
    </row>
    <row r="166" spans="1:7" s="3221" customFormat="1" ht="14.25" customHeight="1">
      <c r="A166" s="3232" t="s">
        <v>29</v>
      </c>
      <c r="B166" s="3232" t="s">
        <v>3027</v>
      </c>
      <c r="C166" s="3232">
        <v>11050</v>
      </c>
      <c r="D166" s="3232">
        <v>11010</v>
      </c>
      <c r="E166" s="3232">
        <v>13920</v>
      </c>
      <c r="F166" s="3232">
        <v>2140</v>
      </c>
      <c r="G166" s="3232">
        <v>7080</v>
      </c>
    </row>
    <row r="167" spans="1:7" s="3221" customFormat="1" ht="14.25" customHeight="1">
      <c r="A167" s="3232" t="s">
        <v>29</v>
      </c>
      <c r="B167" s="3232" t="s">
        <v>3031</v>
      </c>
      <c r="C167" s="3232">
        <v>10930</v>
      </c>
      <c r="D167" s="3232">
        <v>10890</v>
      </c>
      <c r="E167" s="3232">
        <v>13790</v>
      </c>
      <c r="F167" s="3232">
        <v>2010</v>
      </c>
      <c r="G167" s="3232">
        <v>7000</v>
      </c>
    </row>
    <row r="168" spans="1:7" s="3221" customFormat="1" ht="14.25" customHeight="1">
      <c r="A168" s="3232" t="s">
        <v>29</v>
      </c>
      <c r="B168" s="3232" t="s">
        <v>3036</v>
      </c>
      <c r="C168" s="3232">
        <v>9420</v>
      </c>
      <c r="D168" s="3232">
        <v>9380</v>
      </c>
      <c r="E168" s="3232">
        <v>11970</v>
      </c>
      <c r="F168" s="3232"/>
      <c r="G168" s="3232">
        <v>6040</v>
      </c>
    </row>
    <row r="169" spans="1:7" s="3221" customFormat="1" ht="14.25" customHeight="1">
      <c r="A169" s="3232" t="s">
        <v>29</v>
      </c>
      <c r="B169" s="3232" t="s">
        <v>3088</v>
      </c>
      <c r="C169" s="3232"/>
      <c r="D169" s="3232"/>
      <c r="E169" s="3232"/>
      <c r="F169" s="3232">
        <v>2880</v>
      </c>
      <c r="G169" s="3232"/>
    </row>
    <row r="170" spans="1:7" s="3221" customFormat="1" ht="14.25" customHeight="1">
      <c r="A170" s="3232" t="s">
        <v>29</v>
      </c>
      <c r="B170" s="3232" t="s">
        <v>3044</v>
      </c>
      <c r="C170" s="3232"/>
      <c r="D170" s="3232"/>
      <c r="E170" s="3232"/>
      <c r="F170" s="3232">
        <v>2880</v>
      </c>
      <c r="G170" s="3232"/>
    </row>
    <row r="171" spans="1:7" s="3221" customFormat="1" ht="14.25" customHeight="1">
      <c r="A171" s="3232" t="s">
        <v>29</v>
      </c>
      <c r="B171" s="3232" t="s">
        <v>3047</v>
      </c>
      <c r="C171" s="3232"/>
      <c r="D171" s="3232"/>
      <c r="E171" s="3232"/>
      <c r="F171" s="3232">
        <v>2880</v>
      </c>
      <c r="G171" s="3232"/>
    </row>
    <row r="172" spans="1:7" s="3221" customFormat="1" ht="14.25" customHeight="1">
      <c r="A172" s="3232" t="s">
        <v>29</v>
      </c>
      <c r="B172" s="3232" t="s">
        <v>3049</v>
      </c>
      <c r="C172" s="3232"/>
      <c r="D172" s="3232"/>
      <c r="E172" s="3232"/>
      <c r="F172" s="3232">
        <v>2880</v>
      </c>
      <c r="G172" s="3232"/>
    </row>
    <row r="173" spans="1:7" s="3221" customFormat="1" ht="14.25" customHeight="1">
      <c r="A173" s="3232" t="s">
        <v>29</v>
      </c>
      <c r="B173" s="3232" t="s">
        <v>3051</v>
      </c>
      <c r="C173" s="3232"/>
      <c r="D173" s="3232"/>
      <c r="E173" s="3232"/>
      <c r="F173" s="3232">
        <v>2150</v>
      </c>
      <c r="G173" s="3232"/>
    </row>
    <row r="174" spans="1:7" s="3221" customFormat="1" ht="14.25" customHeight="1">
      <c r="A174" s="3232" t="s">
        <v>29</v>
      </c>
      <c r="B174" s="3232" t="s">
        <v>3053</v>
      </c>
      <c r="C174" s="3232"/>
      <c r="D174" s="3232"/>
      <c r="E174" s="3232"/>
      <c r="F174" s="3232">
        <v>2030</v>
      </c>
      <c r="G174" s="3232"/>
    </row>
    <row r="175" spans="1:7" s="3221" customFormat="1" ht="14.25" customHeight="1">
      <c r="A175" s="3232" t="s">
        <v>29</v>
      </c>
      <c r="B175" s="3232" t="s">
        <v>3055</v>
      </c>
      <c r="C175" s="3232"/>
      <c r="D175" s="3232"/>
      <c r="E175" s="3232"/>
      <c r="F175" s="3232">
        <v>2780</v>
      </c>
      <c r="G175" s="3232"/>
    </row>
    <row r="176" spans="1:7" s="3221" customFormat="1" ht="14.25" customHeight="1">
      <c r="A176" s="3232" t="s">
        <v>29</v>
      </c>
      <c r="B176" s="3232" t="s">
        <v>3057</v>
      </c>
      <c r="C176" s="3232"/>
      <c r="D176" s="3232"/>
      <c r="E176" s="3232"/>
      <c r="F176" s="3232">
        <v>2780</v>
      </c>
      <c r="G176" s="3232"/>
    </row>
    <row r="177" spans="1:7" s="3221" customFormat="1" ht="14.25" customHeight="1">
      <c r="A177" s="3232" t="s">
        <v>29</v>
      </c>
      <c r="B177" s="3232" t="s">
        <v>3089</v>
      </c>
      <c r="C177" s="3232"/>
      <c r="D177" s="3232"/>
      <c r="E177" s="3232"/>
      <c r="F177" s="3232">
        <v>2780</v>
      </c>
      <c r="G177" s="3232"/>
    </row>
    <row r="178" spans="1:7" s="3221" customFormat="1" ht="14.25" customHeight="1">
      <c r="A178" s="3232" t="s">
        <v>29</v>
      </c>
      <c r="B178" s="3232" t="s">
        <v>3090</v>
      </c>
      <c r="C178" s="3232"/>
      <c r="D178" s="3232"/>
      <c r="E178" s="3232"/>
      <c r="F178" s="3232">
        <v>2060</v>
      </c>
      <c r="G178" s="3232"/>
    </row>
    <row r="179" spans="1:7" s="3221" customFormat="1" ht="14.25" customHeight="1">
      <c r="A179" s="3232" t="s">
        <v>29</v>
      </c>
      <c r="B179" s="3232" t="s">
        <v>3091</v>
      </c>
      <c r="C179" s="3232"/>
      <c r="D179" s="3232"/>
      <c r="E179" s="3232"/>
      <c r="F179" s="3232">
        <v>2120</v>
      </c>
      <c r="G179" s="3232"/>
    </row>
    <row r="180" spans="1:7" s="3221" customFormat="1" ht="14.25" customHeight="1">
      <c r="A180" s="3232" t="s">
        <v>29</v>
      </c>
      <c r="B180" s="3232" t="s">
        <v>3063</v>
      </c>
      <c r="C180" s="3232"/>
      <c r="D180" s="3232"/>
      <c r="E180" s="3232"/>
      <c r="F180" s="3232">
        <v>2340</v>
      </c>
      <c r="G180" s="3232"/>
    </row>
    <row r="181" spans="1:7" s="3221" customFormat="1" ht="14.25" customHeight="1">
      <c r="A181" s="3232" t="s">
        <v>29</v>
      </c>
      <c r="B181" s="3232" t="s">
        <v>3064</v>
      </c>
      <c r="C181" s="3232"/>
      <c r="D181" s="3232"/>
      <c r="E181" s="3232"/>
      <c r="F181" s="3232">
        <v>2340</v>
      </c>
      <c r="G181" s="3232"/>
    </row>
    <row r="182" spans="1:7" s="3221" customFormat="1" ht="14.25" customHeight="1">
      <c r="A182" s="3232" t="s">
        <v>29</v>
      </c>
      <c r="B182" s="3232" t="s">
        <v>3065</v>
      </c>
      <c r="C182" s="3232"/>
      <c r="D182" s="3232"/>
      <c r="E182" s="3232"/>
      <c r="F182" s="3232">
        <v>2340</v>
      </c>
      <c r="G182" s="3232"/>
    </row>
    <row r="183" spans="1:7" s="3221" customFormat="1" ht="14.25" customHeight="1">
      <c r="A183" s="3232" t="s">
        <v>29</v>
      </c>
      <c r="B183" s="3232" t="s">
        <v>3066</v>
      </c>
      <c r="C183" s="3232"/>
      <c r="D183" s="3232"/>
      <c r="E183" s="3232"/>
      <c r="F183" s="3232">
        <v>2340</v>
      </c>
      <c r="G183" s="3232"/>
    </row>
    <row r="184" spans="1:7" s="3221" customFormat="1" ht="14.25" customHeight="1">
      <c r="A184" s="3232" t="s">
        <v>29</v>
      </c>
      <c r="B184" s="3232" t="s">
        <v>3067</v>
      </c>
      <c r="C184" s="3232"/>
      <c r="D184" s="3232"/>
      <c r="E184" s="3232"/>
      <c r="F184" s="3232">
        <v>2340</v>
      </c>
      <c r="G184" s="3232"/>
    </row>
    <row r="185" spans="1:7" s="3221" customFormat="1" ht="14.25" customHeight="1">
      <c r="A185" s="3232" t="s">
        <v>29</v>
      </c>
      <c r="B185" s="3232" t="s">
        <v>3068</v>
      </c>
      <c r="C185" s="3232"/>
      <c r="D185" s="3232"/>
      <c r="E185" s="3232"/>
      <c r="F185" s="3232">
        <v>2530</v>
      </c>
      <c r="G185" s="3232"/>
    </row>
    <row r="186" spans="1:7" s="3221" customFormat="1" ht="14.25" customHeight="1">
      <c r="A186" s="3232" t="s">
        <v>29</v>
      </c>
      <c r="B186" s="3232" t="s">
        <v>3069</v>
      </c>
      <c r="C186" s="3232"/>
      <c r="D186" s="3232"/>
      <c r="E186" s="3232"/>
      <c r="F186" s="3232">
        <v>2550</v>
      </c>
      <c r="G186" s="3232"/>
    </row>
    <row r="187" spans="1:7" s="3221" customFormat="1" ht="14.25" customHeight="1">
      <c r="A187" s="3232" t="s">
        <v>29</v>
      </c>
      <c r="B187" s="3232" t="s">
        <v>3070</v>
      </c>
      <c r="C187" s="3232"/>
      <c r="D187" s="3232"/>
      <c r="E187" s="3232"/>
      <c r="F187" s="3232">
        <v>2070</v>
      </c>
      <c r="G187" s="3232"/>
    </row>
    <row r="188" spans="1:7" s="3221" customFormat="1" ht="14.25" customHeight="1">
      <c r="A188" s="3232" t="s">
        <v>29</v>
      </c>
      <c r="B188" s="3232" t="s">
        <v>3071</v>
      </c>
      <c r="C188" s="3232"/>
      <c r="D188" s="3232"/>
      <c r="E188" s="3232"/>
      <c r="F188" s="3232">
        <v>2340</v>
      </c>
      <c r="G188" s="3232"/>
    </row>
    <row r="189" spans="1:7" s="3221" customFormat="1" ht="14.25" customHeight="1" thickBot="1">
      <c r="A189" s="3240" t="s">
        <v>29</v>
      </c>
      <c r="B189" s="3243" t="s">
        <v>3072</v>
      </c>
      <c r="C189" s="3243"/>
      <c r="D189" s="3243"/>
      <c r="E189" s="3243"/>
      <c r="F189" s="3243">
        <v>2050</v>
      </c>
      <c r="G189" s="3243"/>
    </row>
    <row r="190" spans="1:7" s="3221" customFormat="1" ht="14.25" customHeight="1">
      <c r="A190" s="3237" t="s">
        <v>304</v>
      </c>
      <c r="B190" s="3228" t="s">
        <v>3092</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3093</v>
      </c>
      <c r="C199" s="3232">
        <v>8690</v>
      </c>
      <c r="D199" s="3232">
        <v>8630</v>
      </c>
      <c r="E199" s="3232">
        <v>11350</v>
      </c>
      <c r="F199" s="3232">
        <v>1600</v>
      </c>
      <c r="G199" s="3245">
        <v>5450</v>
      </c>
    </row>
    <row r="200" spans="1:7" s="3221" customFormat="1" ht="14.25" customHeight="1">
      <c r="A200" s="3232" t="s">
        <v>304</v>
      </c>
      <c r="B200" s="3232" t="s">
        <v>2904</v>
      </c>
      <c r="C200" s="3232"/>
      <c r="D200" s="3232"/>
      <c r="E200" s="3232"/>
      <c r="F200" s="3232">
        <v>1510</v>
      </c>
      <c r="G200" s="3245"/>
    </row>
    <row r="201" spans="1:7" s="3221" customFormat="1" ht="14.25" customHeight="1">
      <c r="A201" s="3232" t="s">
        <v>304</v>
      </c>
      <c r="B201" s="3232" t="s">
        <v>3094</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3095</v>
      </c>
      <c r="C203" s="3232">
        <v>8130</v>
      </c>
      <c r="D203" s="3232">
        <v>8070</v>
      </c>
      <c r="E203" s="3232">
        <v>10820</v>
      </c>
      <c r="F203" s="3232">
        <v>1690</v>
      </c>
      <c r="G203" s="3245">
        <v>5100</v>
      </c>
    </row>
    <row r="204" spans="1:7" s="3221" customFormat="1" ht="14.25" customHeight="1">
      <c r="A204" s="3232" t="s">
        <v>304</v>
      </c>
      <c r="B204" s="3232" t="s">
        <v>2915</v>
      </c>
      <c r="C204" s="3232">
        <v>8350</v>
      </c>
      <c r="D204" s="3232">
        <v>8290</v>
      </c>
      <c r="E204" s="3232">
        <v>11080</v>
      </c>
      <c r="F204" s="3232">
        <v>1450</v>
      </c>
      <c r="G204" s="3245">
        <v>5240</v>
      </c>
    </row>
    <row r="205" spans="1:7" s="3221" customFormat="1" ht="14.25" customHeight="1">
      <c r="A205" s="3232" t="s">
        <v>304</v>
      </c>
      <c r="B205" s="3232" t="s">
        <v>2917</v>
      </c>
      <c r="C205" s="3232">
        <v>7190</v>
      </c>
      <c r="D205" s="3232">
        <v>7130</v>
      </c>
      <c r="E205" s="3232">
        <v>9490</v>
      </c>
      <c r="F205" s="3232">
        <v>1470</v>
      </c>
      <c r="G205" s="3245">
        <v>4510</v>
      </c>
    </row>
    <row r="206" spans="1:7" s="3221" customFormat="1" ht="14.25" customHeight="1">
      <c r="A206" s="3232" t="s">
        <v>304</v>
      </c>
      <c r="B206" s="3232" t="s">
        <v>2920</v>
      </c>
      <c r="C206" s="3232">
        <v>7000</v>
      </c>
      <c r="D206" s="3232">
        <v>6950</v>
      </c>
      <c r="E206" s="3232">
        <v>9170</v>
      </c>
      <c r="F206" s="3232">
        <v>1400</v>
      </c>
      <c r="G206" s="3245">
        <v>4380</v>
      </c>
    </row>
    <row r="207" spans="1:7" s="3221" customFormat="1" ht="14.25" customHeight="1">
      <c r="A207" s="3232" t="s">
        <v>304</v>
      </c>
      <c r="B207" s="3232" t="s">
        <v>2922</v>
      </c>
      <c r="C207" s="3232">
        <v>6950</v>
      </c>
      <c r="D207" s="3232">
        <v>6900</v>
      </c>
      <c r="E207" s="3232">
        <v>9110</v>
      </c>
      <c r="F207" s="3232">
        <v>1790</v>
      </c>
      <c r="G207" s="3245">
        <v>4360</v>
      </c>
    </row>
    <row r="208" spans="1:7" s="3221" customFormat="1" ht="14.25" customHeight="1">
      <c r="A208" s="3232" t="s">
        <v>304</v>
      </c>
      <c r="B208" s="3232" t="s">
        <v>3096</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2932</v>
      </c>
      <c r="C210" s="3232">
        <v>8710</v>
      </c>
      <c r="D210" s="3232">
        <v>8660</v>
      </c>
      <c r="E210" s="3232">
        <v>11440</v>
      </c>
      <c r="F210" s="3232">
        <v>1740</v>
      </c>
      <c r="G210" s="3245">
        <v>5470</v>
      </c>
    </row>
    <row r="211" spans="1:7" s="3221" customFormat="1" ht="14.25" customHeight="1">
      <c r="A211" s="3232" t="s">
        <v>304</v>
      </c>
      <c r="B211" s="3232" t="s">
        <v>3097</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3098</v>
      </c>
      <c r="C214" s="3232">
        <v>8090</v>
      </c>
      <c r="D214" s="3232">
        <v>8030</v>
      </c>
      <c r="E214" s="3232">
        <v>10780</v>
      </c>
      <c r="F214" s="3232">
        <v>1570</v>
      </c>
      <c r="G214" s="3245">
        <v>5070</v>
      </c>
    </row>
    <row r="215" spans="1:7" s="3221" customFormat="1" ht="14.25" customHeight="1">
      <c r="A215" s="3232" t="s">
        <v>304</v>
      </c>
      <c r="B215" s="3232" t="s">
        <v>3099</v>
      </c>
      <c r="C215" s="3232">
        <v>7950</v>
      </c>
      <c r="D215" s="3232">
        <v>7900</v>
      </c>
      <c r="E215" s="3232">
        <v>10560</v>
      </c>
      <c r="F215" s="3232">
        <v>1630</v>
      </c>
      <c r="G215" s="3245">
        <v>4990</v>
      </c>
    </row>
    <row r="216" spans="1:7" s="3221" customFormat="1" ht="14.25" customHeight="1">
      <c r="A216" s="3232" t="s">
        <v>304</v>
      </c>
      <c r="B216" s="3232" t="s">
        <v>3100</v>
      </c>
      <c r="C216" s="3232">
        <v>8490</v>
      </c>
      <c r="D216" s="3232">
        <v>8440</v>
      </c>
      <c r="E216" s="3232">
        <v>11260</v>
      </c>
      <c r="F216" s="3232">
        <v>1690</v>
      </c>
      <c r="G216" s="3245">
        <v>5330</v>
      </c>
    </row>
    <row r="217" spans="1:7" s="3221" customFormat="1" ht="14.25" customHeight="1">
      <c r="A217" s="3232" t="s">
        <v>304</v>
      </c>
      <c r="B217" s="3232" t="s">
        <v>2965</v>
      </c>
      <c r="C217" s="3232">
        <v>8200</v>
      </c>
      <c r="D217" s="3232">
        <v>8150</v>
      </c>
      <c r="E217" s="3232">
        <v>10910</v>
      </c>
      <c r="F217" s="3232">
        <v>1670</v>
      </c>
      <c r="G217" s="3245">
        <v>5150</v>
      </c>
    </row>
    <row r="218" spans="1:7" s="3221" customFormat="1" ht="14.25" customHeight="1">
      <c r="A218" s="3232" t="s">
        <v>304</v>
      </c>
      <c r="B218" s="3232" t="s">
        <v>3101</v>
      </c>
      <c r="C218" s="3232"/>
      <c r="D218" s="3232"/>
      <c r="E218" s="3232"/>
      <c r="F218" s="3232">
        <v>2040</v>
      </c>
      <c r="G218" s="3245"/>
    </row>
    <row r="219" spans="1:7" s="3221" customFormat="1" ht="14.25" customHeight="1">
      <c r="A219" s="3232" t="s">
        <v>304</v>
      </c>
      <c r="B219" s="3232" t="s">
        <v>3102</v>
      </c>
      <c r="C219" s="3232"/>
      <c r="D219" s="3232"/>
      <c r="E219" s="3232"/>
      <c r="F219" s="3232">
        <v>2040</v>
      </c>
      <c r="G219" s="3245"/>
    </row>
    <row r="220" spans="1:7" s="3221" customFormat="1" ht="14.25" customHeight="1">
      <c r="A220" s="3232" t="s">
        <v>304</v>
      </c>
      <c r="B220" s="3232" t="s">
        <v>3103</v>
      </c>
      <c r="C220" s="3232"/>
      <c r="D220" s="3232"/>
      <c r="E220" s="3232"/>
      <c r="F220" s="3232">
        <v>2040</v>
      </c>
      <c r="G220" s="3245"/>
    </row>
    <row r="221" spans="1:7" s="3221" customFormat="1" ht="14.25" customHeight="1">
      <c r="A221" s="3232" t="s">
        <v>304</v>
      </c>
      <c r="B221" s="3232" t="s">
        <v>3104</v>
      </c>
      <c r="C221" s="3232"/>
      <c r="D221" s="3232"/>
      <c r="E221" s="3232"/>
      <c r="F221" s="3232">
        <v>2040</v>
      </c>
      <c r="G221" s="3245"/>
    </row>
    <row r="222" spans="1:7" s="3221" customFormat="1" ht="14.25" customHeight="1">
      <c r="A222" s="3232" t="s">
        <v>304</v>
      </c>
      <c r="B222" s="3232" t="s">
        <v>3105</v>
      </c>
      <c r="C222" s="3232"/>
      <c r="D222" s="3232"/>
      <c r="E222" s="3232"/>
      <c r="F222" s="3232">
        <v>2040</v>
      </c>
      <c r="G222" s="3245"/>
    </row>
    <row r="223" spans="1:7" s="3221" customFormat="1" ht="14.25" customHeight="1">
      <c r="A223" s="3232" t="s">
        <v>304</v>
      </c>
      <c r="B223" s="3232" t="s">
        <v>3106</v>
      </c>
      <c r="C223" s="3232"/>
      <c r="D223" s="3232"/>
      <c r="E223" s="3232"/>
      <c r="F223" s="3232">
        <v>1930</v>
      </c>
      <c r="G223" s="3245"/>
    </row>
    <row r="224" spans="1:7" s="3221" customFormat="1" ht="14.25" customHeight="1">
      <c r="A224" s="3232" t="s">
        <v>304</v>
      </c>
      <c r="B224" s="3232" t="s">
        <v>3107</v>
      </c>
      <c r="C224" s="3232"/>
      <c r="D224" s="3232"/>
      <c r="E224" s="3232"/>
      <c r="F224" s="3232">
        <v>1930</v>
      </c>
      <c r="G224" s="3245"/>
    </row>
    <row r="225" spans="1:7" s="3221" customFormat="1" ht="14.25" customHeight="1">
      <c r="A225" s="3232" t="s">
        <v>304</v>
      </c>
      <c r="B225" s="3232" t="s">
        <v>3108</v>
      </c>
      <c r="C225" s="3232"/>
      <c r="D225" s="3232"/>
      <c r="E225" s="3232"/>
      <c r="F225" s="3232">
        <v>1930</v>
      </c>
      <c r="G225" s="3245"/>
    </row>
    <row r="226" spans="1:7" s="3221" customFormat="1" ht="14.25" customHeight="1">
      <c r="A226" s="3232" t="s">
        <v>304</v>
      </c>
      <c r="B226" s="3232" t="s">
        <v>3109</v>
      </c>
      <c r="C226" s="3232"/>
      <c r="D226" s="3232"/>
      <c r="E226" s="3232"/>
      <c r="F226" s="3232">
        <v>1700</v>
      </c>
      <c r="G226" s="3245"/>
    </row>
    <row r="227" spans="1:7" s="3221" customFormat="1" ht="14.25" customHeight="1">
      <c r="A227" s="3232" t="s">
        <v>304</v>
      </c>
      <c r="B227" s="3232" t="s">
        <v>3110</v>
      </c>
      <c r="C227" s="3232"/>
      <c r="D227" s="3232"/>
      <c r="E227" s="3232"/>
      <c r="F227" s="3232">
        <v>1520</v>
      </c>
      <c r="G227" s="3245"/>
    </row>
    <row r="228" spans="1:7" s="3221" customFormat="1" ht="14.25" customHeight="1">
      <c r="A228" s="3232" t="s">
        <v>304</v>
      </c>
      <c r="B228" s="3232" t="s">
        <v>3111</v>
      </c>
      <c r="C228" s="3232"/>
      <c r="D228" s="3232"/>
      <c r="E228" s="3232"/>
      <c r="F228" s="3232">
        <v>1520</v>
      </c>
      <c r="G228" s="3245"/>
    </row>
    <row r="229" spans="1:7" s="3221" customFormat="1" ht="14.25" customHeight="1">
      <c r="A229" s="3232" t="s">
        <v>304</v>
      </c>
      <c r="B229" s="3232" t="s">
        <v>3028</v>
      </c>
      <c r="C229" s="3232"/>
      <c r="D229" s="3232"/>
      <c r="E229" s="3232"/>
      <c r="F229" s="3232">
        <v>1520</v>
      </c>
      <c r="G229" s="3245"/>
    </row>
    <row r="230" spans="1:7" s="3221" customFormat="1" ht="14.25" customHeight="1">
      <c r="A230" s="3232" t="s">
        <v>304</v>
      </c>
      <c r="B230" s="3232" t="s">
        <v>3112</v>
      </c>
      <c r="C230" s="3232"/>
      <c r="D230" s="3232"/>
      <c r="E230" s="3232"/>
      <c r="F230" s="3232">
        <v>1820</v>
      </c>
      <c r="G230" s="3245"/>
    </row>
    <row r="231" spans="1:7" s="3221" customFormat="1" ht="14.25" customHeight="1">
      <c r="A231" s="3232" t="s">
        <v>304</v>
      </c>
      <c r="B231" s="3232" t="s">
        <v>3113</v>
      </c>
      <c r="C231" s="3232"/>
      <c r="D231" s="3232"/>
      <c r="E231" s="3232"/>
      <c r="F231" s="3232">
        <v>1760</v>
      </c>
      <c r="G231" s="3245"/>
    </row>
    <row r="232" spans="1:7" s="3221" customFormat="1" ht="14.25" customHeight="1">
      <c r="A232" s="3232" t="s">
        <v>304</v>
      </c>
      <c r="B232" s="3232" t="s">
        <v>3114</v>
      </c>
      <c r="C232" s="3232"/>
      <c r="D232" s="3232"/>
      <c r="E232" s="3232"/>
      <c r="F232" s="3232">
        <v>1840</v>
      </c>
      <c r="G232" s="3245"/>
    </row>
    <row r="233" spans="1:7" s="3221" customFormat="1" ht="14.25" customHeight="1" thickBot="1">
      <c r="A233" s="3246" t="s">
        <v>304</v>
      </c>
      <c r="B233" s="3239" t="s">
        <v>3045</v>
      </c>
      <c r="C233" s="3239"/>
      <c r="D233" s="3239"/>
      <c r="E233" s="3239"/>
      <c r="F233" s="3239">
        <v>1770</v>
      </c>
      <c r="G233" s="3247"/>
    </row>
    <row r="234" spans="1:7" s="3221" customFormat="1" ht="14.25" customHeight="1">
      <c r="A234" s="3237" t="s">
        <v>305</v>
      </c>
      <c r="B234" s="3228" t="s">
        <v>3115</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2886</v>
      </c>
      <c r="C238" s="3232">
        <v>6920</v>
      </c>
      <c r="D238" s="3232">
        <v>6890</v>
      </c>
      <c r="E238" s="3232">
        <v>8640</v>
      </c>
      <c r="F238" s="3232">
        <v>1310</v>
      </c>
      <c r="G238" s="3232">
        <v>4230</v>
      </c>
    </row>
    <row r="239" spans="1:7" s="3221" customFormat="1" ht="14.25" customHeight="1">
      <c r="A239" s="3232" t="s">
        <v>305</v>
      </c>
      <c r="B239" s="3232" t="s">
        <v>3116</v>
      </c>
      <c r="C239" s="3232">
        <v>6780</v>
      </c>
      <c r="D239" s="3232">
        <v>6750</v>
      </c>
      <c r="E239" s="3232">
        <v>8440</v>
      </c>
      <c r="F239" s="3232">
        <v>1160</v>
      </c>
      <c r="G239" s="3232">
        <v>4140</v>
      </c>
    </row>
    <row r="240" spans="1:7" s="3221" customFormat="1" ht="14.25" customHeight="1">
      <c r="A240" s="3232" t="s">
        <v>305</v>
      </c>
      <c r="B240" s="3232" t="s">
        <v>3117</v>
      </c>
      <c r="C240" s="3232">
        <v>5420</v>
      </c>
      <c r="D240" s="3232">
        <v>5380</v>
      </c>
      <c r="E240" s="3232">
        <v>6640</v>
      </c>
      <c r="F240" s="3232">
        <v>1020</v>
      </c>
      <c r="G240" s="3232">
        <v>3300</v>
      </c>
    </row>
    <row r="241" spans="1:7" s="3221" customFormat="1" ht="14.25" customHeight="1">
      <c r="A241" s="3232" t="s">
        <v>305</v>
      </c>
      <c r="B241" s="3232" t="s">
        <v>3118</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3119</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3120</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3121</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3122</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3123</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2948</v>
      </c>
      <c r="C258" s="3232">
        <v>6190</v>
      </c>
      <c r="D258" s="3232">
        <v>6160</v>
      </c>
      <c r="E258" s="3232">
        <v>7680</v>
      </c>
      <c r="F258" s="3232">
        <v>1170</v>
      </c>
      <c r="G258" s="3232">
        <v>3780</v>
      </c>
    </row>
    <row r="259" spans="1:7" s="3221" customFormat="1" ht="14.25" customHeight="1">
      <c r="A259" s="3232" t="s">
        <v>305</v>
      </c>
      <c r="B259" s="3232" t="s">
        <v>3124</v>
      </c>
      <c r="C259" s="3232">
        <v>7610</v>
      </c>
      <c r="D259" s="3232">
        <v>7570</v>
      </c>
      <c r="E259" s="3232">
        <v>9350</v>
      </c>
      <c r="F259" s="3232">
        <v>1350</v>
      </c>
      <c r="G259" s="3232">
        <v>4650</v>
      </c>
    </row>
    <row r="260" spans="1:7" s="3221" customFormat="1" ht="14.25" customHeight="1">
      <c r="A260" s="3232" t="s">
        <v>305</v>
      </c>
      <c r="B260" s="3232" t="s">
        <v>3125</v>
      </c>
      <c r="C260" s="3232">
        <v>6920</v>
      </c>
      <c r="D260" s="3232">
        <v>6880</v>
      </c>
      <c r="E260" s="3232">
        <v>8380</v>
      </c>
      <c r="F260" s="3232">
        <v>1160</v>
      </c>
      <c r="G260" s="3232">
        <v>4220</v>
      </c>
    </row>
    <row r="261" spans="1:7" s="3221" customFormat="1" ht="14.25" customHeight="1">
      <c r="A261" s="3232" t="s">
        <v>305</v>
      </c>
      <c r="B261" s="3232" t="s">
        <v>3126</v>
      </c>
      <c r="C261" s="3232">
        <v>6850</v>
      </c>
      <c r="D261" s="3232">
        <v>6810</v>
      </c>
      <c r="E261" s="3232">
        <v>8290</v>
      </c>
      <c r="F261" s="3232">
        <v>1130</v>
      </c>
      <c r="G261" s="3232">
        <v>4180</v>
      </c>
    </row>
    <row r="262" spans="1:7" s="3221" customFormat="1" ht="14.25" customHeight="1">
      <c r="A262" s="3232" t="s">
        <v>305</v>
      </c>
      <c r="B262" s="3232" t="s">
        <v>3127</v>
      </c>
      <c r="C262" s="3232">
        <v>5860</v>
      </c>
      <c r="D262" s="3232">
        <v>5820</v>
      </c>
      <c r="E262" s="3232">
        <v>7640</v>
      </c>
      <c r="F262" s="3232">
        <v>1070</v>
      </c>
      <c r="G262" s="3232">
        <v>3570</v>
      </c>
    </row>
    <row r="263" spans="1:7" s="3221" customFormat="1" ht="14.25" customHeight="1">
      <c r="A263" s="3232" t="s">
        <v>305</v>
      </c>
      <c r="B263" s="3232" t="s">
        <v>3128</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3129</v>
      </c>
      <c r="C265" s="3232"/>
      <c r="D265" s="3232"/>
      <c r="E265" s="3232"/>
      <c r="F265" s="3232">
        <v>1500</v>
      </c>
      <c r="G265" s="3232"/>
    </row>
    <row r="266" spans="1:7" s="3221" customFormat="1" ht="14.25" customHeight="1">
      <c r="A266" s="3232" t="s">
        <v>305</v>
      </c>
      <c r="B266" s="3232" t="s">
        <v>3130</v>
      </c>
      <c r="C266" s="3232"/>
      <c r="D266" s="3232"/>
      <c r="E266" s="3232"/>
      <c r="F266" s="3232">
        <v>1500</v>
      </c>
      <c r="G266" s="3232"/>
    </row>
    <row r="267" spans="1:7" s="3221" customFormat="1" ht="14.25" customHeight="1">
      <c r="A267" s="3232" t="s">
        <v>305</v>
      </c>
      <c r="B267" s="3232" t="s">
        <v>3131</v>
      </c>
      <c r="C267" s="3232"/>
      <c r="D267" s="3232"/>
      <c r="E267" s="3232"/>
      <c r="F267" s="3232">
        <v>1500</v>
      </c>
      <c r="G267" s="3232"/>
    </row>
    <row r="268" spans="1:7" s="3221" customFormat="1" ht="14.25" customHeight="1">
      <c r="A268" s="3232" t="s">
        <v>305</v>
      </c>
      <c r="B268" s="3232" t="s">
        <v>3132</v>
      </c>
      <c r="C268" s="3232"/>
      <c r="D268" s="3232"/>
      <c r="E268" s="3232"/>
      <c r="F268" s="3232">
        <v>1290</v>
      </c>
      <c r="G268" s="3232"/>
    </row>
    <row r="269" spans="1:7" s="3221" customFormat="1" ht="14.25" customHeight="1">
      <c r="A269" s="3232" t="s">
        <v>305</v>
      </c>
      <c r="B269" s="3232" t="s">
        <v>3133</v>
      </c>
      <c r="C269" s="3232"/>
      <c r="D269" s="3232"/>
      <c r="E269" s="3232"/>
      <c r="F269" s="3232">
        <v>1150</v>
      </c>
      <c r="G269" s="3232"/>
    </row>
    <row r="270" spans="1:7" s="3221" customFormat="1" ht="14.25" customHeight="1">
      <c r="A270" s="3232" t="s">
        <v>305</v>
      </c>
      <c r="B270" s="3232" t="s">
        <v>3134</v>
      </c>
      <c r="C270" s="3232"/>
      <c r="D270" s="3232"/>
      <c r="E270" s="3232"/>
      <c r="F270" s="3232">
        <v>1380</v>
      </c>
      <c r="G270" s="3232"/>
    </row>
    <row r="271" spans="1:7" s="3221" customFormat="1" ht="14.25" customHeight="1">
      <c r="A271" s="3232" t="s">
        <v>305</v>
      </c>
      <c r="B271" s="3232" t="s">
        <v>3135</v>
      </c>
      <c r="C271" s="3232"/>
      <c r="D271" s="3232"/>
      <c r="E271" s="3232"/>
      <c r="F271" s="3232">
        <v>1460</v>
      </c>
      <c r="G271" s="3232"/>
    </row>
    <row r="272" spans="1:7" s="3221" customFormat="1" ht="14.25" customHeight="1">
      <c r="A272" s="3232" t="s">
        <v>305</v>
      </c>
      <c r="B272" s="3232" t="s">
        <v>3136</v>
      </c>
      <c r="C272" s="3232"/>
      <c r="D272" s="3232"/>
      <c r="E272" s="3232"/>
      <c r="F272" s="3232">
        <v>1460</v>
      </c>
      <c r="G272" s="3232"/>
    </row>
    <row r="273" spans="1:7" s="3221" customFormat="1" ht="14.25" customHeight="1">
      <c r="A273" s="3232" t="s">
        <v>305</v>
      </c>
      <c r="B273" s="3232" t="s">
        <v>3029</v>
      </c>
      <c r="C273" s="3232"/>
      <c r="D273" s="3232"/>
      <c r="E273" s="3232"/>
      <c r="F273" s="3232">
        <v>1490</v>
      </c>
      <c r="G273" s="3232"/>
    </row>
    <row r="274" spans="1:7" s="3221" customFormat="1" ht="14.25" customHeight="1">
      <c r="A274" s="3232" t="s">
        <v>305</v>
      </c>
      <c r="B274" s="3232" t="s">
        <v>3137</v>
      </c>
      <c r="C274" s="3232"/>
      <c r="D274" s="3232"/>
      <c r="E274" s="3232"/>
      <c r="F274" s="3232">
        <v>1490</v>
      </c>
      <c r="G274" s="3232"/>
    </row>
    <row r="275" spans="1:7" s="3221" customFormat="1" ht="14.25" customHeight="1">
      <c r="A275" s="3232" t="s">
        <v>305</v>
      </c>
      <c r="B275" s="3232" t="s">
        <v>3138</v>
      </c>
      <c r="C275" s="3232"/>
      <c r="D275" s="3232"/>
      <c r="E275" s="3232"/>
      <c r="F275" s="3232">
        <v>1220</v>
      </c>
      <c r="G275" s="3232"/>
    </row>
    <row r="276" spans="1:7" s="3221" customFormat="1" ht="14.25" customHeight="1" thickBot="1">
      <c r="A276" s="3240" t="s">
        <v>305</v>
      </c>
      <c r="B276" s="3242" t="s">
        <v>3139</v>
      </c>
      <c r="C276" s="3243"/>
      <c r="D276" s="3243"/>
      <c r="E276" s="3243"/>
      <c r="F276" s="3243">
        <v>1380</v>
      </c>
      <c r="G276" s="3243"/>
    </row>
    <row r="277" spans="1:7" s="3221" customFormat="1" ht="14.25" customHeight="1">
      <c r="A277" s="3237" t="s">
        <v>306</v>
      </c>
      <c r="B277" s="3228" t="s">
        <v>3140</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3141</v>
      </c>
      <c r="C279" s="3232">
        <v>4760</v>
      </c>
      <c r="D279" s="3232">
        <v>4720</v>
      </c>
      <c r="E279" s="3232">
        <v>5540</v>
      </c>
      <c r="F279" s="3232">
        <v>810</v>
      </c>
      <c r="G279" s="3245">
        <v>2850</v>
      </c>
    </row>
    <row r="280" spans="1:7" s="3221" customFormat="1" ht="14.25" customHeight="1">
      <c r="A280" s="3232" t="s">
        <v>306</v>
      </c>
      <c r="B280" s="3232" t="s">
        <v>3142</v>
      </c>
      <c r="C280" s="3232">
        <v>4010</v>
      </c>
      <c r="D280" s="3232">
        <v>3950</v>
      </c>
      <c r="E280" s="3232">
        <v>4710</v>
      </c>
      <c r="F280" s="3232">
        <v>800</v>
      </c>
      <c r="G280" s="3245">
        <v>2390</v>
      </c>
    </row>
    <row r="281" spans="1:7" s="3221" customFormat="1" ht="14.25" customHeight="1">
      <c r="A281" s="3232" t="s">
        <v>306</v>
      </c>
      <c r="B281" s="3232" t="s">
        <v>3143</v>
      </c>
      <c r="C281" s="3232">
        <v>4480</v>
      </c>
      <c r="D281" s="3232">
        <v>4420</v>
      </c>
      <c r="E281" s="3232">
        <v>5230</v>
      </c>
      <c r="F281" s="3232">
        <v>870</v>
      </c>
      <c r="G281" s="3245">
        <v>2660</v>
      </c>
    </row>
    <row r="282" spans="1:7" s="3221" customFormat="1" ht="14.25" customHeight="1">
      <c r="A282" s="3232" t="s">
        <v>306</v>
      </c>
      <c r="B282" s="3232" t="s">
        <v>3144</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3145</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3146</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2921</v>
      </c>
      <c r="C293" s="3232">
        <v>5320</v>
      </c>
      <c r="D293" s="3232">
        <v>5270</v>
      </c>
      <c r="E293" s="3232">
        <v>6160</v>
      </c>
      <c r="F293" s="3232">
        <v>990</v>
      </c>
      <c r="G293" s="3245">
        <v>3170</v>
      </c>
    </row>
    <row r="294" spans="1:7" s="3221" customFormat="1" ht="14.25" customHeight="1">
      <c r="A294" s="3232" t="s">
        <v>306</v>
      </c>
      <c r="B294" s="3232" t="s">
        <v>3147</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2940</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3148</v>
      </c>
      <c r="C302" s="3232">
        <v>5520</v>
      </c>
      <c r="D302" s="3232">
        <v>5470</v>
      </c>
      <c r="E302" s="3232">
        <v>6410</v>
      </c>
      <c r="F302" s="3232">
        <v>950</v>
      </c>
      <c r="G302" s="3245">
        <v>3300</v>
      </c>
    </row>
    <row r="303" spans="1:7" s="3221" customFormat="1" ht="14.25" customHeight="1">
      <c r="A303" s="3232" t="s">
        <v>306</v>
      </c>
      <c r="B303" s="3232" t="s">
        <v>2960</v>
      </c>
      <c r="C303" s="3232">
        <v>5630</v>
      </c>
      <c r="D303" s="3232">
        <v>5590</v>
      </c>
      <c r="E303" s="3232">
        <v>6550</v>
      </c>
      <c r="F303" s="3232">
        <v>1010</v>
      </c>
      <c r="G303" s="3245">
        <v>3370</v>
      </c>
    </row>
    <row r="304" spans="1:7" s="3221" customFormat="1" ht="14.25" customHeight="1">
      <c r="A304" s="3232" t="s">
        <v>306</v>
      </c>
      <c r="B304" s="3232" t="s">
        <v>2967</v>
      </c>
      <c r="C304" s="3232">
        <v>5680</v>
      </c>
      <c r="D304" s="3232">
        <v>5620</v>
      </c>
      <c r="E304" s="3232">
        <v>6620</v>
      </c>
      <c r="F304" s="3232">
        <v>1050</v>
      </c>
      <c r="G304" s="3245">
        <v>3390</v>
      </c>
    </row>
    <row r="305" spans="1:7" s="3221" customFormat="1" ht="14.25" customHeight="1">
      <c r="A305" s="3232" t="s">
        <v>306</v>
      </c>
      <c r="B305" s="3232" t="s">
        <v>2973</v>
      </c>
      <c r="C305" s="3232">
        <v>5590</v>
      </c>
      <c r="D305" s="3232">
        <v>5530</v>
      </c>
      <c r="E305" s="3232">
        <v>6460</v>
      </c>
      <c r="F305" s="3232">
        <v>900</v>
      </c>
      <c r="G305" s="3245">
        <v>3340</v>
      </c>
    </row>
    <row r="306" spans="1:7" s="3221" customFormat="1" ht="14.25" customHeight="1">
      <c r="A306" s="3232" t="s">
        <v>306</v>
      </c>
      <c r="B306" s="3232" t="s">
        <v>3149</v>
      </c>
      <c r="C306" s="3232">
        <v>5560</v>
      </c>
      <c r="D306" s="3232">
        <v>5510</v>
      </c>
      <c r="E306" s="3232">
        <v>6440</v>
      </c>
      <c r="F306" s="3232">
        <v>900</v>
      </c>
      <c r="G306" s="3245">
        <v>3320</v>
      </c>
    </row>
    <row r="307" spans="1:7" s="3221" customFormat="1" ht="14.25" customHeight="1">
      <c r="A307" s="3232" t="s">
        <v>306</v>
      </c>
      <c r="B307" s="3232" t="s">
        <v>2985</v>
      </c>
      <c r="C307" s="3232">
        <v>5650</v>
      </c>
      <c r="D307" s="3232">
        <v>5600</v>
      </c>
      <c r="E307" s="3232">
        <v>6590</v>
      </c>
      <c r="F307" s="3232">
        <v>930</v>
      </c>
      <c r="G307" s="3245">
        <v>3380</v>
      </c>
    </row>
    <row r="308" spans="1:7" s="3221" customFormat="1" ht="14.25" customHeight="1">
      <c r="A308" s="3232" t="s">
        <v>306</v>
      </c>
      <c r="B308" s="3232" t="s">
        <v>3150</v>
      </c>
      <c r="C308" s="3232">
        <v>5620</v>
      </c>
      <c r="D308" s="3232">
        <v>5580</v>
      </c>
      <c r="E308" s="3232">
        <v>6540</v>
      </c>
      <c r="F308" s="3232">
        <v>910</v>
      </c>
      <c r="G308" s="3245">
        <v>3370</v>
      </c>
    </row>
    <row r="309" spans="1:7" s="3221" customFormat="1" ht="14.25" customHeight="1">
      <c r="A309" s="3232" t="s">
        <v>306</v>
      </c>
      <c r="B309" s="3232" t="s">
        <v>3151</v>
      </c>
      <c r="C309" s="3232">
        <v>5060</v>
      </c>
      <c r="D309" s="3232">
        <v>5020</v>
      </c>
      <c r="E309" s="3232">
        <v>6370</v>
      </c>
      <c r="F309" s="3232">
        <v>800</v>
      </c>
      <c r="G309" s="3245">
        <v>3020</v>
      </c>
    </row>
    <row r="310" spans="1:7" s="3221" customFormat="1" ht="14.25" customHeight="1">
      <c r="A310" s="3232" t="s">
        <v>306</v>
      </c>
      <c r="B310" s="3232" t="s">
        <v>3000</v>
      </c>
      <c r="C310" s="3232">
        <v>5150</v>
      </c>
      <c r="D310" s="3232">
        <v>5110</v>
      </c>
      <c r="E310" s="3232">
        <v>6500</v>
      </c>
      <c r="F310" s="3232">
        <v>880</v>
      </c>
      <c r="G310" s="3245">
        <v>3080</v>
      </c>
    </row>
    <row r="311" spans="1:7" s="3221" customFormat="1" ht="14.25" customHeight="1">
      <c r="A311" s="3232" t="s">
        <v>306</v>
      </c>
      <c r="B311" s="3232" t="s">
        <v>3152</v>
      </c>
      <c r="C311" s="3232">
        <v>4750</v>
      </c>
      <c r="D311" s="3232">
        <v>4710</v>
      </c>
      <c r="E311" s="3232">
        <v>5510</v>
      </c>
      <c r="F311" s="3232">
        <v>880</v>
      </c>
      <c r="G311" s="3245">
        <v>2840</v>
      </c>
    </row>
    <row r="312" spans="1:7" s="3221" customFormat="1" ht="14.25" customHeight="1">
      <c r="A312" s="3232" t="s">
        <v>306</v>
      </c>
      <c r="B312" s="3232" t="s">
        <v>3010</v>
      </c>
      <c r="C312" s="3232">
        <v>4690</v>
      </c>
      <c r="D312" s="3232">
        <v>4640</v>
      </c>
      <c r="E312" s="3232">
        <v>5420</v>
      </c>
      <c r="F312" s="3232">
        <v>800</v>
      </c>
      <c r="G312" s="3245">
        <v>2800</v>
      </c>
    </row>
    <row r="313" spans="1:7" s="3221" customFormat="1" ht="14.25" customHeight="1">
      <c r="A313" s="3232" t="s">
        <v>306</v>
      </c>
      <c r="B313" s="3232" t="s">
        <v>3015</v>
      </c>
      <c r="C313" s="3232">
        <v>4810</v>
      </c>
      <c r="D313" s="3232">
        <v>4760</v>
      </c>
      <c r="E313" s="3232">
        <v>5550</v>
      </c>
      <c r="F313" s="3232">
        <v>920</v>
      </c>
      <c r="G313" s="3245">
        <v>2870</v>
      </c>
    </row>
    <row r="314" spans="1:7" s="3221" customFormat="1" ht="14.25" customHeight="1">
      <c r="A314" s="3232" t="s">
        <v>306</v>
      </c>
      <c r="B314" s="3232" t="s">
        <v>3153</v>
      </c>
      <c r="C314" s="3232"/>
      <c r="D314" s="3232"/>
      <c r="E314" s="3232"/>
      <c r="F314" s="3232">
        <v>1020</v>
      </c>
      <c r="G314" s="3245"/>
    </row>
    <row r="315" spans="1:7" s="3221" customFormat="1" ht="14.25" customHeight="1">
      <c r="A315" s="3232" t="s">
        <v>306</v>
      </c>
      <c r="B315" s="3232" t="s">
        <v>3154</v>
      </c>
      <c r="C315" s="3232"/>
      <c r="D315" s="3232"/>
      <c r="E315" s="3232"/>
      <c r="F315" s="3232">
        <v>1050</v>
      </c>
      <c r="G315" s="3245"/>
    </row>
    <row r="316" spans="1:7" s="3221" customFormat="1" ht="14.25" customHeight="1">
      <c r="A316" s="3232" t="s">
        <v>306</v>
      </c>
      <c r="B316" s="3232" t="s">
        <v>3030</v>
      </c>
      <c r="C316" s="3232"/>
      <c r="D316" s="3232"/>
      <c r="E316" s="3232"/>
      <c r="F316" s="3232">
        <v>900</v>
      </c>
      <c r="G316" s="3245"/>
    </row>
    <row r="317" spans="1:7" s="3221" customFormat="1" ht="14.25" customHeight="1">
      <c r="A317" s="3232" t="s">
        <v>306</v>
      </c>
      <c r="B317" s="3232" t="s">
        <v>3155</v>
      </c>
      <c r="C317" s="3232"/>
      <c r="D317" s="3232"/>
      <c r="E317" s="3232"/>
      <c r="F317" s="3232">
        <v>920</v>
      </c>
      <c r="G317" s="3245"/>
    </row>
    <row r="318" spans="1:7" s="3221" customFormat="1" ht="14.25" customHeight="1">
      <c r="A318" s="3232" t="s">
        <v>306</v>
      </c>
      <c r="B318" s="3232" t="s">
        <v>3156</v>
      </c>
      <c r="C318" s="3232"/>
      <c r="D318" s="3232"/>
      <c r="E318" s="3232"/>
      <c r="F318" s="3232">
        <v>1080</v>
      </c>
      <c r="G318" s="3245"/>
    </row>
    <row r="319" spans="1:7" s="3221" customFormat="1" ht="14.25" customHeight="1">
      <c r="A319" s="3232" t="s">
        <v>306</v>
      </c>
      <c r="B319" s="3232" t="s">
        <v>3043</v>
      </c>
      <c r="C319" s="3232"/>
      <c r="D319" s="3232"/>
      <c r="E319" s="3232"/>
      <c r="F319" s="3232">
        <v>1020</v>
      </c>
      <c r="G319" s="3245"/>
    </row>
    <row r="320" spans="1:7" s="3221" customFormat="1" ht="14.25" customHeight="1">
      <c r="A320" s="3232" t="s">
        <v>306</v>
      </c>
      <c r="B320" s="3232" t="s">
        <v>3046</v>
      </c>
      <c r="C320" s="3232"/>
      <c r="D320" s="3232"/>
      <c r="E320" s="3232"/>
      <c r="F320" s="3232">
        <v>1050</v>
      </c>
      <c r="G320" s="3245"/>
    </row>
    <row r="321" spans="1:7" s="3221" customFormat="1" ht="14.25" customHeight="1">
      <c r="A321" s="3232" t="s">
        <v>306</v>
      </c>
      <c r="B321" s="3232" t="s">
        <v>3048</v>
      </c>
      <c r="C321" s="3232"/>
      <c r="D321" s="3232"/>
      <c r="E321" s="3232"/>
      <c r="F321" s="3232">
        <v>960</v>
      </c>
      <c r="G321" s="3245"/>
    </row>
    <row r="322" spans="1:7" s="3221" customFormat="1" ht="14.25" customHeight="1">
      <c r="A322" s="3232" t="s">
        <v>306</v>
      </c>
      <c r="B322" s="3232" t="s">
        <v>3050</v>
      </c>
      <c r="C322" s="3232"/>
      <c r="D322" s="3232"/>
      <c r="E322" s="3232"/>
      <c r="F322" s="3232">
        <v>960</v>
      </c>
      <c r="G322" s="3245"/>
    </row>
    <row r="323" spans="1:7" s="3221" customFormat="1" ht="14.25" customHeight="1">
      <c r="A323" s="3232" t="s">
        <v>306</v>
      </c>
      <c r="B323" s="3232" t="s">
        <v>3052</v>
      </c>
      <c r="C323" s="3232"/>
      <c r="D323" s="3232"/>
      <c r="E323" s="3232"/>
      <c r="F323" s="3232">
        <v>880</v>
      </c>
      <c r="G323" s="3245"/>
    </row>
    <row r="324" spans="1:7" s="3221" customFormat="1" ht="14.25" customHeight="1">
      <c r="A324" s="3232" t="s">
        <v>306</v>
      </c>
      <c r="B324" s="3232" t="s">
        <v>3054</v>
      </c>
      <c r="C324" s="3232"/>
      <c r="D324" s="3232"/>
      <c r="E324" s="3232"/>
      <c r="F324" s="3232">
        <v>930</v>
      </c>
      <c r="G324" s="3245"/>
    </row>
    <row r="325" spans="1:7" s="3221" customFormat="1" ht="14.25" customHeight="1">
      <c r="A325" s="3232" t="s">
        <v>306</v>
      </c>
      <c r="B325" s="3233" t="s">
        <v>3056</v>
      </c>
      <c r="C325" s="3232"/>
      <c r="D325" s="3232"/>
      <c r="E325" s="3232"/>
      <c r="F325" s="3232">
        <v>900</v>
      </c>
      <c r="G325" s="3245"/>
    </row>
    <row r="326" spans="1:7" s="3221" customFormat="1" ht="14.25" customHeight="1" thickBot="1">
      <c r="A326" s="3246" t="s">
        <v>306</v>
      </c>
      <c r="B326" s="3239" t="s">
        <v>3058</v>
      </c>
      <c r="C326" s="3239"/>
      <c r="D326" s="3239"/>
      <c r="E326" s="3239"/>
      <c r="F326" s="3239">
        <v>790</v>
      </c>
      <c r="G326" s="3247"/>
    </row>
    <row r="327" spans="1:7" s="3221" customFormat="1" ht="14.25" customHeight="1">
      <c r="A327" s="3237" t="s">
        <v>307</v>
      </c>
      <c r="B327" s="3228" t="s">
        <v>3157</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3158</v>
      </c>
      <c r="C329" s="3232">
        <v>2730</v>
      </c>
      <c r="D329" s="3232">
        <v>2690</v>
      </c>
      <c r="E329" s="3232">
        <v>3100</v>
      </c>
      <c r="F329" s="3232">
        <v>660</v>
      </c>
      <c r="G329" s="3232">
        <v>1610</v>
      </c>
    </row>
    <row r="330" spans="1:7" s="3221" customFormat="1" ht="14.25" customHeight="1">
      <c r="A330" s="3232" t="s">
        <v>307</v>
      </c>
      <c r="B330" s="3232" t="s">
        <v>3159</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2892</v>
      </c>
      <c r="C332" s="3232">
        <v>3520</v>
      </c>
      <c r="D332" s="3232">
        <v>3480</v>
      </c>
      <c r="E332" s="3232">
        <v>3830</v>
      </c>
      <c r="F332" s="3232">
        <v>720</v>
      </c>
      <c r="G332" s="3232">
        <v>2090</v>
      </c>
    </row>
    <row r="333" spans="1:7" s="3221" customFormat="1" ht="14.25" customHeight="1">
      <c r="A333" s="3232" t="s">
        <v>307</v>
      </c>
      <c r="B333" s="3232" t="s">
        <v>3160</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2902</v>
      </c>
      <c r="C336" s="3232">
        <v>3570</v>
      </c>
      <c r="D336" s="3232">
        <v>3530</v>
      </c>
      <c r="E336" s="3232">
        <v>3880</v>
      </c>
      <c r="F336" s="3232">
        <v>770</v>
      </c>
      <c r="G336" s="3232">
        <v>2110</v>
      </c>
    </row>
    <row r="337" spans="1:10" s="3221" customFormat="1" ht="14.25" customHeight="1">
      <c r="A337" s="3232" t="s">
        <v>307</v>
      </c>
      <c r="B337" s="3232" t="s">
        <v>3161</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3162</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3163</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2927</v>
      </c>
      <c r="C345" s="3232">
        <v>3190</v>
      </c>
      <c r="D345" s="3232">
        <v>3140</v>
      </c>
      <c r="E345" s="3232">
        <v>3450</v>
      </c>
      <c r="F345" s="3232">
        <v>720</v>
      </c>
      <c r="G345" s="3232">
        <v>1880</v>
      </c>
      <c r="J345" s="3221"/>
    </row>
    <row r="346" spans="1:10">
      <c r="A346" s="3232" t="s">
        <v>307</v>
      </c>
      <c r="B346" s="3232" t="s">
        <v>3164</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2936</v>
      </c>
      <c r="C348" s="3232">
        <v>4000</v>
      </c>
      <c r="D348" s="3232">
        <v>3950</v>
      </c>
      <c r="E348" s="3232">
        <v>4430</v>
      </c>
      <c r="F348" s="3232">
        <v>760</v>
      </c>
      <c r="G348" s="3232">
        <v>2360</v>
      </c>
      <c r="J348" s="3221"/>
    </row>
    <row r="349" spans="1:10">
      <c r="A349" s="3232" t="s">
        <v>307</v>
      </c>
      <c r="B349" s="3232" t="s">
        <v>2941</v>
      </c>
      <c r="C349" s="3232">
        <v>3820</v>
      </c>
      <c r="D349" s="3232">
        <v>3780</v>
      </c>
      <c r="E349" s="3232">
        <v>4170</v>
      </c>
      <c r="F349" s="3232">
        <v>710</v>
      </c>
      <c r="G349" s="3232">
        <v>2260</v>
      </c>
      <c r="J349" s="3221"/>
    </row>
    <row r="350" spans="1:10">
      <c r="A350" s="3232" t="s">
        <v>307</v>
      </c>
      <c r="B350" s="3232" t="s">
        <v>3165</v>
      </c>
      <c r="C350" s="3232">
        <v>3760</v>
      </c>
      <c r="D350" s="3232">
        <v>3730</v>
      </c>
      <c r="E350" s="3232">
        <v>4100</v>
      </c>
      <c r="F350" s="3232">
        <v>800</v>
      </c>
      <c r="G350" s="3232">
        <v>2230</v>
      </c>
      <c r="J350" s="3221"/>
    </row>
    <row r="351" spans="1:10">
      <c r="A351" s="3232" t="s">
        <v>307</v>
      </c>
      <c r="B351" s="3232" t="s">
        <v>2949</v>
      </c>
      <c r="C351" s="3232">
        <v>3610</v>
      </c>
      <c r="D351" s="3232">
        <v>3580</v>
      </c>
      <c r="E351" s="3232">
        <v>3930</v>
      </c>
      <c r="F351" s="3232">
        <v>700</v>
      </c>
      <c r="G351" s="3232">
        <v>2140</v>
      </c>
      <c r="J351" s="3221"/>
    </row>
    <row r="352" spans="1:10">
      <c r="A352" s="3232" t="s">
        <v>307</v>
      </c>
      <c r="B352" s="3232" t="s">
        <v>2954</v>
      </c>
      <c r="C352" s="3232">
        <v>3670</v>
      </c>
      <c r="D352" s="3232">
        <v>3630</v>
      </c>
      <c r="E352" s="3232">
        <v>4000</v>
      </c>
      <c r="F352" s="3232">
        <v>750</v>
      </c>
      <c r="G352" s="3232">
        <v>2180</v>
      </c>
    </row>
    <row r="353" spans="1:7" s="3225" customFormat="1">
      <c r="A353" s="3232" t="s">
        <v>307</v>
      </c>
      <c r="B353" s="3232" t="s">
        <v>3166</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2974</v>
      </c>
      <c r="C355" s="3232">
        <v>3650</v>
      </c>
      <c r="D355" s="3232">
        <v>3610</v>
      </c>
      <c r="E355" s="3232">
        <v>4200</v>
      </c>
      <c r="F355" s="3232">
        <v>640</v>
      </c>
      <c r="G355" s="3232">
        <v>2160</v>
      </c>
    </row>
    <row r="356" spans="1:7" s="3225" customFormat="1">
      <c r="A356" s="3232" t="s">
        <v>307</v>
      </c>
      <c r="B356" s="3232" t="s">
        <v>2981</v>
      </c>
      <c r="C356" s="3232">
        <v>3260</v>
      </c>
      <c r="D356" s="3232">
        <v>3230</v>
      </c>
      <c r="E356" s="3232">
        <v>3740</v>
      </c>
      <c r="F356" s="3232">
        <v>600</v>
      </c>
      <c r="G356" s="3232">
        <v>1930</v>
      </c>
    </row>
    <row r="357" spans="1:7" s="3225" customFormat="1" ht="12" thickBot="1">
      <c r="A357" s="3240" t="s">
        <v>307</v>
      </c>
      <c r="B357" s="3243" t="s">
        <v>3167</v>
      </c>
      <c r="C357" s="3243">
        <v>3690</v>
      </c>
      <c r="D357" s="3243">
        <v>3650</v>
      </c>
      <c r="E357" s="3243">
        <v>4020</v>
      </c>
      <c r="F357" s="3243">
        <v>700</v>
      </c>
      <c r="G357" s="3243">
        <v>2190</v>
      </c>
    </row>
    <row r="358" spans="1:7" s="3225" customFormat="1">
      <c r="A358" s="3237" t="s">
        <v>3168</v>
      </c>
      <c r="B358" s="3228" t="s">
        <v>3169</v>
      </c>
      <c r="C358" s="3228">
        <v>2080</v>
      </c>
      <c r="D358" s="3228">
        <v>2040</v>
      </c>
      <c r="E358" s="3228">
        <v>2010</v>
      </c>
      <c r="F358" s="3228">
        <v>530</v>
      </c>
      <c r="G358" s="3244">
        <v>1230</v>
      </c>
    </row>
    <row r="359" spans="1:7" s="3225" customFormat="1">
      <c r="A359" s="3232" t="s">
        <v>3168</v>
      </c>
      <c r="B359" s="3232" t="s">
        <v>3170</v>
      </c>
      <c r="C359" s="3232">
        <v>1850</v>
      </c>
      <c r="D359" s="3232">
        <v>1820</v>
      </c>
      <c r="E359" s="3232">
        <v>1780</v>
      </c>
      <c r="F359" s="3232">
        <v>520</v>
      </c>
      <c r="G359" s="3245">
        <v>1100</v>
      </c>
    </row>
    <row r="360" spans="1:7" s="3225" customFormat="1">
      <c r="A360" s="3232" t="s">
        <v>3168</v>
      </c>
      <c r="B360" s="3232" t="s">
        <v>3171</v>
      </c>
      <c r="C360" s="3232">
        <v>2020</v>
      </c>
      <c r="D360" s="3232">
        <v>1990</v>
      </c>
      <c r="E360" s="3232">
        <v>1950</v>
      </c>
      <c r="F360" s="3232">
        <v>500</v>
      </c>
      <c r="G360" s="3245">
        <v>1200</v>
      </c>
    </row>
    <row r="361" spans="1:7" s="3225" customFormat="1">
      <c r="A361" s="3232" t="s">
        <v>3168</v>
      </c>
      <c r="B361" s="3232" t="s">
        <v>153</v>
      </c>
      <c r="C361" s="3232">
        <v>2260</v>
      </c>
      <c r="D361" s="3232">
        <v>2220</v>
      </c>
      <c r="E361" s="3232">
        <v>2180</v>
      </c>
      <c r="F361" s="3232">
        <v>580</v>
      </c>
      <c r="G361" s="3245">
        <v>1340</v>
      </c>
    </row>
    <row r="362" spans="1:7" s="3225" customFormat="1">
      <c r="A362" s="3232" t="s">
        <v>3168</v>
      </c>
      <c r="B362" s="3232" t="s">
        <v>3172</v>
      </c>
      <c r="C362" s="3232">
        <v>2650</v>
      </c>
      <c r="D362" s="3232">
        <v>2610</v>
      </c>
      <c r="E362" s="3232">
        <v>2570</v>
      </c>
      <c r="F362" s="3232">
        <v>630</v>
      </c>
      <c r="G362" s="3245">
        <v>1570</v>
      </c>
    </row>
    <row r="363" spans="1:7" s="3225" customFormat="1">
      <c r="A363" s="3232" t="s">
        <v>3168</v>
      </c>
      <c r="B363" s="3232" t="s">
        <v>2893</v>
      </c>
      <c r="C363" s="3232">
        <v>2390</v>
      </c>
      <c r="D363" s="3232">
        <v>2360</v>
      </c>
      <c r="E363" s="3232">
        <v>2320</v>
      </c>
      <c r="F363" s="3232">
        <v>600</v>
      </c>
      <c r="G363" s="3245">
        <v>1420</v>
      </c>
    </row>
    <row r="364" spans="1:7" s="3225" customFormat="1">
      <c r="A364" s="3232" t="s">
        <v>3168</v>
      </c>
      <c r="B364" s="3232" t="s">
        <v>3173</v>
      </c>
      <c r="C364" s="3232">
        <v>2050</v>
      </c>
      <c r="D364" s="3232">
        <v>2030</v>
      </c>
      <c r="E364" s="3232">
        <v>1990</v>
      </c>
      <c r="F364" s="3232">
        <v>550</v>
      </c>
      <c r="G364" s="3245">
        <v>1220</v>
      </c>
    </row>
    <row r="365" spans="1:7" s="3225" customFormat="1">
      <c r="A365" s="3232" t="s">
        <v>3168</v>
      </c>
      <c r="B365" s="3232" t="s">
        <v>200</v>
      </c>
      <c r="C365" s="3232">
        <v>2140</v>
      </c>
      <c r="D365" s="3232">
        <v>2100</v>
      </c>
      <c r="E365" s="3232">
        <v>2060</v>
      </c>
      <c r="F365" s="3232">
        <v>540</v>
      </c>
      <c r="G365" s="3245">
        <v>1270</v>
      </c>
    </row>
    <row r="366" spans="1:7" s="3225" customFormat="1">
      <c r="A366" s="3232" t="s">
        <v>3168</v>
      </c>
      <c r="B366" s="3232" t="s">
        <v>2900</v>
      </c>
      <c r="C366" s="3232">
        <v>2410</v>
      </c>
      <c r="D366" s="3232">
        <v>2370</v>
      </c>
      <c r="E366" s="3232">
        <v>2330</v>
      </c>
      <c r="F366" s="3232">
        <v>570</v>
      </c>
      <c r="G366" s="3245">
        <v>1440</v>
      </c>
    </row>
    <row r="367" spans="1:7" s="3225" customFormat="1">
      <c r="A367" s="3232" t="s">
        <v>3168</v>
      </c>
      <c r="B367" s="3232" t="s">
        <v>3174</v>
      </c>
      <c r="C367" s="3232">
        <v>2300</v>
      </c>
      <c r="D367" s="3232">
        <v>2260</v>
      </c>
      <c r="E367" s="3232">
        <v>2220</v>
      </c>
      <c r="F367" s="3232">
        <v>560</v>
      </c>
      <c r="G367" s="3245">
        <v>1370</v>
      </c>
    </row>
    <row r="368" spans="1:7" s="3225" customFormat="1">
      <c r="A368" s="3232" t="s">
        <v>3168</v>
      </c>
      <c r="B368" s="3232" t="s">
        <v>3175</v>
      </c>
      <c r="C368" s="3232">
        <v>2430</v>
      </c>
      <c r="D368" s="3232">
        <v>2390</v>
      </c>
      <c r="E368" s="3232">
        <v>2350</v>
      </c>
      <c r="F368" s="3232">
        <v>570</v>
      </c>
      <c r="G368" s="3245">
        <v>1450</v>
      </c>
    </row>
    <row r="369" spans="1:7" s="3225" customFormat="1">
      <c r="A369" s="3232" t="s">
        <v>3168</v>
      </c>
      <c r="B369" s="3232" t="s">
        <v>214</v>
      </c>
      <c r="C369" s="3232">
        <v>2320</v>
      </c>
      <c r="D369" s="3232">
        <v>2290</v>
      </c>
      <c r="E369" s="3232">
        <v>2250</v>
      </c>
      <c r="F369" s="3232">
        <v>550</v>
      </c>
      <c r="G369" s="3245">
        <v>1380</v>
      </c>
    </row>
    <row r="370" spans="1:7" s="3225" customFormat="1">
      <c r="A370" s="3232" t="s">
        <v>3168</v>
      </c>
      <c r="B370" s="3232" t="s">
        <v>221</v>
      </c>
      <c r="C370" s="3232">
        <v>2190</v>
      </c>
      <c r="D370" s="3232">
        <v>2170</v>
      </c>
      <c r="E370" s="3232">
        <v>2130</v>
      </c>
      <c r="F370" s="3232">
        <v>530</v>
      </c>
      <c r="G370" s="3245">
        <v>1310</v>
      </c>
    </row>
    <row r="371" spans="1:7" s="3225" customFormat="1">
      <c r="A371" s="3232" t="s">
        <v>3168</v>
      </c>
      <c r="B371" s="3232" t="s">
        <v>229</v>
      </c>
      <c r="C371" s="3232">
        <v>2460</v>
      </c>
      <c r="D371" s="3232">
        <v>2420</v>
      </c>
      <c r="E371" s="3232">
        <v>2370</v>
      </c>
      <c r="F371" s="3232">
        <v>560</v>
      </c>
      <c r="G371" s="3245">
        <v>1470</v>
      </c>
    </row>
    <row r="372" spans="1:7" s="3225" customFormat="1">
      <c r="A372" s="3232" t="s">
        <v>3168</v>
      </c>
      <c r="B372" s="3232" t="s">
        <v>3176</v>
      </c>
      <c r="C372" s="3232">
        <v>2250</v>
      </c>
      <c r="D372" s="3232">
        <v>2210</v>
      </c>
      <c r="E372" s="3232">
        <v>2180</v>
      </c>
      <c r="F372" s="3232">
        <v>550</v>
      </c>
      <c r="G372" s="3245">
        <v>1340</v>
      </c>
    </row>
    <row r="373" spans="1:7" s="3225" customFormat="1">
      <c r="A373" s="3232" t="s">
        <v>3168</v>
      </c>
      <c r="B373" s="3232" t="s">
        <v>258</v>
      </c>
      <c r="C373" s="3232">
        <v>2210</v>
      </c>
      <c r="D373" s="3232">
        <v>2190</v>
      </c>
      <c r="E373" s="3232">
        <v>2150</v>
      </c>
      <c r="F373" s="3232">
        <v>530</v>
      </c>
      <c r="G373" s="3245">
        <v>1320</v>
      </c>
    </row>
    <row r="374" spans="1:7" s="3225" customFormat="1">
      <c r="A374" s="3232" t="s">
        <v>3168</v>
      </c>
      <c r="B374" s="3232" t="s">
        <v>266</v>
      </c>
      <c r="C374" s="3232">
        <v>2320</v>
      </c>
      <c r="D374" s="3232">
        <v>2280</v>
      </c>
      <c r="E374" s="3232">
        <v>2230</v>
      </c>
      <c r="F374" s="3232">
        <v>580</v>
      </c>
      <c r="G374" s="3245">
        <v>1380</v>
      </c>
    </row>
    <row r="375" spans="1:7" s="3225" customFormat="1">
      <c r="A375" s="3232" t="s">
        <v>3168</v>
      </c>
      <c r="B375" s="3232" t="s">
        <v>3177</v>
      </c>
      <c r="C375" s="3232">
        <v>2090</v>
      </c>
      <c r="D375" s="3232">
        <v>2050</v>
      </c>
      <c r="E375" s="3232">
        <v>2020</v>
      </c>
      <c r="F375" s="3232">
        <v>520</v>
      </c>
      <c r="G375" s="3245">
        <v>1240</v>
      </c>
    </row>
    <row r="376" spans="1:7" s="3225" customFormat="1">
      <c r="A376" s="3232" t="s">
        <v>3168</v>
      </c>
      <c r="B376" s="3232" t="s">
        <v>277</v>
      </c>
      <c r="C376" s="3232">
        <v>2010</v>
      </c>
      <c r="D376" s="3232">
        <v>1980</v>
      </c>
      <c r="E376" s="3232">
        <v>1940</v>
      </c>
      <c r="F376" s="3232">
        <v>540</v>
      </c>
      <c r="G376" s="3245">
        <v>1190</v>
      </c>
    </row>
    <row r="377" spans="1:7" s="3225" customFormat="1" ht="12" thickBot="1">
      <c r="A377" s="3240" t="s">
        <v>3168</v>
      </c>
      <c r="B377" s="3243" t="s">
        <v>2930</v>
      </c>
      <c r="C377" s="3243">
        <v>1930</v>
      </c>
      <c r="D377" s="3243">
        <v>1890</v>
      </c>
      <c r="E377" s="3243">
        <v>1860</v>
      </c>
      <c r="F377" s="3243">
        <v>530</v>
      </c>
      <c r="G377" s="3248">
        <v>1150</v>
      </c>
    </row>
    <row r="378" spans="1:7" s="3225" customFormat="1">
      <c r="A378" s="3249" t="s">
        <v>3178</v>
      </c>
      <c r="B378" s="3228" t="s">
        <v>3179</v>
      </c>
      <c r="C378" s="3228">
        <v>1520</v>
      </c>
      <c r="D378" s="3228">
        <v>1490</v>
      </c>
      <c r="E378" s="3228">
        <v>1460</v>
      </c>
      <c r="F378" s="3228">
        <v>460</v>
      </c>
      <c r="G378" s="3244">
        <v>940</v>
      </c>
    </row>
    <row r="379" spans="1:7" s="3225" customFormat="1">
      <c r="A379" s="3250" t="s">
        <v>3178</v>
      </c>
      <c r="B379" s="3232" t="s">
        <v>3180</v>
      </c>
      <c r="C379" s="3232">
        <v>1500</v>
      </c>
      <c r="D379" s="3232">
        <v>1470</v>
      </c>
      <c r="E379" s="3232">
        <v>1430</v>
      </c>
      <c r="F379" s="3232">
        <v>460</v>
      </c>
      <c r="G379" s="3245">
        <v>920</v>
      </c>
    </row>
    <row r="380" spans="1:7" s="3225" customFormat="1">
      <c r="A380" s="3250" t="s">
        <v>3178</v>
      </c>
      <c r="B380" s="3232" t="s">
        <v>3181</v>
      </c>
      <c r="C380" s="3232">
        <v>1620</v>
      </c>
      <c r="D380" s="3232">
        <v>1590</v>
      </c>
      <c r="E380" s="3232">
        <v>1560</v>
      </c>
      <c r="F380" s="3232">
        <v>480</v>
      </c>
      <c r="G380" s="3245">
        <v>1000</v>
      </c>
    </row>
    <row r="381" spans="1:7" s="3225" customFormat="1">
      <c r="A381" s="3250" t="s">
        <v>3178</v>
      </c>
      <c r="B381" s="3232" t="s">
        <v>3182</v>
      </c>
      <c r="C381" s="3232">
        <v>1460</v>
      </c>
      <c r="D381" s="3232">
        <v>1430</v>
      </c>
      <c r="E381" s="3232">
        <v>1390</v>
      </c>
      <c r="F381" s="3232">
        <v>450</v>
      </c>
      <c r="G381" s="3245">
        <v>900</v>
      </c>
    </row>
    <row r="382" spans="1:7" s="3225" customFormat="1">
      <c r="A382" s="3250" t="s">
        <v>3178</v>
      </c>
      <c r="B382" s="3232" t="s">
        <v>3183</v>
      </c>
      <c r="C382" s="3232">
        <v>1310</v>
      </c>
      <c r="D382" s="3232">
        <v>1280</v>
      </c>
      <c r="E382" s="3232">
        <v>1250</v>
      </c>
      <c r="F382" s="3232">
        <v>440</v>
      </c>
      <c r="G382" s="3245">
        <v>800</v>
      </c>
    </row>
    <row r="383" spans="1:7" s="3225" customFormat="1">
      <c r="A383" s="3250" t="s">
        <v>3178</v>
      </c>
      <c r="B383" s="3232" t="s">
        <v>3184</v>
      </c>
      <c r="C383" s="3232">
        <v>1260</v>
      </c>
      <c r="D383" s="3232">
        <v>1230</v>
      </c>
      <c r="E383" s="3232">
        <v>1200</v>
      </c>
      <c r="F383" s="3232">
        <v>420</v>
      </c>
      <c r="G383" s="3245">
        <v>770</v>
      </c>
    </row>
    <row r="384" spans="1:7" s="3225" customFormat="1" ht="12" thickBot="1">
      <c r="A384" s="3251" t="s">
        <v>3178</v>
      </c>
      <c r="B384" s="3239" t="s">
        <v>3185</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28" t="s">
        <v>3186</v>
      </c>
      <c r="B1" s="3828"/>
    </row>
    <row r="2" spans="1:7" ht="14.25" thickBot="1">
      <c r="A2" s="3254"/>
      <c r="B2" s="3254"/>
    </row>
    <row r="3" spans="1:7" ht="14.25" thickBot="1">
      <c r="A3" s="3254"/>
      <c r="B3" s="3254"/>
      <c r="C3" s="3255" t="s">
        <v>2814</v>
      </c>
      <c r="D3" s="3255" t="s">
        <v>2872</v>
      </c>
      <c r="E3" s="3255" t="s">
        <v>2816</v>
      </c>
      <c r="F3" s="3255" t="s">
        <v>2873</v>
      </c>
      <c r="G3" s="3255" t="s">
        <v>2634</v>
      </c>
    </row>
    <row r="4" spans="1:7" ht="14.25" thickBot="1">
      <c r="A4" s="3256" t="s">
        <v>2871</v>
      </c>
      <c r="B4" s="3257" t="s">
        <v>2877</v>
      </c>
      <c r="C4" s="3255"/>
      <c r="D4" s="3255"/>
      <c r="E4" s="3255"/>
      <c r="F4" s="3255"/>
      <c r="G4" s="3255"/>
    </row>
    <row r="5" spans="1:7">
      <c r="A5" s="3258" t="s">
        <v>2845</v>
      </c>
      <c r="B5" s="3259" t="s">
        <v>2859</v>
      </c>
      <c r="C5" s="3260">
        <v>9.8000000000000004E-2</v>
      </c>
      <c r="D5" s="3260">
        <v>8.6999999999999994E-2</v>
      </c>
      <c r="E5" s="3260">
        <v>8.6999999999999994E-2</v>
      </c>
      <c r="F5" s="3260">
        <v>9.8000000000000004E-2</v>
      </c>
      <c r="G5" s="3261">
        <v>9.5000000000000001E-2</v>
      </c>
    </row>
    <row r="6" spans="1:7">
      <c r="A6" s="3262" t="s">
        <v>144</v>
      </c>
      <c r="B6" s="3263" t="s">
        <v>2874</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2860</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2910</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2928</v>
      </c>
      <c r="C29" s="3272"/>
      <c r="D29" s="3268">
        <v>5.1999999999999998E-2</v>
      </c>
      <c r="E29" s="3268">
        <v>7.0000000000000007E-2</v>
      </c>
      <c r="F29" s="3272"/>
      <c r="G29" s="3270">
        <v>7.0999999999999994E-2</v>
      </c>
    </row>
    <row r="30" spans="1:7">
      <c r="A30" s="3273" t="s">
        <v>296</v>
      </c>
      <c r="B30" s="3259" t="s">
        <v>2861</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2847</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2931</v>
      </c>
      <c r="C50" s="3264">
        <v>9.8000000000000004E-2</v>
      </c>
      <c r="D50" s="3264">
        <v>7.2999999999999995E-2</v>
      </c>
      <c r="E50" s="3264">
        <v>7.0999999999999994E-2</v>
      </c>
      <c r="F50" s="3275"/>
      <c r="G50" s="3265">
        <v>7.2999999999999995E-2</v>
      </c>
    </row>
    <row r="51" spans="1:7">
      <c r="A51" s="3274" t="s">
        <v>296</v>
      </c>
      <c r="B51" s="3263" t="s">
        <v>2933</v>
      </c>
      <c r="C51" s="3264">
        <v>9.9000000000000005E-2</v>
      </c>
      <c r="D51" s="3264">
        <v>8.5000000000000006E-2</v>
      </c>
      <c r="E51" s="3264">
        <v>6.3E-2</v>
      </c>
      <c r="F51" s="3275"/>
      <c r="G51" s="3265">
        <v>9.6000000000000002E-2</v>
      </c>
    </row>
    <row r="52" spans="1:7">
      <c r="A52" s="3274" t="s">
        <v>296</v>
      </c>
      <c r="B52" s="3263" t="s">
        <v>2937</v>
      </c>
      <c r="C52" s="3264">
        <v>7.3999999999999996E-2</v>
      </c>
      <c r="D52" s="3264">
        <v>9.6000000000000002E-2</v>
      </c>
      <c r="E52" s="3264">
        <v>0.05</v>
      </c>
      <c r="F52" s="3275"/>
      <c r="G52" s="3265">
        <v>9.8000000000000004E-2</v>
      </c>
    </row>
    <row r="53" spans="1:7">
      <c r="A53" s="3274" t="s">
        <v>296</v>
      </c>
      <c r="B53" s="3263" t="s">
        <v>2942</v>
      </c>
      <c r="C53" s="3264">
        <v>8.5999999999999993E-2</v>
      </c>
      <c r="D53" s="3275"/>
      <c r="E53" s="3264">
        <v>9.1999999999999998E-2</v>
      </c>
      <c r="F53" s="3275"/>
      <c r="G53" s="3276"/>
    </row>
    <row r="54" spans="1:7" ht="14.25" thickBot="1">
      <c r="A54" s="3277" t="s">
        <v>296</v>
      </c>
      <c r="B54" s="3267" t="s">
        <v>2945</v>
      </c>
      <c r="C54" s="3268">
        <v>9.6000000000000002E-2</v>
      </c>
      <c r="D54" s="3269"/>
      <c r="E54" s="3278"/>
      <c r="F54" s="3269"/>
      <c r="G54" s="3279"/>
    </row>
    <row r="55" spans="1:7">
      <c r="A55" s="3273" t="s">
        <v>110</v>
      </c>
      <c r="B55" s="3259" t="s">
        <v>2862</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2943</v>
      </c>
      <c r="C78" s="3264">
        <v>0.1</v>
      </c>
      <c r="D78" s="3264">
        <v>8.5000000000000006E-2</v>
      </c>
      <c r="E78" s="3264">
        <v>9.6000000000000002E-2</v>
      </c>
      <c r="F78" s="3275"/>
      <c r="G78" s="3265">
        <v>9.6000000000000002E-2</v>
      </c>
    </row>
    <row r="79" spans="1:7">
      <c r="A79" s="3274" t="s">
        <v>110</v>
      </c>
      <c r="B79" s="3263" t="s">
        <v>2946</v>
      </c>
      <c r="C79" s="3264">
        <v>0.05</v>
      </c>
      <c r="D79" s="3264">
        <v>9.6000000000000002E-2</v>
      </c>
      <c r="E79" s="3264">
        <v>9.5000000000000001E-2</v>
      </c>
      <c r="F79" s="3275"/>
      <c r="G79" s="3265">
        <v>9.8000000000000004E-2</v>
      </c>
    </row>
    <row r="80" spans="1:7">
      <c r="A80" s="3274" t="s">
        <v>110</v>
      </c>
      <c r="B80" s="3263" t="s">
        <v>2950</v>
      </c>
      <c r="C80" s="3264">
        <v>8.5999999999999993E-2</v>
      </c>
      <c r="D80" s="3280"/>
      <c r="E80" s="3264">
        <v>0.1</v>
      </c>
      <c r="F80" s="3275"/>
      <c r="G80" s="3276"/>
    </row>
    <row r="81" spans="1:7">
      <c r="A81" s="3274" t="s">
        <v>110</v>
      </c>
      <c r="B81" s="3263" t="s">
        <v>2955</v>
      </c>
      <c r="C81" s="3264">
        <v>9.6000000000000002E-2</v>
      </c>
      <c r="D81" s="3275"/>
      <c r="E81" s="3264">
        <v>9.8000000000000004E-2</v>
      </c>
      <c r="F81" s="3275"/>
      <c r="G81" s="3276"/>
    </row>
    <row r="82" spans="1:7">
      <c r="A82" s="3274" t="s">
        <v>110</v>
      </c>
      <c r="B82" s="3263" t="s">
        <v>2962</v>
      </c>
      <c r="C82" s="3280"/>
      <c r="D82" s="3275"/>
      <c r="E82" s="3264">
        <v>7.6999999999999999E-2</v>
      </c>
      <c r="F82" s="3275"/>
      <c r="G82" s="3276"/>
    </row>
    <row r="83" spans="1:7">
      <c r="A83" s="3274" t="s">
        <v>110</v>
      </c>
      <c r="B83" s="3263" t="s">
        <v>2968</v>
      </c>
      <c r="C83" s="3275"/>
      <c r="D83" s="3275"/>
      <c r="E83" s="3275"/>
      <c r="F83" s="3264">
        <v>0.1</v>
      </c>
      <c r="G83" s="3281"/>
    </row>
    <row r="84" spans="1:7">
      <c r="A84" s="3274" t="s">
        <v>110</v>
      </c>
      <c r="B84" s="3263" t="s">
        <v>2975</v>
      </c>
      <c r="C84" s="3275"/>
      <c r="D84" s="3275"/>
      <c r="E84" s="3275"/>
      <c r="F84" s="3264">
        <v>0.1</v>
      </c>
      <c r="G84" s="3281"/>
    </row>
    <row r="85" spans="1:7">
      <c r="A85" s="3274" t="s">
        <v>110</v>
      </c>
      <c r="B85" s="3263" t="s">
        <v>2982</v>
      </c>
      <c r="C85" s="3275"/>
      <c r="D85" s="3275"/>
      <c r="E85" s="3275"/>
      <c r="F85" s="3264">
        <v>0.1</v>
      </c>
      <c r="G85" s="3281"/>
    </row>
    <row r="86" spans="1:7" ht="14.25" thickBot="1">
      <c r="A86" s="3277" t="s">
        <v>110</v>
      </c>
      <c r="B86" s="3267" t="s">
        <v>2987</v>
      </c>
      <c r="C86" s="3268">
        <v>9.8000000000000004E-2</v>
      </c>
      <c r="D86" s="3268">
        <v>9.8000000000000004E-2</v>
      </c>
      <c r="E86" s="3268">
        <v>9.6000000000000002E-2</v>
      </c>
      <c r="F86" s="3278"/>
      <c r="G86" s="3270">
        <v>0.1</v>
      </c>
    </row>
    <row r="87" spans="1:7">
      <c r="A87" s="3273" t="s">
        <v>303</v>
      </c>
      <c r="B87" s="3259" t="s">
        <v>2863</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2956</v>
      </c>
      <c r="C113" s="3264">
        <v>0.1</v>
      </c>
      <c r="D113" s="3264">
        <v>0.1</v>
      </c>
      <c r="E113" s="3275"/>
      <c r="F113" s="3275"/>
      <c r="G113" s="3265">
        <v>0.1</v>
      </c>
    </row>
    <row r="114" spans="1:7">
      <c r="A114" s="3274" t="s">
        <v>303</v>
      </c>
      <c r="B114" s="3263" t="s">
        <v>2963</v>
      </c>
      <c r="C114" s="3264">
        <v>9.7000000000000003E-2</v>
      </c>
      <c r="D114" s="3264">
        <v>9.7000000000000003E-2</v>
      </c>
      <c r="E114" s="3275"/>
      <c r="F114" s="3275"/>
      <c r="G114" s="3265">
        <v>9.9000000000000005E-2</v>
      </c>
    </row>
    <row r="115" spans="1:7">
      <c r="A115" s="3274" t="s">
        <v>303</v>
      </c>
      <c r="B115" s="3263" t="s">
        <v>2969</v>
      </c>
      <c r="C115" s="3264">
        <v>0.1</v>
      </c>
      <c r="D115" s="3264">
        <v>0.1</v>
      </c>
      <c r="E115" s="3275"/>
      <c r="F115" s="3275"/>
      <c r="G115" s="3265">
        <v>0.1</v>
      </c>
    </row>
    <row r="116" spans="1:7">
      <c r="A116" s="3274" t="s">
        <v>303</v>
      </c>
      <c r="B116" s="3263" t="s">
        <v>2976</v>
      </c>
      <c r="C116" s="3264">
        <v>0.1</v>
      </c>
      <c r="D116" s="3264">
        <v>0.1</v>
      </c>
      <c r="E116" s="3275"/>
      <c r="F116" s="3275"/>
      <c r="G116" s="3265">
        <v>0.1</v>
      </c>
    </row>
    <row r="117" spans="1:7">
      <c r="A117" s="3274" t="s">
        <v>303</v>
      </c>
      <c r="B117" s="3263" t="s">
        <v>2983</v>
      </c>
      <c r="C117" s="3264">
        <v>9.7000000000000003E-2</v>
      </c>
      <c r="D117" s="3264">
        <v>9.7000000000000003E-2</v>
      </c>
      <c r="E117" s="3275"/>
      <c r="F117" s="3275"/>
      <c r="G117" s="3265">
        <v>9.7000000000000003E-2</v>
      </c>
    </row>
    <row r="118" spans="1:7">
      <c r="A118" s="3274" t="s">
        <v>303</v>
      </c>
      <c r="B118" s="3263" t="s">
        <v>2988</v>
      </c>
      <c r="C118" s="3264">
        <v>0.1</v>
      </c>
      <c r="D118" s="3264">
        <v>0.1</v>
      </c>
      <c r="E118" s="3275"/>
      <c r="F118" s="3275"/>
      <c r="G118" s="3265">
        <v>0.1</v>
      </c>
    </row>
    <row r="119" spans="1:7">
      <c r="A119" s="3274" t="s">
        <v>303</v>
      </c>
      <c r="B119" s="3263" t="s">
        <v>2992</v>
      </c>
      <c r="C119" s="3264">
        <v>5.0999999999999997E-2</v>
      </c>
      <c r="D119" s="3264">
        <v>5.1999999999999998E-2</v>
      </c>
      <c r="E119" s="3275"/>
      <c r="F119" s="3280"/>
      <c r="G119" s="3265">
        <v>0.06</v>
      </c>
    </row>
    <row r="120" spans="1:7">
      <c r="A120" s="3274" t="s">
        <v>303</v>
      </c>
      <c r="B120" s="3263" t="s">
        <v>2996</v>
      </c>
      <c r="C120" s="3275"/>
      <c r="D120" s="3275"/>
      <c r="E120" s="3275"/>
      <c r="F120" s="3264">
        <v>0.1</v>
      </c>
      <c r="G120" s="3281"/>
    </row>
    <row r="121" spans="1:7">
      <c r="A121" s="3274" t="s">
        <v>303</v>
      </c>
      <c r="B121" s="3263" t="s">
        <v>3001</v>
      </c>
      <c r="C121" s="3275"/>
      <c r="D121" s="3275"/>
      <c r="E121" s="3275"/>
      <c r="F121" s="3264">
        <v>0.1</v>
      </c>
      <c r="G121" s="3281"/>
    </row>
    <row r="122" spans="1:7">
      <c r="A122" s="3274" t="s">
        <v>303</v>
      </c>
      <c r="B122" s="3263" t="s">
        <v>3006</v>
      </c>
      <c r="C122" s="3264">
        <v>0.1</v>
      </c>
      <c r="D122" s="3264">
        <v>0.1</v>
      </c>
      <c r="E122" s="3264">
        <v>9.8000000000000004E-2</v>
      </c>
      <c r="F122" s="3264">
        <v>0.1</v>
      </c>
      <c r="G122" s="3265">
        <v>0.1</v>
      </c>
    </row>
    <row r="123" spans="1:7">
      <c r="A123" s="3274" t="s">
        <v>303</v>
      </c>
      <c r="B123" s="3263" t="s">
        <v>3011</v>
      </c>
      <c r="C123" s="3264">
        <v>0.1</v>
      </c>
      <c r="D123" s="3264">
        <v>0.1</v>
      </c>
      <c r="E123" s="3264">
        <v>9.8000000000000004E-2</v>
      </c>
      <c r="F123" s="3264">
        <v>0.1</v>
      </c>
      <c r="G123" s="3265">
        <v>0.1</v>
      </c>
    </row>
    <row r="124" spans="1:7">
      <c r="A124" s="3274" t="s">
        <v>303</v>
      </c>
      <c r="B124" s="3263" t="s">
        <v>3016</v>
      </c>
      <c r="C124" s="3264">
        <v>0.1</v>
      </c>
      <c r="D124" s="3264">
        <v>0.1</v>
      </c>
      <c r="E124" s="3264">
        <v>9.8000000000000004E-2</v>
      </c>
      <c r="F124" s="3280"/>
      <c r="G124" s="3265">
        <v>0.1</v>
      </c>
    </row>
    <row r="125" spans="1:7">
      <c r="A125" s="3274" t="s">
        <v>303</v>
      </c>
      <c r="B125" s="3263" t="s">
        <v>3021</v>
      </c>
      <c r="C125" s="3264">
        <v>9.8000000000000004E-2</v>
      </c>
      <c r="D125" s="3264">
        <v>9.8000000000000004E-2</v>
      </c>
      <c r="E125" s="3264">
        <v>9.6000000000000002E-2</v>
      </c>
      <c r="F125" s="3280"/>
      <c r="G125" s="3265">
        <v>0.1</v>
      </c>
    </row>
    <row r="126" spans="1:7" ht="14.25" thickBot="1">
      <c r="A126" s="3277" t="s">
        <v>303</v>
      </c>
      <c r="B126" s="3267" t="s">
        <v>3187</v>
      </c>
      <c r="C126" s="3268">
        <v>0.1</v>
      </c>
      <c r="D126" s="3268">
        <v>0.1</v>
      </c>
      <c r="E126" s="3268">
        <v>9.8000000000000004E-2</v>
      </c>
      <c r="F126" s="3268">
        <v>0.1</v>
      </c>
      <c r="G126" s="3270">
        <v>0.1</v>
      </c>
    </row>
    <row r="127" spans="1:7">
      <c r="A127" s="3273" t="s">
        <v>29</v>
      </c>
      <c r="B127" s="3259" t="s">
        <v>2864</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2934</v>
      </c>
      <c r="C148" s="3264">
        <v>0.13</v>
      </c>
      <c r="D148" s="3264">
        <v>0.13</v>
      </c>
      <c r="E148" s="3264">
        <v>0.13</v>
      </c>
      <c r="F148" s="3275"/>
      <c r="G148" s="3265">
        <v>0.13</v>
      </c>
    </row>
    <row r="149" spans="1:7">
      <c r="A149" s="3274" t="s">
        <v>29</v>
      </c>
      <c r="B149" s="3263" t="s">
        <v>2938</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2957</v>
      </c>
      <c r="C153" s="3264">
        <v>0.13</v>
      </c>
      <c r="D153" s="3264">
        <v>0.13</v>
      </c>
      <c r="E153" s="3264">
        <v>0.13</v>
      </c>
      <c r="F153" s="3264">
        <v>0.13</v>
      </c>
      <c r="G153" s="3265">
        <v>0.13</v>
      </c>
    </row>
    <row r="154" spans="1:7">
      <c r="A154" s="3274" t="s">
        <v>29</v>
      </c>
      <c r="B154" s="3263" t="s">
        <v>2964</v>
      </c>
      <c r="C154" s="3264">
        <v>0.121</v>
      </c>
      <c r="D154" s="3264">
        <v>0.121</v>
      </c>
      <c r="E154" s="3264">
        <v>0.105</v>
      </c>
      <c r="F154" s="3264">
        <v>0.121</v>
      </c>
      <c r="G154" s="3265">
        <v>0.123</v>
      </c>
    </row>
    <row r="155" spans="1:7">
      <c r="A155" s="3274" t="s">
        <v>29</v>
      </c>
      <c r="B155" s="3263" t="s">
        <v>2970</v>
      </c>
      <c r="C155" s="3264">
        <v>0.1</v>
      </c>
      <c r="D155" s="3264">
        <v>0.1</v>
      </c>
      <c r="E155" s="3264">
        <v>0.1</v>
      </c>
      <c r="F155" s="3264">
        <v>0.1</v>
      </c>
      <c r="G155" s="3265">
        <v>0.1</v>
      </c>
    </row>
    <row r="156" spans="1:7">
      <c r="A156" s="3274" t="s">
        <v>29</v>
      </c>
      <c r="B156" s="3263" t="s">
        <v>2977</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2997</v>
      </c>
      <c r="C160" s="3264">
        <v>0.13</v>
      </c>
      <c r="D160" s="3264">
        <v>0.13</v>
      </c>
      <c r="E160" s="3264">
        <v>0.124</v>
      </c>
      <c r="F160" s="3264">
        <v>0.126</v>
      </c>
      <c r="G160" s="3265">
        <v>0.13</v>
      </c>
    </row>
    <row r="161" spans="1:7">
      <c r="A161" s="3274" t="s">
        <v>29</v>
      </c>
      <c r="B161" s="3263" t="s">
        <v>3002</v>
      </c>
      <c r="C161" s="3264">
        <v>0.13</v>
      </c>
      <c r="D161" s="3264">
        <v>0.13</v>
      </c>
      <c r="E161" s="3264">
        <v>0.124</v>
      </c>
      <c r="F161" s="3264">
        <v>0.127</v>
      </c>
      <c r="G161" s="3265">
        <v>0.13</v>
      </c>
    </row>
    <row r="162" spans="1:7">
      <c r="A162" s="3274" t="s">
        <v>29</v>
      </c>
      <c r="B162" s="3263" t="s">
        <v>3007</v>
      </c>
      <c r="C162" s="3264">
        <v>0.1</v>
      </c>
      <c r="D162" s="3264">
        <v>0.1</v>
      </c>
      <c r="E162" s="3264">
        <v>0.1</v>
      </c>
      <c r="F162" s="3264">
        <v>0.121</v>
      </c>
      <c r="G162" s="3265">
        <v>0.105</v>
      </c>
    </row>
    <row r="163" spans="1:7">
      <c r="A163" s="3274" t="s">
        <v>29</v>
      </c>
      <c r="B163" s="3263" t="s">
        <v>3012</v>
      </c>
      <c r="C163" s="3264">
        <v>0.1</v>
      </c>
      <c r="D163" s="3264">
        <v>0.1</v>
      </c>
      <c r="E163" s="3264">
        <v>0.1</v>
      </c>
      <c r="F163" s="3264">
        <v>0.1</v>
      </c>
      <c r="G163" s="3265">
        <v>0.1</v>
      </c>
    </row>
    <row r="164" spans="1:7">
      <c r="A164" s="3274" t="s">
        <v>29</v>
      </c>
      <c r="B164" s="3263" t="s">
        <v>3017</v>
      </c>
      <c r="C164" s="3280"/>
      <c r="D164" s="3280"/>
      <c r="E164" s="3280"/>
      <c r="F164" s="3264">
        <v>0.1</v>
      </c>
      <c r="G164" s="3276"/>
    </row>
    <row r="165" spans="1:7">
      <c r="A165" s="3274" t="s">
        <v>29</v>
      </c>
      <c r="B165" s="3263" t="s">
        <v>3188</v>
      </c>
      <c r="C165" s="3264">
        <v>0.126</v>
      </c>
      <c r="D165" s="3264">
        <v>0.126</v>
      </c>
      <c r="E165" s="3264">
        <v>0.11899999999999999</v>
      </c>
      <c r="F165" s="3264">
        <v>0.13</v>
      </c>
      <c r="G165" s="3265">
        <v>0.128</v>
      </c>
    </row>
    <row r="166" spans="1:7">
      <c r="A166" s="3274" t="s">
        <v>29</v>
      </c>
      <c r="B166" s="3263" t="s">
        <v>3027</v>
      </c>
      <c r="C166" s="3264">
        <v>0.129</v>
      </c>
      <c r="D166" s="3264">
        <v>0.129</v>
      </c>
      <c r="E166" s="3264">
        <v>0.123</v>
      </c>
      <c r="F166" s="3264">
        <v>0.128</v>
      </c>
      <c r="G166" s="3265">
        <v>0.13</v>
      </c>
    </row>
    <row r="167" spans="1:7">
      <c r="A167" s="3274" t="s">
        <v>29</v>
      </c>
      <c r="B167" s="3263" t="s">
        <v>3031</v>
      </c>
      <c r="C167" s="3264">
        <v>0.125</v>
      </c>
      <c r="D167" s="3264">
        <v>0.125</v>
      </c>
      <c r="E167" s="3264">
        <v>0.11700000000000001</v>
      </c>
      <c r="F167" s="3264">
        <v>0.13</v>
      </c>
      <c r="G167" s="3265">
        <v>0.126</v>
      </c>
    </row>
    <row r="168" spans="1:7">
      <c r="A168" s="3274" t="s">
        <v>29</v>
      </c>
      <c r="B168" s="3263" t="s">
        <v>3036</v>
      </c>
      <c r="C168" s="3264">
        <v>0.128</v>
      </c>
      <c r="D168" s="3264">
        <v>0.128</v>
      </c>
      <c r="E168" s="3264">
        <v>0.123</v>
      </c>
      <c r="F168" s="3275"/>
      <c r="G168" s="3265">
        <v>0.13</v>
      </c>
    </row>
    <row r="169" spans="1:7">
      <c r="A169" s="3274" t="s">
        <v>29</v>
      </c>
      <c r="B169" s="3263" t="s">
        <v>3189</v>
      </c>
      <c r="C169" s="3280"/>
      <c r="D169" s="3280"/>
      <c r="E169" s="3280"/>
      <c r="F169" s="3264">
        <v>0.05</v>
      </c>
      <c r="G169" s="3276"/>
    </row>
    <row r="170" spans="1:7">
      <c r="A170" s="3274" t="s">
        <v>29</v>
      </c>
      <c r="B170" s="3263" t="s">
        <v>3190</v>
      </c>
      <c r="C170" s="3280"/>
      <c r="D170" s="3280"/>
      <c r="E170" s="3280"/>
      <c r="F170" s="3264">
        <v>0.05</v>
      </c>
      <c r="G170" s="3276"/>
    </row>
    <row r="171" spans="1:7">
      <c r="A171" s="3274" t="s">
        <v>29</v>
      </c>
      <c r="B171" s="3263" t="s">
        <v>3191</v>
      </c>
      <c r="C171" s="3280"/>
      <c r="D171" s="3280"/>
      <c r="E171" s="3280"/>
      <c r="F171" s="3264">
        <v>0.05</v>
      </c>
      <c r="G171" s="3281"/>
    </row>
    <row r="172" spans="1:7">
      <c r="A172" s="3274" t="s">
        <v>29</v>
      </c>
      <c r="B172" s="3263" t="s">
        <v>3192</v>
      </c>
      <c r="C172" s="3280"/>
      <c r="D172" s="3280"/>
      <c r="E172" s="3280"/>
      <c r="F172" s="3264">
        <v>0.05</v>
      </c>
      <c r="G172" s="3281"/>
    </row>
    <row r="173" spans="1:7">
      <c r="A173" s="3274" t="s">
        <v>29</v>
      </c>
      <c r="B173" s="3263" t="s">
        <v>3193</v>
      </c>
      <c r="C173" s="3280"/>
      <c r="D173" s="3280"/>
      <c r="E173" s="3280"/>
      <c r="F173" s="3264">
        <v>0.05</v>
      </c>
      <c r="G173" s="3276"/>
    </row>
    <row r="174" spans="1:7">
      <c r="A174" s="3274" t="s">
        <v>29</v>
      </c>
      <c r="B174" s="3263" t="s">
        <v>3194</v>
      </c>
      <c r="C174" s="3280"/>
      <c r="D174" s="3280"/>
      <c r="E174" s="3280"/>
      <c r="F174" s="3264">
        <v>0.05</v>
      </c>
      <c r="G174" s="3276"/>
    </row>
    <row r="175" spans="1:7">
      <c r="A175" s="3274" t="s">
        <v>29</v>
      </c>
      <c r="B175" s="3263" t="s">
        <v>3195</v>
      </c>
      <c r="C175" s="3280"/>
      <c r="D175" s="3280"/>
      <c r="E175" s="3280"/>
      <c r="F175" s="3264">
        <v>0.05</v>
      </c>
      <c r="G175" s="3276"/>
    </row>
    <row r="176" spans="1:7">
      <c r="A176" s="3274" t="s">
        <v>29</v>
      </c>
      <c r="B176" s="3263" t="s">
        <v>3196</v>
      </c>
      <c r="C176" s="3280"/>
      <c r="D176" s="3280"/>
      <c r="E176" s="3280"/>
      <c r="F176" s="3264">
        <v>0.05</v>
      </c>
      <c r="G176" s="3276"/>
    </row>
    <row r="177" spans="1:7">
      <c r="A177" s="3274" t="s">
        <v>29</v>
      </c>
      <c r="B177" s="3263" t="s">
        <v>3197</v>
      </c>
      <c r="C177" s="3275"/>
      <c r="D177" s="3275"/>
      <c r="E177" s="3275"/>
      <c r="F177" s="3264">
        <v>0.05</v>
      </c>
      <c r="G177" s="3281"/>
    </row>
    <row r="178" spans="1:7">
      <c r="A178" s="3274" t="s">
        <v>29</v>
      </c>
      <c r="B178" s="3263" t="s">
        <v>3198</v>
      </c>
      <c r="C178" s="3275"/>
      <c r="D178" s="3275"/>
      <c r="E178" s="3275"/>
      <c r="F178" s="3264">
        <v>0.05</v>
      </c>
      <c r="G178" s="3281"/>
    </row>
    <row r="179" spans="1:7">
      <c r="A179" s="3274" t="s">
        <v>29</v>
      </c>
      <c r="B179" s="3263" t="s">
        <v>3199</v>
      </c>
      <c r="C179" s="3275"/>
      <c r="D179" s="3275"/>
      <c r="E179" s="3275"/>
      <c r="F179" s="3264">
        <v>0.05</v>
      </c>
      <c r="G179" s="3281"/>
    </row>
    <row r="180" spans="1:7">
      <c r="A180" s="3274" t="s">
        <v>29</v>
      </c>
      <c r="B180" s="3263" t="s">
        <v>3200</v>
      </c>
      <c r="C180" s="3275"/>
      <c r="D180" s="3275"/>
      <c r="E180" s="3275"/>
      <c r="F180" s="3264">
        <v>0.05</v>
      </c>
      <c r="G180" s="3281"/>
    </row>
    <row r="181" spans="1:7">
      <c r="A181" s="3274" t="s">
        <v>29</v>
      </c>
      <c r="B181" s="3263" t="s">
        <v>3201</v>
      </c>
      <c r="C181" s="3275"/>
      <c r="D181" s="3275"/>
      <c r="E181" s="3275"/>
      <c r="F181" s="3264">
        <v>0.05</v>
      </c>
      <c r="G181" s="3281"/>
    </row>
    <row r="182" spans="1:7">
      <c r="A182" s="3274" t="s">
        <v>29</v>
      </c>
      <c r="B182" s="3263" t="s">
        <v>3202</v>
      </c>
      <c r="C182" s="3275"/>
      <c r="D182" s="3275"/>
      <c r="E182" s="3275"/>
      <c r="F182" s="3264">
        <v>0.05</v>
      </c>
      <c r="G182" s="3281"/>
    </row>
    <row r="183" spans="1:7">
      <c r="A183" s="3274" t="s">
        <v>29</v>
      </c>
      <c r="B183" s="3263" t="s">
        <v>3203</v>
      </c>
      <c r="C183" s="3275"/>
      <c r="D183" s="3275"/>
      <c r="E183" s="3275"/>
      <c r="F183" s="3264">
        <v>0.05</v>
      </c>
      <c r="G183" s="3281"/>
    </row>
    <row r="184" spans="1:7">
      <c r="A184" s="3274" t="s">
        <v>29</v>
      </c>
      <c r="B184" s="3263" t="s">
        <v>3204</v>
      </c>
      <c r="C184" s="3275"/>
      <c r="D184" s="3275"/>
      <c r="E184" s="3275"/>
      <c r="F184" s="3264">
        <v>0.05</v>
      </c>
      <c r="G184" s="3281"/>
    </row>
    <row r="185" spans="1:7">
      <c r="A185" s="3274" t="s">
        <v>29</v>
      </c>
      <c r="B185" s="3263" t="s">
        <v>3205</v>
      </c>
      <c r="C185" s="3275"/>
      <c r="D185" s="3275"/>
      <c r="E185" s="3275"/>
      <c r="F185" s="3264">
        <v>0.05</v>
      </c>
      <c r="G185" s="3281"/>
    </row>
    <row r="186" spans="1:7">
      <c r="A186" s="3274" t="s">
        <v>29</v>
      </c>
      <c r="B186" s="3263" t="s">
        <v>3206</v>
      </c>
      <c r="C186" s="3275"/>
      <c r="D186" s="3275"/>
      <c r="E186" s="3275"/>
      <c r="F186" s="3264">
        <v>0.05</v>
      </c>
      <c r="G186" s="3281"/>
    </row>
    <row r="187" spans="1:7">
      <c r="A187" s="3274" t="s">
        <v>29</v>
      </c>
      <c r="B187" s="3263" t="s">
        <v>3207</v>
      </c>
      <c r="C187" s="3275"/>
      <c r="D187" s="3275"/>
      <c r="E187" s="3275"/>
      <c r="F187" s="3264">
        <v>0.05</v>
      </c>
      <c r="G187" s="3281"/>
    </row>
    <row r="188" spans="1:7">
      <c r="A188" s="3274" t="s">
        <v>29</v>
      </c>
      <c r="B188" s="3263" t="s">
        <v>3208</v>
      </c>
      <c r="C188" s="3275"/>
      <c r="D188" s="3275"/>
      <c r="E188" s="3275"/>
      <c r="F188" s="3264">
        <v>0.05</v>
      </c>
      <c r="G188" s="3281"/>
    </row>
    <row r="189" spans="1:7" ht="14.25" thickBot="1">
      <c r="A189" s="3277" t="s">
        <v>29</v>
      </c>
      <c r="B189" s="3267" t="s">
        <v>3209</v>
      </c>
      <c r="C189" s="3269"/>
      <c r="D189" s="3269"/>
      <c r="E189" s="3269"/>
      <c r="F189" s="3268">
        <v>0.05</v>
      </c>
      <c r="G189" s="3282"/>
    </row>
    <row r="190" spans="1:7">
      <c r="A190" s="3273" t="s">
        <v>304</v>
      </c>
      <c r="B190" s="3259" t="s">
        <v>2865</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2901</v>
      </c>
      <c r="C199" s="3264">
        <v>0.13</v>
      </c>
      <c r="D199" s="3264">
        <v>0.13</v>
      </c>
      <c r="E199" s="3264">
        <v>0.13</v>
      </c>
      <c r="F199" s="3264">
        <v>0.13</v>
      </c>
      <c r="G199" s="3265">
        <v>0.13</v>
      </c>
    </row>
    <row r="200" spans="1:7">
      <c r="A200" s="3274" t="s">
        <v>304</v>
      </c>
      <c r="B200" s="3263" t="s">
        <v>2904</v>
      </c>
      <c r="C200" s="3280"/>
      <c r="D200" s="3280"/>
      <c r="E200" s="3280"/>
      <c r="F200" s="3264">
        <v>0.13</v>
      </c>
      <c r="G200" s="3276"/>
    </row>
    <row r="201" spans="1:7">
      <c r="A201" s="3274" t="s">
        <v>304</v>
      </c>
      <c r="B201" s="3263" t="s">
        <v>2909</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2912</v>
      </c>
      <c r="C203" s="3264">
        <v>0.129</v>
      </c>
      <c r="D203" s="3264">
        <v>0.129</v>
      </c>
      <c r="E203" s="3264">
        <v>0.13</v>
      </c>
      <c r="F203" s="3264">
        <v>0.13</v>
      </c>
      <c r="G203" s="3265">
        <v>0.13</v>
      </c>
    </row>
    <row r="204" spans="1:7">
      <c r="A204" s="3274" t="s">
        <v>304</v>
      </c>
      <c r="B204" s="3263" t="s">
        <v>2915</v>
      </c>
      <c r="C204" s="3264">
        <v>0.129</v>
      </c>
      <c r="D204" s="3264">
        <v>0.129</v>
      </c>
      <c r="E204" s="3264">
        <v>0.123</v>
      </c>
      <c r="F204" s="3264">
        <v>0.13</v>
      </c>
      <c r="G204" s="3265">
        <v>0.13</v>
      </c>
    </row>
    <row r="205" spans="1:7">
      <c r="A205" s="3274" t="s">
        <v>304</v>
      </c>
      <c r="B205" s="3263" t="s">
        <v>2917</v>
      </c>
      <c r="C205" s="3264">
        <v>0.13</v>
      </c>
      <c r="D205" s="3264">
        <v>0.13</v>
      </c>
      <c r="E205" s="3264">
        <v>0.13</v>
      </c>
      <c r="F205" s="3264">
        <v>0.13</v>
      </c>
      <c r="G205" s="3265">
        <v>0.13</v>
      </c>
    </row>
    <row r="206" spans="1:7">
      <c r="A206" s="3274" t="s">
        <v>304</v>
      </c>
      <c r="B206" s="3263" t="s">
        <v>2920</v>
      </c>
      <c r="C206" s="3264">
        <v>0.13</v>
      </c>
      <c r="D206" s="3264">
        <v>0.13</v>
      </c>
      <c r="E206" s="3264">
        <v>0.13</v>
      </c>
      <c r="F206" s="3264">
        <v>0.128</v>
      </c>
      <c r="G206" s="3265">
        <v>0.13</v>
      </c>
    </row>
    <row r="207" spans="1:7">
      <c r="A207" s="3274" t="s">
        <v>304</v>
      </c>
      <c r="B207" s="3263" t="s">
        <v>2922</v>
      </c>
      <c r="C207" s="3264">
        <v>0.13</v>
      </c>
      <c r="D207" s="3264">
        <v>0.13</v>
      </c>
      <c r="E207" s="3264">
        <v>0.13</v>
      </c>
      <c r="F207" s="3264">
        <v>0.13</v>
      </c>
      <c r="G207" s="3265">
        <v>0.13</v>
      </c>
    </row>
    <row r="208" spans="1:7">
      <c r="A208" s="3274" t="s">
        <v>304</v>
      </c>
      <c r="B208" s="3263" t="s">
        <v>2925</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2932</v>
      </c>
      <c r="C210" s="3264">
        <v>0.121</v>
      </c>
      <c r="D210" s="3264">
        <v>0.121</v>
      </c>
      <c r="E210" s="3264">
        <v>0.125</v>
      </c>
      <c r="F210" s="3264">
        <v>0.13</v>
      </c>
      <c r="G210" s="3265">
        <v>0.123</v>
      </c>
    </row>
    <row r="211" spans="1:7">
      <c r="A211" s="3274" t="s">
        <v>304</v>
      </c>
      <c r="B211" s="3263" t="s">
        <v>2935</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2947</v>
      </c>
      <c r="C214" s="3264">
        <v>0.128</v>
      </c>
      <c r="D214" s="3264">
        <v>0.128</v>
      </c>
      <c r="E214" s="3264">
        <v>0.13</v>
      </c>
      <c r="F214" s="3264">
        <v>0.13</v>
      </c>
      <c r="G214" s="3265">
        <v>0.13</v>
      </c>
    </row>
    <row r="215" spans="1:7">
      <c r="A215" s="3274" t="s">
        <v>304</v>
      </c>
      <c r="B215" s="3263" t="s">
        <v>2951</v>
      </c>
      <c r="C215" s="3264">
        <v>0.13</v>
      </c>
      <c r="D215" s="3264">
        <v>0.13</v>
      </c>
      <c r="E215" s="3264">
        <v>0.13</v>
      </c>
      <c r="F215" s="3264">
        <v>0.129</v>
      </c>
      <c r="G215" s="3265">
        <v>0.13</v>
      </c>
    </row>
    <row r="216" spans="1:7">
      <c r="A216" s="3274" t="s">
        <v>304</v>
      </c>
      <c r="B216" s="3263" t="s">
        <v>2958</v>
      </c>
      <c r="C216" s="3264">
        <v>0.13</v>
      </c>
      <c r="D216" s="3264">
        <v>0.13</v>
      </c>
      <c r="E216" s="3264">
        <v>0.13</v>
      </c>
      <c r="F216" s="3264">
        <v>0.13</v>
      </c>
      <c r="G216" s="3265">
        <v>0.13</v>
      </c>
    </row>
    <row r="217" spans="1:7">
      <c r="A217" s="3274" t="s">
        <v>304</v>
      </c>
      <c r="B217" s="3263" t="s">
        <v>2965</v>
      </c>
      <c r="C217" s="3264">
        <v>0.129</v>
      </c>
      <c r="D217" s="3264">
        <v>0.129</v>
      </c>
      <c r="E217" s="3264">
        <v>0.13</v>
      </c>
      <c r="F217" s="3264">
        <v>0.13</v>
      </c>
      <c r="G217" s="3265">
        <v>0.13</v>
      </c>
    </row>
    <row r="218" spans="1:7">
      <c r="A218" s="3274" t="s">
        <v>304</v>
      </c>
      <c r="B218" s="3263" t="s">
        <v>2971</v>
      </c>
      <c r="C218" s="3275"/>
      <c r="D218" s="3275"/>
      <c r="E218" s="3275"/>
      <c r="F218" s="3264">
        <v>0.05</v>
      </c>
      <c r="G218" s="3281"/>
    </row>
    <row r="219" spans="1:7">
      <c r="A219" s="3274" t="s">
        <v>304</v>
      </c>
      <c r="B219" s="3263" t="s">
        <v>2978</v>
      </c>
      <c r="C219" s="3275"/>
      <c r="D219" s="3275"/>
      <c r="E219" s="3275"/>
      <c r="F219" s="3264">
        <v>0.05</v>
      </c>
      <c r="G219" s="3281"/>
    </row>
    <row r="220" spans="1:7">
      <c r="A220" s="3274" t="s">
        <v>304</v>
      </c>
      <c r="B220" s="3263" t="s">
        <v>2984</v>
      </c>
      <c r="C220" s="3275"/>
      <c r="D220" s="3275"/>
      <c r="E220" s="3275"/>
      <c r="F220" s="3264">
        <v>0.05</v>
      </c>
      <c r="G220" s="3281"/>
    </row>
    <row r="221" spans="1:7">
      <c r="A221" s="3274" t="s">
        <v>304</v>
      </c>
      <c r="B221" s="3263" t="s">
        <v>2989</v>
      </c>
      <c r="C221" s="3275"/>
      <c r="D221" s="3275"/>
      <c r="E221" s="3275"/>
      <c r="F221" s="3264">
        <v>0.05</v>
      </c>
      <c r="G221" s="3281"/>
    </row>
    <row r="222" spans="1:7">
      <c r="A222" s="3274" t="s">
        <v>304</v>
      </c>
      <c r="B222" s="3263" t="s">
        <v>2993</v>
      </c>
      <c r="C222" s="3275"/>
      <c r="D222" s="3275"/>
      <c r="E222" s="3275"/>
      <c r="F222" s="3264">
        <v>0.05</v>
      </c>
      <c r="G222" s="3281"/>
    </row>
    <row r="223" spans="1:7">
      <c r="A223" s="3274" t="s">
        <v>304</v>
      </c>
      <c r="B223" s="3263" t="s">
        <v>2998</v>
      </c>
      <c r="C223" s="3275"/>
      <c r="D223" s="3275"/>
      <c r="E223" s="3275"/>
      <c r="F223" s="3264">
        <v>0.05</v>
      </c>
      <c r="G223" s="3281"/>
    </row>
    <row r="224" spans="1:7">
      <c r="A224" s="3274" t="s">
        <v>304</v>
      </c>
      <c r="B224" s="3263" t="s">
        <v>3003</v>
      </c>
      <c r="C224" s="3275"/>
      <c r="D224" s="3275"/>
      <c r="E224" s="3275"/>
      <c r="F224" s="3264">
        <v>0.05</v>
      </c>
      <c r="G224" s="3281"/>
    </row>
    <row r="225" spans="1:7">
      <c r="A225" s="3274" t="s">
        <v>304</v>
      </c>
      <c r="B225" s="3263" t="s">
        <v>3008</v>
      </c>
      <c r="C225" s="3275"/>
      <c r="D225" s="3275"/>
      <c r="E225" s="3275"/>
      <c r="F225" s="3264">
        <v>0.05</v>
      </c>
      <c r="G225" s="3281"/>
    </row>
    <row r="226" spans="1:7">
      <c r="A226" s="3274" t="s">
        <v>304</v>
      </c>
      <c r="B226" s="3263" t="s">
        <v>3210</v>
      </c>
      <c r="C226" s="3275"/>
      <c r="D226" s="3275"/>
      <c r="E226" s="3275"/>
      <c r="F226" s="3264">
        <v>0.05</v>
      </c>
      <c r="G226" s="3281"/>
    </row>
    <row r="227" spans="1:7">
      <c r="A227" s="3274" t="s">
        <v>304</v>
      </c>
      <c r="B227" s="3263" t="s">
        <v>3211</v>
      </c>
      <c r="C227" s="3275"/>
      <c r="D227" s="3275"/>
      <c r="E227" s="3275"/>
      <c r="F227" s="3264">
        <v>0.05</v>
      </c>
      <c r="G227" s="3281"/>
    </row>
    <row r="228" spans="1:7">
      <c r="A228" s="3274" t="s">
        <v>304</v>
      </c>
      <c r="B228" s="3263" t="s">
        <v>3212</v>
      </c>
      <c r="C228" s="3275"/>
      <c r="D228" s="3275"/>
      <c r="E228" s="3275"/>
      <c r="F228" s="3264">
        <v>0.05</v>
      </c>
      <c r="G228" s="3281"/>
    </row>
    <row r="229" spans="1:7">
      <c r="A229" s="3274" t="s">
        <v>304</v>
      </c>
      <c r="B229" s="3263" t="s">
        <v>3213</v>
      </c>
      <c r="C229" s="3275"/>
      <c r="D229" s="3275"/>
      <c r="E229" s="3275"/>
      <c r="F229" s="3264">
        <v>0.05</v>
      </c>
      <c r="G229" s="3281"/>
    </row>
    <row r="230" spans="1:7">
      <c r="A230" s="3274" t="s">
        <v>304</v>
      </c>
      <c r="B230" s="3263" t="s">
        <v>3214</v>
      </c>
      <c r="C230" s="3275"/>
      <c r="D230" s="3275"/>
      <c r="E230" s="3275"/>
      <c r="F230" s="3264">
        <v>0.05</v>
      </c>
      <c r="G230" s="3281"/>
    </row>
    <row r="231" spans="1:7">
      <c r="A231" s="3274" t="s">
        <v>304</v>
      </c>
      <c r="B231" s="3263" t="s">
        <v>3215</v>
      </c>
      <c r="C231" s="3275"/>
      <c r="D231" s="3275"/>
      <c r="E231" s="3275"/>
      <c r="F231" s="3264">
        <v>0.05</v>
      </c>
      <c r="G231" s="3281"/>
    </row>
    <row r="232" spans="1:7">
      <c r="A232" s="3274" t="s">
        <v>304</v>
      </c>
      <c r="B232" s="3263" t="s">
        <v>3216</v>
      </c>
      <c r="C232" s="3275"/>
      <c r="D232" s="3275"/>
      <c r="E232" s="3275"/>
      <c r="F232" s="3264">
        <v>0.05</v>
      </c>
      <c r="G232" s="3281"/>
    </row>
    <row r="233" spans="1:7" ht="14.25" thickBot="1">
      <c r="A233" s="3277" t="s">
        <v>304</v>
      </c>
      <c r="B233" s="3267" t="s">
        <v>3217</v>
      </c>
      <c r="C233" s="3269"/>
      <c r="D233" s="3269"/>
      <c r="E233" s="3269"/>
      <c r="F233" s="3268">
        <v>0.05</v>
      </c>
      <c r="G233" s="3282"/>
    </row>
    <row r="234" spans="1:7">
      <c r="A234" s="3273" t="s">
        <v>305</v>
      </c>
      <c r="B234" s="3259" t="s">
        <v>2866</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2886</v>
      </c>
      <c r="C238" s="3264">
        <v>0.14899999999999999</v>
      </c>
      <c r="D238" s="3264">
        <v>0.14899999999999999</v>
      </c>
      <c r="E238" s="3264">
        <v>0.15</v>
      </c>
      <c r="F238" s="3264">
        <v>0.15</v>
      </c>
      <c r="G238" s="3265">
        <v>0.15</v>
      </c>
    </row>
    <row r="239" spans="1:7">
      <c r="A239" s="3274" t="s">
        <v>305</v>
      </c>
      <c r="B239" s="3263" t="s">
        <v>2890</v>
      </c>
      <c r="C239" s="3264">
        <v>0.15</v>
      </c>
      <c r="D239" s="3264">
        <v>0.15</v>
      </c>
      <c r="E239" s="3264">
        <v>0.15</v>
      </c>
      <c r="F239" s="3264">
        <v>0.15</v>
      </c>
      <c r="G239" s="3265">
        <v>0.15</v>
      </c>
    </row>
    <row r="240" spans="1:7">
      <c r="A240" s="3274" t="s">
        <v>305</v>
      </c>
      <c r="B240" s="3263" t="s">
        <v>2895</v>
      </c>
      <c r="C240" s="3264">
        <v>0.15</v>
      </c>
      <c r="D240" s="3264">
        <v>0.15</v>
      </c>
      <c r="E240" s="3264">
        <v>0.15</v>
      </c>
      <c r="F240" s="3264">
        <v>0.15</v>
      </c>
      <c r="G240" s="3265">
        <v>0.15</v>
      </c>
    </row>
    <row r="241" spans="1:7">
      <c r="A241" s="3274" t="s">
        <v>305</v>
      </c>
      <c r="B241" s="3263" t="s">
        <v>2899</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2905</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2913</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2918</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2926</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2939</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2948</v>
      </c>
      <c r="C258" s="3264">
        <v>0.14299999999999999</v>
      </c>
      <c r="D258" s="3264">
        <v>0.14299999999999999</v>
      </c>
      <c r="E258" s="3264">
        <v>0.15</v>
      </c>
      <c r="F258" s="3264">
        <v>0.14799999999999999</v>
      </c>
      <c r="G258" s="3265">
        <v>0.14599999999999999</v>
      </c>
    </row>
    <row r="259" spans="1:7">
      <c r="A259" s="3274" t="s">
        <v>305</v>
      </c>
      <c r="B259" s="3263" t="s">
        <v>2952</v>
      </c>
      <c r="C259" s="3264">
        <v>0.14399999999999999</v>
      </c>
      <c r="D259" s="3264">
        <v>0.14399999999999999</v>
      </c>
      <c r="E259" s="3264">
        <v>0.14899999999999999</v>
      </c>
      <c r="F259" s="3264">
        <v>0.14699999999999999</v>
      </c>
      <c r="G259" s="3265">
        <v>0.14599999999999999</v>
      </c>
    </row>
    <row r="260" spans="1:7">
      <c r="A260" s="3274" t="s">
        <v>305</v>
      </c>
      <c r="B260" s="3263" t="s">
        <v>2959</v>
      </c>
      <c r="C260" s="3264">
        <v>0.109</v>
      </c>
      <c r="D260" s="3264">
        <v>0.111</v>
      </c>
      <c r="E260" s="3264">
        <v>0.13100000000000001</v>
      </c>
      <c r="F260" s="3264">
        <v>0.126</v>
      </c>
      <c r="G260" s="3265">
        <v>0.11899999999999999</v>
      </c>
    </row>
    <row r="261" spans="1:7">
      <c r="A261" s="3274" t="s">
        <v>305</v>
      </c>
      <c r="B261" s="3263" t="s">
        <v>2966</v>
      </c>
      <c r="C261" s="3264">
        <v>0.1</v>
      </c>
      <c r="D261" s="3264">
        <v>0.1</v>
      </c>
      <c r="E261" s="3264">
        <v>0.11799999999999999</v>
      </c>
      <c r="F261" s="3264">
        <v>0.108</v>
      </c>
      <c r="G261" s="3265">
        <v>0.107</v>
      </c>
    </row>
    <row r="262" spans="1:7">
      <c r="A262" s="3274" t="s">
        <v>305</v>
      </c>
      <c r="B262" s="3263" t="s">
        <v>2972</v>
      </c>
      <c r="C262" s="3264">
        <v>0.1</v>
      </c>
      <c r="D262" s="3264">
        <v>0.1</v>
      </c>
      <c r="E262" s="3264">
        <v>0.1</v>
      </c>
      <c r="F262" s="3264">
        <v>0.14099999999999999</v>
      </c>
      <c r="G262" s="3265">
        <v>0.1</v>
      </c>
    </row>
    <row r="263" spans="1:7">
      <c r="A263" s="3274" t="s">
        <v>305</v>
      </c>
      <c r="B263" s="3263" t="s">
        <v>2979</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2990</v>
      </c>
      <c r="C265" s="3275"/>
      <c r="D265" s="3275"/>
      <c r="E265" s="3275"/>
      <c r="F265" s="3264">
        <v>0.05</v>
      </c>
      <c r="G265" s="3281"/>
    </row>
    <row r="266" spans="1:7">
      <c r="A266" s="3274" t="s">
        <v>305</v>
      </c>
      <c r="B266" s="3263" t="s">
        <v>2994</v>
      </c>
      <c r="C266" s="3275"/>
      <c r="D266" s="3275"/>
      <c r="E266" s="3275"/>
      <c r="F266" s="3264">
        <v>0.05</v>
      </c>
      <c r="G266" s="3281"/>
    </row>
    <row r="267" spans="1:7">
      <c r="A267" s="3274" t="s">
        <v>305</v>
      </c>
      <c r="B267" s="3263" t="s">
        <v>2999</v>
      </c>
      <c r="C267" s="3275"/>
      <c r="D267" s="3275"/>
      <c r="E267" s="3275"/>
      <c r="F267" s="3264">
        <v>0.05</v>
      </c>
      <c r="G267" s="3281"/>
    </row>
    <row r="268" spans="1:7">
      <c r="A268" s="3274" t="s">
        <v>305</v>
      </c>
      <c r="B268" s="3263" t="s">
        <v>3004</v>
      </c>
      <c r="C268" s="3275"/>
      <c r="D268" s="3275"/>
      <c r="E268" s="3275"/>
      <c r="F268" s="3264">
        <v>0.05</v>
      </c>
      <c r="G268" s="3281"/>
    </row>
    <row r="269" spans="1:7">
      <c r="A269" s="3274" t="s">
        <v>305</v>
      </c>
      <c r="B269" s="3263" t="s">
        <v>3009</v>
      </c>
      <c r="C269" s="3275"/>
      <c r="D269" s="3275"/>
      <c r="E269" s="3275"/>
      <c r="F269" s="3264">
        <v>0.05</v>
      </c>
      <c r="G269" s="3281"/>
    </row>
    <row r="270" spans="1:7">
      <c r="A270" s="3274" t="s">
        <v>305</v>
      </c>
      <c r="B270" s="3263" t="s">
        <v>3014</v>
      </c>
      <c r="C270" s="3275"/>
      <c r="D270" s="3275"/>
      <c r="E270" s="3275"/>
      <c r="F270" s="3264">
        <v>0.05</v>
      </c>
      <c r="G270" s="3281"/>
    </row>
    <row r="271" spans="1:7">
      <c r="A271" s="3274" t="s">
        <v>305</v>
      </c>
      <c r="B271" s="3263" t="s">
        <v>3218</v>
      </c>
      <c r="C271" s="3275"/>
      <c r="D271" s="3275"/>
      <c r="E271" s="3275"/>
      <c r="F271" s="3264">
        <v>0.05</v>
      </c>
      <c r="G271" s="3281"/>
    </row>
    <row r="272" spans="1:7">
      <c r="A272" s="3274" t="s">
        <v>305</v>
      </c>
      <c r="B272" s="3263" t="s">
        <v>3219</v>
      </c>
      <c r="C272" s="3275"/>
      <c r="D272" s="3275"/>
      <c r="E272" s="3275"/>
      <c r="F272" s="3264">
        <v>0.05</v>
      </c>
      <c r="G272" s="3281"/>
    </row>
    <row r="273" spans="1:7">
      <c r="A273" s="3274" t="s">
        <v>305</v>
      </c>
      <c r="B273" s="3263" t="s">
        <v>3220</v>
      </c>
      <c r="C273" s="3275"/>
      <c r="D273" s="3275"/>
      <c r="E273" s="3275"/>
      <c r="F273" s="3264">
        <v>0.05</v>
      </c>
      <c r="G273" s="3281"/>
    </row>
    <row r="274" spans="1:7">
      <c r="A274" s="3274" t="s">
        <v>305</v>
      </c>
      <c r="B274" s="3263" t="s">
        <v>3221</v>
      </c>
      <c r="C274" s="3275"/>
      <c r="D274" s="3275"/>
      <c r="E274" s="3275"/>
      <c r="F274" s="3264">
        <v>0.05</v>
      </c>
      <c r="G274" s="3281"/>
    </row>
    <row r="275" spans="1:7">
      <c r="A275" s="3274" t="s">
        <v>305</v>
      </c>
      <c r="B275" s="3263" t="s">
        <v>3222</v>
      </c>
      <c r="C275" s="3275"/>
      <c r="D275" s="3275"/>
      <c r="E275" s="3275"/>
      <c r="F275" s="3264">
        <v>0.05</v>
      </c>
      <c r="G275" s="3281"/>
    </row>
    <row r="276" spans="1:7" ht="14.25" thickBot="1">
      <c r="A276" s="3277" t="s">
        <v>305</v>
      </c>
      <c r="B276" s="3267" t="s">
        <v>3223</v>
      </c>
      <c r="C276" s="3269"/>
      <c r="D276" s="3269"/>
      <c r="E276" s="3269"/>
      <c r="F276" s="3268">
        <v>0.05</v>
      </c>
      <c r="G276" s="3282"/>
    </row>
    <row r="277" spans="1:7">
      <c r="A277" s="3273" t="s">
        <v>306</v>
      </c>
      <c r="B277" s="3259" t="s">
        <v>2867</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2879</v>
      </c>
      <c r="C279" s="3264">
        <v>0.15</v>
      </c>
      <c r="D279" s="3264">
        <v>0.15</v>
      </c>
      <c r="E279" s="3264">
        <v>0.15</v>
      </c>
      <c r="F279" s="3264">
        <v>0.15</v>
      </c>
      <c r="G279" s="3265">
        <v>0.15</v>
      </c>
    </row>
    <row r="280" spans="1:7">
      <c r="A280" s="3274" t="s">
        <v>306</v>
      </c>
      <c r="B280" s="3263" t="s">
        <v>2883</v>
      </c>
      <c r="C280" s="3264">
        <v>0.15</v>
      </c>
      <c r="D280" s="3264">
        <v>0.15</v>
      </c>
      <c r="E280" s="3264">
        <v>0.15</v>
      </c>
      <c r="F280" s="3264">
        <v>0.15</v>
      </c>
      <c r="G280" s="3265">
        <v>0.15</v>
      </c>
    </row>
    <row r="281" spans="1:7">
      <c r="A281" s="3274" t="s">
        <v>306</v>
      </c>
      <c r="B281" s="3263" t="s">
        <v>2887</v>
      </c>
      <c r="C281" s="3264">
        <v>0.15</v>
      </c>
      <c r="D281" s="3264">
        <v>0.15</v>
      </c>
      <c r="E281" s="3264">
        <v>0.15</v>
      </c>
      <c r="F281" s="3264">
        <v>0.15</v>
      </c>
      <c r="G281" s="3265">
        <v>0.15</v>
      </c>
    </row>
    <row r="282" spans="1:7">
      <c r="A282" s="3274" t="s">
        <v>306</v>
      </c>
      <c r="B282" s="3263" t="s">
        <v>2891</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2906</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2911</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2921</v>
      </c>
      <c r="C293" s="3264">
        <v>0.15</v>
      </c>
      <c r="D293" s="3264">
        <v>0.15</v>
      </c>
      <c r="E293" s="3264">
        <v>0.15</v>
      </c>
      <c r="F293" s="3264">
        <v>0.14499999999999999</v>
      </c>
      <c r="G293" s="3265">
        <v>0.15</v>
      </c>
    </row>
    <row r="294" spans="1:7">
      <c r="A294" s="3274" t="s">
        <v>306</v>
      </c>
      <c r="B294" s="3263" t="s">
        <v>2923</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2940</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2953</v>
      </c>
      <c r="C302" s="3264">
        <v>0.15</v>
      </c>
      <c r="D302" s="3264">
        <v>0.15</v>
      </c>
      <c r="E302" s="3264">
        <v>0.15</v>
      </c>
      <c r="F302" s="3264">
        <v>0.14699999999999999</v>
      </c>
      <c r="G302" s="3265">
        <v>0.15</v>
      </c>
    </row>
    <row r="303" spans="1:7">
      <c r="A303" s="3274" t="s">
        <v>306</v>
      </c>
      <c r="B303" s="3263" t="s">
        <v>2960</v>
      </c>
      <c r="C303" s="3264">
        <v>0.15</v>
      </c>
      <c r="D303" s="3264">
        <v>0.15</v>
      </c>
      <c r="E303" s="3264">
        <v>0.15</v>
      </c>
      <c r="F303" s="3264">
        <v>0.14199999999999999</v>
      </c>
      <c r="G303" s="3265">
        <v>0.15</v>
      </c>
    </row>
    <row r="304" spans="1:7">
      <c r="A304" s="3274" t="s">
        <v>306</v>
      </c>
      <c r="B304" s="3263" t="s">
        <v>2967</v>
      </c>
      <c r="C304" s="3264">
        <v>0.15</v>
      </c>
      <c r="D304" s="3264">
        <v>0.15</v>
      </c>
      <c r="E304" s="3264">
        <v>0.15</v>
      </c>
      <c r="F304" s="3264">
        <v>0.14499999999999999</v>
      </c>
      <c r="G304" s="3265">
        <v>0.15</v>
      </c>
    </row>
    <row r="305" spans="1:7">
      <c r="A305" s="3274" t="s">
        <v>306</v>
      </c>
      <c r="B305" s="3263" t="s">
        <v>2973</v>
      </c>
      <c r="C305" s="3264">
        <v>0.15</v>
      </c>
      <c r="D305" s="3264">
        <v>0.15</v>
      </c>
      <c r="E305" s="3264">
        <v>0.15</v>
      </c>
      <c r="F305" s="3264">
        <v>0.111</v>
      </c>
      <c r="G305" s="3265">
        <v>0.15</v>
      </c>
    </row>
    <row r="306" spans="1:7">
      <c r="A306" s="3274" t="s">
        <v>306</v>
      </c>
      <c r="B306" s="3263" t="s">
        <v>2980</v>
      </c>
      <c r="C306" s="3264">
        <v>0.15</v>
      </c>
      <c r="D306" s="3264">
        <v>0.15</v>
      </c>
      <c r="E306" s="3264">
        <v>0.15</v>
      </c>
      <c r="F306" s="3264">
        <v>0.126</v>
      </c>
      <c r="G306" s="3265">
        <v>0.15</v>
      </c>
    </row>
    <row r="307" spans="1:7">
      <c r="A307" s="3274" t="s">
        <v>306</v>
      </c>
      <c r="B307" s="3263" t="s">
        <v>2985</v>
      </c>
      <c r="C307" s="3264">
        <v>0.15</v>
      </c>
      <c r="D307" s="3264">
        <v>0.15</v>
      </c>
      <c r="E307" s="3264">
        <v>0.15</v>
      </c>
      <c r="F307" s="3264">
        <v>0.12</v>
      </c>
      <c r="G307" s="3265">
        <v>0.15</v>
      </c>
    </row>
    <row r="308" spans="1:7">
      <c r="A308" s="3274" t="s">
        <v>306</v>
      </c>
      <c r="B308" s="3263" t="s">
        <v>2991</v>
      </c>
      <c r="C308" s="3264">
        <v>0.15</v>
      </c>
      <c r="D308" s="3264">
        <v>0.15</v>
      </c>
      <c r="E308" s="3264">
        <v>0.15</v>
      </c>
      <c r="F308" s="3264">
        <v>0.13</v>
      </c>
      <c r="G308" s="3265">
        <v>0.15</v>
      </c>
    </row>
    <row r="309" spans="1:7">
      <c r="A309" s="3274" t="s">
        <v>306</v>
      </c>
      <c r="B309" s="3263" t="s">
        <v>2995</v>
      </c>
      <c r="C309" s="3264">
        <v>0.15</v>
      </c>
      <c r="D309" s="3264">
        <v>0.15</v>
      </c>
      <c r="E309" s="3264">
        <v>0.15</v>
      </c>
      <c r="F309" s="3264">
        <v>0.14099999999999999</v>
      </c>
      <c r="G309" s="3265">
        <v>0.15</v>
      </c>
    </row>
    <row r="310" spans="1:7">
      <c r="A310" s="3274" t="s">
        <v>306</v>
      </c>
      <c r="B310" s="3263" t="s">
        <v>3000</v>
      </c>
      <c r="C310" s="3264">
        <v>0.15</v>
      </c>
      <c r="D310" s="3264">
        <v>0.15</v>
      </c>
      <c r="E310" s="3264">
        <v>0.15</v>
      </c>
      <c r="F310" s="3264">
        <v>0.15</v>
      </c>
      <c r="G310" s="3265">
        <v>0.15</v>
      </c>
    </row>
    <row r="311" spans="1:7">
      <c r="A311" s="3274" t="s">
        <v>306</v>
      </c>
      <c r="B311" s="3263" t="s">
        <v>3005</v>
      </c>
      <c r="C311" s="3264">
        <v>0.13200000000000001</v>
      </c>
      <c r="D311" s="3264">
        <v>0.13300000000000001</v>
      </c>
      <c r="E311" s="3264">
        <v>0.14499999999999999</v>
      </c>
      <c r="F311" s="3264">
        <v>0.14199999999999999</v>
      </c>
      <c r="G311" s="3265">
        <v>0.14000000000000001</v>
      </c>
    </row>
    <row r="312" spans="1:7">
      <c r="A312" s="3274" t="s">
        <v>306</v>
      </c>
      <c r="B312" s="3263" t="s">
        <v>3010</v>
      </c>
      <c r="C312" s="3264">
        <v>0.13800000000000001</v>
      </c>
      <c r="D312" s="3264">
        <v>0.14000000000000001</v>
      </c>
      <c r="E312" s="3264">
        <v>0.14599999999999999</v>
      </c>
      <c r="F312" s="3264">
        <v>0.14899999999999999</v>
      </c>
      <c r="G312" s="3265">
        <v>0.14199999999999999</v>
      </c>
    </row>
    <row r="313" spans="1:7">
      <c r="A313" s="3274" t="s">
        <v>306</v>
      </c>
      <c r="B313" s="3263" t="s">
        <v>3015</v>
      </c>
      <c r="C313" s="3264">
        <v>0.125</v>
      </c>
      <c r="D313" s="3264">
        <v>0.127</v>
      </c>
      <c r="E313" s="3264">
        <v>0.14399999999999999</v>
      </c>
      <c r="F313" s="3264">
        <v>0.115</v>
      </c>
      <c r="G313" s="3265">
        <v>0.13600000000000001</v>
      </c>
    </row>
    <row r="314" spans="1:7">
      <c r="A314" s="3274" t="s">
        <v>306</v>
      </c>
      <c r="B314" s="3263" t="s">
        <v>3224</v>
      </c>
      <c r="C314" s="3280"/>
      <c r="D314" s="3280"/>
      <c r="E314" s="3280"/>
      <c r="F314" s="3264">
        <v>0.05</v>
      </c>
      <c r="G314" s="3281"/>
    </row>
    <row r="315" spans="1:7">
      <c r="A315" s="3274" t="s">
        <v>306</v>
      </c>
      <c r="B315" s="3263" t="s">
        <v>3225</v>
      </c>
      <c r="C315" s="3280"/>
      <c r="D315" s="3280"/>
      <c r="E315" s="3280"/>
      <c r="F315" s="3264">
        <v>0.05</v>
      </c>
      <c r="G315" s="3281"/>
    </row>
    <row r="316" spans="1:7">
      <c r="A316" s="3274" t="s">
        <v>306</v>
      </c>
      <c r="B316" s="3263" t="s">
        <v>3226</v>
      </c>
      <c r="C316" s="3275"/>
      <c r="D316" s="3275"/>
      <c r="E316" s="3275"/>
      <c r="F316" s="3264">
        <v>0.05</v>
      </c>
      <c r="G316" s="3281"/>
    </row>
    <row r="317" spans="1:7">
      <c r="A317" s="3274" t="s">
        <v>306</v>
      </c>
      <c r="B317" s="3263" t="s">
        <v>3227</v>
      </c>
      <c r="C317" s="3275"/>
      <c r="D317" s="3275"/>
      <c r="E317" s="3275"/>
      <c r="F317" s="3264">
        <v>0.05</v>
      </c>
      <c r="G317" s="3281"/>
    </row>
    <row r="318" spans="1:7">
      <c r="A318" s="3274" t="s">
        <v>306</v>
      </c>
      <c r="B318" s="3263" t="s">
        <v>3228</v>
      </c>
      <c r="C318" s="3275"/>
      <c r="D318" s="3275"/>
      <c r="E318" s="3275"/>
      <c r="F318" s="3264">
        <v>0.05</v>
      </c>
      <c r="G318" s="3281"/>
    </row>
    <row r="319" spans="1:7">
      <c r="A319" s="3274" t="s">
        <v>306</v>
      </c>
      <c r="B319" s="3263" t="s">
        <v>3229</v>
      </c>
      <c r="C319" s="3275"/>
      <c r="D319" s="3275"/>
      <c r="E319" s="3275"/>
      <c r="F319" s="3264">
        <v>0.05</v>
      </c>
      <c r="G319" s="3281"/>
    </row>
    <row r="320" spans="1:7">
      <c r="A320" s="3274" t="s">
        <v>306</v>
      </c>
      <c r="B320" s="3263" t="s">
        <v>3230</v>
      </c>
      <c r="C320" s="3275"/>
      <c r="D320" s="3275"/>
      <c r="E320" s="3275"/>
      <c r="F320" s="3264">
        <v>0.05</v>
      </c>
      <c r="G320" s="3281"/>
    </row>
    <row r="321" spans="1:7">
      <c r="A321" s="3274" t="s">
        <v>306</v>
      </c>
      <c r="B321" s="3263" t="s">
        <v>3231</v>
      </c>
      <c r="C321" s="3275"/>
      <c r="D321" s="3275"/>
      <c r="E321" s="3275"/>
      <c r="F321" s="3264">
        <v>0.05</v>
      </c>
      <c r="G321" s="3281"/>
    </row>
    <row r="322" spans="1:7">
      <c r="A322" s="3274" t="s">
        <v>306</v>
      </c>
      <c r="B322" s="3263" t="s">
        <v>3232</v>
      </c>
      <c r="C322" s="3275"/>
      <c r="D322" s="3275"/>
      <c r="E322" s="3275"/>
      <c r="F322" s="3264">
        <v>0.05</v>
      </c>
      <c r="G322" s="3281"/>
    </row>
    <row r="323" spans="1:7">
      <c r="A323" s="3274" t="s">
        <v>306</v>
      </c>
      <c r="B323" s="3263" t="s">
        <v>3233</v>
      </c>
      <c r="C323" s="3275"/>
      <c r="D323" s="3275"/>
      <c r="E323" s="3275"/>
      <c r="F323" s="3264">
        <v>0.05</v>
      </c>
      <c r="G323" s="3281"/>
    </row>
    <row r="324" spans="1:7">
      <c r="A324" s="3274" t="s">
        <v>306</v>
      </c>
      <c r="B324" s="3263" t="s">
        <v>3234</v>
      </c>
      <c r="C324" s="3275"/>
      <c r="D324" s="3275"/>
      <c r="E324" s="3275"/>
      <c r="F324" s="3264">
        <v>0.05</v>
      </c>
      <c r="G324" s="3281"/>
    </row>
    <row r="325" spans="1:7">
      <c r="A325" s="3274" t="s">
        <v>306</v>
      </c>
      <c r="B325" s="3263" t="s">
        <v>3235</v>
      </c>
      <c r="C325" s="3275"/>
      <c r="D325" s="3275"/>
      <c r="E325" s="3275"/>
      <c r="F325" s="3264">
        <v>0.05</v>
      </c>
      <c r="G325" s="3281"/>
    </row>
    <row r="326" spans="1:7" ht="14.25" thickBot="1">
      <c r="A326" s="3277" t="s">
        <v>306</v>
      </c>
      <c r="B326" s="3267" t="s">
        <v>3236</v>
      </c>
      <c r="C326" s="3269"/>
      <c r="D326" s="3269"/>
      <c r="E326" s="3269"/>
      <c r="F326" s="3268">
        <v>0.05</v>
      </c>
      <c r="G326" s="3282"/>
    </row>
    <row r="327" spans="1:7">
      <c r="A327" s="3273" t="s">
        <v>307</v>
      </c>
      <c r="B327" s="3259" t="s">
        <v>2868</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2880</v>
      </c>
      <c r="C329" s="3264">
        <v>0.15</v>
      </c>
      <c r="D329" s="3264">
        <v>0.15</v>
      </c>
      <c r="E329" s="3264">
        <v>0.15</v>
      </c>
      <c r="F329" s="3264">
        <v>0.15</v>
      </c>
      <c r="G329" s="3265">
        <v>0.15</v>
      </c>
    </row>
    <row r="330" spans="1:7">
      <c r="A330" s="3274" t="s">
        <v>307</v>
      </c>
      <c r="B330" s="3263" t="s">
        <v>2884</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2892</v>
      </c>
      <c r="C332" s="3264">
        <v>0.15</v>
      </c>
      <c r="D332" s="3264">
        <v>0.15</v>
      </c>
      <c r="E332" s="3264">
        <v>0.15</v>
      </c>
      <c r="F332" s="3264">
        <v>0.15</v>
      </c>
      <c r="G332" s="3265">
        <v>0.15</v>
      </c>
    </row>
    <row r="333" spans="1:7">
      <c r="A333" s="3274" t="s">
        <v>307</v>
      </c>
      <c r="B333" s="3263" t="s">
        <v>2896</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2902</v>
      </c>
      <c r="C336" s="3264">
        <v>0.15</v>
      </c>
      <c r="D336" s="3264">
        <v>0.15</v>
      </c>
      <c r="E336" s="3264">
        <v>0.15</v>
      </c>
      <c r="F336" s="3264">
        <v>0.14199999999999999</v>
      </c>
      <c r="G336" s="3265">
        <v>0.15</v>
      </c>
    </row>
    <row r="337" spans="1:7">
      <c r="A337" s="3274" t="s">
        <v>307</v>
      </c>
      <c r="B337" s="3263" t="s">
        <v>2907</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2914</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2919</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2927</v>
      </c>
      <c r="C345" s="3264">
        <v>0.15</v>
      </c>
      <c r="D345" s="3264">
        <v>0.15</v>
      </c>
      <c r="E345" s="3264">
        <v>0.15</v>
      </c>
      <c r="F345" s="3264">
        <v>0.13800000000000001</v>
      </c>
      <c r="G345" s="3265">
        <v>0.15</v>
      </c>
    </row>
    <row r="346" spans="1:7">
      <c r="A346" s="3274" t="s">
        <v>307</v>
      </c>
      <c r="B346" s="3263" t="s">
        <v>2929</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2936</v>
      </c>
      <c r="C348" s="3264">
        <v>0.15</v>
      </c>
      <c r="D348" s="3264">
        <v>0.15</v>
      </c>
      <c r="E348" s="3264">
        <v>0.15</v>
      </c>
      <c r="F348" s="3264">
        <v>0.14399999999999999</v>
      </c>
      <c r="G348" s="3265">
        <v>0.15</v>
      </c>
    </row>
    <row r="349" spans="1:7">
      <c r="A349" s="3274" t="s">
        <v>307</v>
      </c>
      <c r="B349" s="3263" t="s">
        <v>2941</v>
      </c>
      <c r="C349" s="3264">
        <v>0.15</v>
      </c>
      <c r="D349" s="3264">
        <v>0.15</v>
      </c>
      <c r="E349" s="3264">
        <v>0.15</v>
      </c>
      <c r="F349" s="3264">
        <v>0.15</v>
      </c>
      <c r="G349" s="3265">
        <v>0.15</v>
      </c>
    </row>
    <row r="350" spans="1:7">
      <c r="A350" s="3274" t="s">
        <v>307</v>
      </c>
      <c r="B350" s="3263" t="s">
        <v>2944</v>
      </c>
      <c r="C350" s="3264">
        <v>0.15</v>
      </c>
      <c r="D350" s="3264">
        <v>0.15</v>
      </c>
      <c r="E350" s="3264">
        <v>0.15</v>
      </c>
      <c r="F350" s="3264">
        <v>0.14699999999999999</v>
      </c>
      <c r="G350" s="3265">
        <v>0.15</v>
      </c>
    </row>
    <row r="351" spans="1:7">
      <c r="A351" s="3274" t="s">
        <v>307</v>
      </c>
      <c r="B351" s="3263" t="s">
        <v>2949</v>
      </c>
      <c r="C351" s="3264">
        <v>0.15</v>
      </c>
      <c r="D351" s="3264">
        <v>0.15</v>
      </c>
      <c r="E351" s="3264">
        <v>0.15</v>
      </c>
      <c r="F351" s="3264">
        <v>0.13</v>
      </c>
      <c r="G351" s="3265">
        <v>0.15</v>
      </c>
    </row>
    <row r="352" spans="1:7">
      <c r="A352" s="3274" t="s">
        <v>307</v>
      </c>
      <c r="B352" s="3263" t="s">
        <v>2954</v>
      </c>
      <c r="C352" s="3264">
        <v>0.15</v>
      </c>
      <c r="D352" s="3264">
        <v>0.15</v>
      </c>
      <c r="E352" s="3264">
        <v>0.15</v>
      </c>
      <c r="F352" s="3264">
        <v>0.14599999999999999</v>
      </c>
      <c r="G352" s="3265">
        <v>0.15</v>
      </c>
    </row>
    <row r="353" spans="1:7">
      <c r="A353" s="3274" t="s">
        <v>307</v>
      </c>
      <c r="B353" s="3263" t="s">
        <v>2961</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2974</v>
      </c>
      <c r="C355" s="3264">
        <v>0.15</v>
      </c>
      <c r="D355" s="3264">
        <v>0.15</v>
      </c>
      <c r="E355" s="3264">
        <v>0.15</v>
      </c>
      <c r="F355" s="3264">
        <v>0.15</v>
      </c>
      <c r="G355" s="3265">
        <v>0.15</v>
      </c>
    </row>
    <row r="356" spans="1:7">
      <c r="A356" s="3274" t="s">
        <v>307</v>
      </c>
      <c r="B356" s="3263" t="s">
        <v>2981</v>
      </c>
      <c r="C356" s="3264">
        <v>0.15</v>
      </c>
      <c r="D356" s="3264">
        <v>0.15</v>
      </c>
      <c r="E356" s="3264">
        <v>0.15</v>
      </c>
      <c r="F356" s="3264">
        <v>0.15</v>
      </c>
      <c r="G356" s="3265">
        <v>0.15</v>
      </c>
    </row>
    <row r="357" spans="1:7" ht="14.25" thickBot="1">
      <c r="A357" s="3277" t="s">
        <v>307</v>
      </c>
      <c r="B357" s="3267" t="s">
        <v>2986</v>
      </c>
      <c r="C357" s="3268">
        <v>0.126</v>
      </c>
      <c r="D357" s="3268">
        <v>0.127</v>
      </c>
      <c r="E357" s="3268">
        <v>0.14299999999999999</v>
      </c>
      <c r="F357" s="3268">
        <v>0.125</v>
      </c>
      <c r="G357" s="3270">
        <v>0.129</v>
      </c>
    </row>
    <row r="358" spans="1:7">
      <c r="A358" s="3273" t="s">
        <v>2855</v>
      </c>
      <c r="B358" s="3259" t="s">
        <v>2869</v>
      </c>
      <c r="C358" s="3260">
        <v>0.15</v>
      </c>
      <c r="D358" s="3260">
        <v>0.15</v>
      </c>
      <c r="E358" s="3260">
        <v>0.15</v>
      </c>
      <c r="F358" s="3260">
        <v>0.15</v>
      </c>
      <c r="G358" s="3261">
        <v>0.15</v>
      </c>
    </row>
    <row r="359" spans="1:7">
      <c r="A359" s="3274" t="s">
        <v>2855</v>
      </c>
      <c r="B359" s="3263" t="s">
        <v>2875</v>
      </c>
      <c r="C359" s="3264">
        <v>0.1</v>
      </c>
      <c r="D359" s="3264">
        <v>0.1</v>
      </c>
      <c r="E359" s="3264">
        <v>0.1</v>
      </c>
      <c r="F359" s="3264">
        <v>0.1</v>
      </c>
      <c r="G359" s="3265">
        <v>0.1</v>
      </c>
    </row>
    <row r="360" spans="1:7">
      <c r="A360" s="3274" t="s">
        <v>2855</v>
      </c>
      <c r="B360" s="3263" t="s">
        <v>2881</v>
      </c>
      <c r="C360" s="3264">
        <v>0.15</v>
      </c>
      <c r="D360" s="3264">
        <v>0.15</v>
      </c>
      <c r="E360" s="3264">
        <v>0.15</v>
      </c>
      <c r="F360" s="3264">
        <v>0.14899999999999999</v>
      </c>
      <c r="G360" s="3265">
        <v>0.15</v>
      </c>
    </row>
    <row r="361" spans="1:7">
      <c r="A361" s="3274" t="s">
        <v>2855</v>
      </c>
      <c r="B361" s="3263" t="s">
        <v>153</v>
      </c>
      <c r="C361" s="3264">
        <v>0.15</v>
      </c>
      <c r="D361" s="3264">
        <v>0.15</v>
      </c>
      <c r="E361" s="3264">
        <v>0.15</v>
      </c>
      <c r="F361" s="3264">
        <v>0.115</v>
      </c>
      <c r="G361" s="3265">
        <v>0.15</v>
      </c>
    </row>
    <row r="362" spans="1:7">
      <c r="A362" s="3274" t="s">
        <v>2855</v>
      </c>
      <c r="B362" s="3263" t="s">
        <v>2888</v>
      </c>
      <c r="C362" s="3264">
        <v>0.15</v>
      </c>
      <c r="D362" s="3264">
        <v>0.15</v>
      </c>
      <c r="E362" s="3264">
        <v>0.15</v>
      </c>
      <c r="F362" s="3264">
        <v>0.106</v>
      </c>
      <c r="G362" s="3265">
        <v>0.15</v>
      </c>
    </row>
    <row r="363" spans="1:7">
      <c r="A363" s="3274" t="s">
        <v>2855</v>
      </c>
      <c r="B363" s="3263" t="s">
        <v>2893</v>
      </c>
      <c r="C363" s="3264">
        <v>0.15</v>
      </c>
      <c r="D363" s="3264">
        <v>0.15</v>
      </c>
      <c r="E363" s="3264">
        <v>0.15</v>
      </c>
      <c r="F363" s="3264">
        <v>0.14699999999999999</v>
      </c>
      <c r="G363" s="3265">
        <v>0.15</v>
      </c>
    </row>
    <row r="364" spans="1:7">
      <c r="A364" s="3274" t="s">
        <v>2855</v>
      </c>
      <c r="B364" s="3263" t="s">
        <v>2897</v>
      </c>
      <c r="C364" s="3264">
        <v>0.15</v>
      </c>
      <c r="D364" s="3264">
        <v>0.15</v>
      </c>
      <c r="E364" s="3264">
        <v>0.15</v>
      </c>
      <c r="F364" s="3264">
        <v>0.14799999999999999</v>
      </c>
      <c r="G364" s="3265">
        <v>0.15</v>
      </c>
    </row>
    <row r="365" spans="1:7">
      <c r="A365" s="3274" t="s">
        <v>2855</v>
      </c>
      <c r="B365" s="3263" t="s">
        <v>200</v>
      </c>
      <c r="C365" s="3264">
        <v>0.15</v>
      </c>
      <c r="D365" s="3264">
        <v>0.15</v>
      </c>
      <c r="E365" s="3264">
        <v>0.15</v>
      </c>
      <c r="F365" s="3264">
        <v>0.15</v>
      </c>
      <c r="G365" s="3265">
        <v>0.15</v>
      </c>
    </row>
    <row r="366" spans="1:7">
      <c r="A366" s="3274" t="s">
        <v>2855</v>
      </c>
      <c r="B366" s="3263" t="s">
        <v>2900</v>
      </c>
      <c r="C366" s="3264">
        <v>0.15</v>
      </c>
      <c r="D366" s="3264">
        <v>0.15</v>
      </c>
      <c r="E366" s="3264">
        <v>0.15</v>
      </c>
      <c r="F366" s="3264">
        <v>0.15</v>
      </c>
      <c r="G366" s="3265">
        <v>0.15</v>
      </c>
    </row>
    <row r="367" spans="1:7">
      <c r="A367" s="3274" t="s">
        <v>2855</v>
      </c>
      <c r="B367" s="3263" t="s">
        <v>2903</v>
      </c>
      <c r="C367" s="3264">
        <v>0.15</v>
      </c>
      <c r="D367" s="3264">
        <v>0.15</v>
      </c>
      <c r="E367" s="3264">
        <v>0.15</v>
      </c>
      <c r="F367" s="3264">
        <v>0.14699999999999999</v>
      </c>
      <c r="G367" s="3265">
        <v>0.15</v>
      </c>
    </row>
    <row r="368" spans="1:7">
      <c r="A368" s="3274" t="s">
        <v>2855</v>
      </c>
      <c r="B368" s="3263" t="s">
        <v>2908</v>
      </c>
      <c r="C368" s="3264">
        <v>0.15</v>
      </c>
      <c r="D368" s="3264">
        <v>0.15</v>
      </c>
      <c r="E368" s="3264">
        <v>0.15</v>
      </c>
      <c r="F368" s="3264">
        <v>0.13600000000000001</v>
      </c>
      <c r="G368" s="3265">
        <v>0.15</v>
      </c>
    </row>
    <row r="369" spans="1:7">
      <c r="A369" s="3274" t="s">
        <v>2855</v>
      </c>
      <c r="B369" s="3263" t="s">
        <v>214</v>
      </c>
      <c r="C369" s="3264">
        <v>0.15</v>
      </c>
      <c r="D369" s="3264">
        <v>0.15</v>
      </c>
      <c r="E369" s="3264">
        <v>0.15</v>
      </c>
      <c r="F369" s="3264">
        <v>0.14399999999999999</v>
      </c>
      <c r="G369" s="3265">
        <v>0.15</v>
      </c>
    </row>
    <row r="370" spans="1:7">
      <c r="A370" s="3274" t="s">
        <v>2855</v>
      </c>
      <c r="B370" s="3263" t="s">
        <v>221</v>
      </c>
      <c r="C370" s="3264">
        <v>0.15</v>
      </c>
      <c r="D370" s="3264">
        <v>0.15</v>
      </c>
      <c r="E370" s="3264">
        <v>0.15</v>
      </c>
      <c r="F370" s="3264">
        <v>0.14599999999999999</v>
      </c>
      <c r="G370" s="3265">
        <v>0.15</v>
      </c>
    </row>
    <row r="371" spans="1:7">
      <c r="A371" s="3274" t="s">
        <v>2855</v>
      </c>
      <c r="B371" s="3263" t="s">
        <v>229</v>
      </c>
      <c r="C371" s="3264">
        <v>0.15</v>
      </c>
      <c r="D371" s="3264">
        <v>0.15</v>
      </c>
      <c r="E371" s="3264">
        <v>0.15</v>
      </c>
      <c r="F371" s="3264">
        <v>0.12</v>
      </c>
      <c r="G371" s="3265">
        <v>0.15</v>
      </c>
    </row>
    <row r="372" spans="1:7">
      <c r="A372" s="3274" t="s">
        <v>2855</v>
      </c>
      <c r="B372" s="3263" t="s">
        <v>2916</v>
      </c>
      <c r="C372" s="3264">
        <v>0.15</v>
      </c>
      <c r="D372" s="3264">
        <v>0.15</v>
      </c>
      <c r="E372" s="3264">
        <v>0.15</v>
      </c>
      <c r="F372" s="3264">
        <v>0.14299999999999999</v>
      </c>
      <c r="G372" s="3265">
        <v>0.15</v>
      </c>
    </row>
    <row r="373" spans="1:7">
      <c r="A373" s="3274" t="s">
        <v>2855</v>
      </c>
      <c r="B373" s="3263" t="s">
        <v>258</v>
      </c>
      <c r="C373" s="3264">
        <v>0.15</v>
      </c>
      <c r="D373" s="3264">
        <v>0.15</v>
      </c>
      <c r="E373" s="3264">
        <v>0.15</v>
      </c>
      <c r="F373" s="3264">
        <v>0.14599999999999999</v>
      </c>
      <c r="G373" s="3265">
        <v>0.15</v>
      </c>
    </row>
    <row r="374" spans="1:7">
      <c r="A374" s="3274" t="s">
        <v>2855</v>
      </c>
      <c r="B374" s="3263" t="s">
        <v>266</v>
      </c>
      <c r="C374" s="3264">
        <v>0.15</v>
      </c>
      <c r="D374" s="3264">
        <v>0.15</v>
      </c>
      <c r="E374" s="3264">
        <v>0.15</v>
      </c>
      <c r="F374" s="3264">
        <v>0.14399999999999999</v>
      </c>
      <c r="G374" s="3265">
        <v>0.15</v>
      </c>
    </row>
    <row r="375" spans="1:7">
      <c r="A375" s="3274" t="s">
        <v>2855</v>
      </c>
      <c r="B375" s="3263" t="s">
        <v>2924</v>
      </c>
      <c r="C375" s="3264">
        <v>0.15</v>
      </c>
      <c r="D375" s="3264">
        <v>0.15</v>
      </c>
      <c r="E375" s="3264">
        <v>0.15</v>
      </c>
      <c r="F375" s="3264">
        <v>0.13</v>
      </c>
      <c r="G375" s="3265">
        <v>0.15</v>
      </c>
    </row>
    <row r="376" spans="1:7">
      <c r="A376" s="3274" t="s">
        <v>2855</v>
      </c>
      <c r="B376" s="3263" t="s">
        <v>277</v>
      </c>
      <c r="C376" s="3264">
        <v>0.15</v>
      </c>
      <c r="D376" s="3264">
        <v>0.15</v>
      </c>
      <c r="E376" s="3264">
        <v>0.15</v>
      </c>
      <c r="F376" s="3264">
        <v>0.14199999999999999</v>
      </c>
      <c r="G376" s="3265">
        <v>0.15</v>
      </c>
    </row>
    <row r="377" spans="1:7" ht="14.25" thickBot="1">
      <c r="A377" s="3277" t="s">
        <v>2855</v>
      </c>
      <c r="B377" s="3267" t="s">
        <v>2930</v>
      </c>
      <c r="C377" s="3268">
        <v>0.15</v>
      </c>
      <c r="D377" s="3268">
        <v>0.15</v>
      </c>
      <c r="E377" s="3268">
        <v>0.15</v>
      </c>
      <c r="F377" s="3268">
        <v>0.14000000000000001</v>
      </c>
      <c r="G377" s="3270">
        <v>0.15</v>
      </c>
    </row>
    <row r="378" spans="1:7">
      <c r="A378" s="3273" t="s">
        <v>2856</v>
      </c>
      <c r="B378" s="3259" t="s">
        <v>2870</v>
      </c>
      <c r="C378" s="3260">
        <v>0.15</v>
      </c>
      <c r="D378" s="3260">
        <v>0.15</v>
      </c>
      <c r="E378" s="3260">
        <v>0.15</v>
      </c>
      <c r="F378" s="3260">
        <v>0.107</v>
      </c>
      <c r="G378" s="3261">
        <v>0.15</v>
      </c>
    </row>
    <row r="379" spans="1:7">
      <c r="A379" s="3274" t="s">
        <v>2856</v>
      </c>
      <c r="B379" s="3263" t="s">
        <v>2876</v>
      </c>
      <c r="C379" s="3264">
        <v>0.15</v>
      </c>
      <c r="D379" s="3264">
        <v>0.15</v>
      </c>
      <c r="E379" s="3264">
        <v>0.15</v>
      </c>
      <c r="F379" s="3264">
        <v>0.115</v>
      </c>
      <c r="G379" s="3265">
        <v>0.14899999999999999</v>
      </c>
    </row>
    <row r="380" spans="1:7">
      <c r="A380" s="3274" t="s">
        <v>2856</v>
      </c>
      <c r="B380" s="3263" t="s">
        <v>2882</v>
      </c>
      <c r="C380" s="3264">
        <v>0.15</v>
      </c>
      <c r="D380" s="3264">
        <v>0.15</v>
      </c>
      <c r="E380" s="3264">
        <v>0.15</v>
      </c>
      <c r="F380" s="3264">
        <v>0.1</v>
      </c>
      <c r="G380" s="3265">
        <v>0.14799999999999999</v>
      </c>
    </row>
    <row r="381" spans="1:7">
      <c r="A381" s="3274" t="s">
        <v>2856</v>
      </c>
      <c r="B381" s="3263" t="s">
        <v>2885</v>
      </c>
      <c r="C381" s="3264">
        <v>0.15</v>
      </c>
      <c r="D381" s="3264">
        <v>0.15</v>
      </c>
      <c r="E381" s="3264">
        <v>0.15</v>
      </c>
      <c r="F381" s="3264">
        <v>0.126</v>
      </c>
      <c r="G381" s="3265">
        <v>0.15</v>
      </c>
    </row>
    <row r="382" spans="1:7">
      <c r="A382" s="3274" t="s">
        <v>2856</v>
      </c>
      <c r="B382" s="3263" t="s">
        <v>2889</v>
      </c>
      <c r="C382" s="3264">
        <v>0.15</v>
      </c>
      <c r="D382" s="3264">
        <v>0.15</v>
      </c>
      <c r="E382" s="3264">
        <v>0.15</v>
      </c>
      <c r="F382" s="3264">
        <v>0.15</v>
      </c>
      <c r="G382" s="3265">
        <v>0.15</v>
      </c>
    </row>
    <row r="383" spans="1:7">
      <c r="A383" s="3274" t="s">
        <v>2856</v>
      </c>
      <c r="B383" s="3263" t="s">
        <v>2894</v>
      </c>
      <c r="C383" s="3264">
        <v>0.15</v>
      </c>
      <c r="D383" s="3264">
        <v>0.15</v>
      </c>
      <c r="E383" s="3264">
        <v>0.15</v>
      </c>
      <c r="F383" s="3264">
        <v>0.14699999999999999</v>
      </c>
      <c r="G383" s="3265">
        <v>0.15</v>
      </c>
    </row>
    <row r="384" spans="1:7" ht="14.25" thickBot="1">
      <c r="A384" s="3284" t="s">
        <v>2856</v>
      </c>
      <c r="B384" s="3285" t="s">
        <v>2898</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3289"/>
  </cols>
  <sheetData>
    <row r="1" spans="1:6">
      <c r="A1" s="3829" t="s">
        <v>3237</v>
      </c>
      <c r="B1" s="3829"/>
      <c r="C1" s="3829"/>
      <c r="D1" s="3829"/>
      <c r="E1" s="3829"/>
      <c r="F1" s="3830"/>
    </row>
    <row r="2" spans="1:6">
      <c r="A2" s="3290" t="s">
        <v>3238</v>
      </c>
      <c r="B2" s="3291"/>
      <c r="C2" s="3291"/>
      <c r="D2" s="3291"/>
      <c r="E2" s="3291"/>
      <c r="F2" s="3291"/>
    </row>
    <row r="3" spans="1:6">
      <c r="A3" s="3290" t="s">
        <v>3239</v>
      </c>
      <c r="B3" s="3291"/>
      <c r="C3" s="3291"/>
      <c r="D3" s="3291"/>
      <c r="E3" s="3291"/>
      <c r="F3" s="3292" t="s">
        <v>3240</v>
      </c>
    </row>
    <row r="4" spans="1:6">
      <c r="A4" s="3293" t="s">
        <v>672</v>
      </c>
      <c r="B4" s="3293" t="s">
        <v>673</v>
      </c>
      <c r="C4" s="3293" t="s">
        <v>21</v>
      </c>
      <c r="D4" s="3293" t="s">
        <v>674</v>
      </c>
      <c r="E4" s="3293" t="s">
        <v>3</v>
      </c>
      <c r="F4" s="3293" t="s">
        <v>3241</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0">
        <f>基准地价修正!G23</f>
        <v>45231</v>
      </c>
      <c r="B1" s="3209" t="s">
        <v>2843</v>
      </c>
      <c r="C1" s="3210"/>
      <c r="D1" s="3210"/>
      <c r="E1" s="3210"/>
      <c r="F1" s="3210"/>
      <c r="G1" s="3210"/>
      <c r="H1" s="3210"/>
      <c r="I1" s="3210"/>
      <c r="J1" s="3164"/>
      <c r="K1" s="3210" t="s">
        <v>454</v>
      </c>
      <c r="L1" s="3210"/>
      <c r="M1" s="3210"/>
      <c r="N1" s="3210"/>
      <c r="O1" s="3210"/>
      <c r="P1" s="3210"/>
      <c r="Q1" s="3164"/>
      <c r="R1" s="3831" t="s">
        <v>456</v>
      </c>
      <c r="S1" s="3832"/>
      <c r="T1" s="3832"/>
      <c r="U1" s="3832"/>
      <c r="V1" s="3832"/>
      <c r="W1" s="3832"/>
      <c r="X1" s="3164"/>
      <c r="Y1" s="3831" t="s">
        <v>457</v>
      </c>
      <c r="Z1" s="3832"/>
      <c r="AA1" s="3832"/>
      <c r="AB1" s="3832"/>
      <c r="AC1" s="3832"/>
      <c r="AD1" s="3832"/>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3373</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3374</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3378</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3377</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3375</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2823</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2824</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2825</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2826</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2827</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3371</v>
      </c>
    </row>
    <row r="19" spans="1:30" s="3008" customFormat="1">
      <c r="I19" s="3207" t="s">
        <v>2828</v>
      </c>
    </row>
    <row r="20" spans="1:30" s="3008" customFormat="1"/>
    <row r="21" spans="1:30" s="3208" customFormat="1" ht="12.75">
      <c r="B21" s="3209" t="s">
        <v>2829</v>
      </c>
      <c r="C21" s="3210"/>
      <c r="D21" s="3210"/>
      <c r="E21" s="3210"/>
      <c r="F21" s="3210"/>
      <c r="G21" s="3210"/>
      <c r="H21" s="3210"/>
      <c r="I21" s="3210"/>
      <c r="J21" s="3164"/>
      <c r="K21" s="3210" t="s">
        <v>2830</v>
      </c>
      <c r="L21" s="3210"/>
      <c r="M21" s="3210"/>
      <c r="N21" s="3210"/>
      <c r="O21" s="3210"/>
      <c r="P21" s="3210"/>
      <c r="Q21" s="3164"/>
      <c r="R21" s="3831" t="s">
        <v>2831</v>
      </c>
      <c r="S21" s="3832"/>
      <c r="T21" s="3832"/>
      <c r="U21" s="3832"/>
      <c r="V21" s="3832"/>
      <c r="W21" s="3832"/>
      <c r="X21" s="3164"/>
      <c r="Y21" s="3831" t="s">
        <v>2832</v>
      </c>
      <c r="Z21" s="3832"/>
      <c r="AA21" s="3832"/>
      <c r="AB21" s="3832"/>
      <c r="AC21" s="3832"/>
      <c r="AD21" s="3832"/>
    </row>
    <row r="22" spans="1:30" s="3142" customFormat="1" ht="14.25" thickBot="1">
      <c r="B22" s="3143"/>
      <c r="C22" s="3144"/>
      <c r="D22" s="3145" t="s">
        <v>2833</v>
      </c>
      <c r="E22" s="3146" t="s">
        <v>2834</v>
      </c>
      <c r="F22" s="3146" t="s">
        <v>2835</v>
      </c>
      <c r="G22" s="3146" t="s">
        <v>2836</v>
      </c>
      <c r="H22" s="3146"/>
      <c r="I22" s="3146" t="s">
        <v>2837</v>
      </c>
      <c r="J22" s="3147"/>
      <c r="K22" s="3145" t="s">
        <v>2833</v>
      </c>
      <c r="L22" s="3146" t="s">
        <v>2834</v>
      </c>
      <c r="M22" s="3146" t="s">
        <v>2835</v>
      </c>
      <c r="N22" s="3146" t="s">
        <v>2836</v>
      </c>
      <c r="O22" s="3146"/>
      <c r="P22" s="3146" t="s">
        <v>2837</v>
      </c>
      <c r="Q22" s="3147"/>
      <c r="R22" s="3145" t="s">
        <v>2833</v>
      </c>
      <c r="S22" s="3146" t="s">
        <v>2834</v>
      </c>
      <c r="T22" s="3146" t="s">
        <v>2835</v>
      </c>
      <c r="U22" s="3146" t="s">
        <v>2836</v>
      </c>
      <c r="V22" s="3146"/>
      <c r="W22" s="3146" t="s">
        <v>2837</v>
      </c>
      <c r="X22" s="3147"/>
      <c r="Y22" s="3145" t="s">
        <v>2833</v>
      </c>
      <c r="Z22" s="3146" t="s">
        <v>2834</v>
      </c>
      <c r="AA22" s="3146" t="s">
        <v>2835</v>
      </c>
      <c r="AB22" s="3146" t="s">
        <v>2836</v>
      </c>
      <c r="AC22" s="3146"/>
      <c r="AD22" s="3146" t="s">
        <v>2837</v>
      </c>
    </row>
    <row r="23" spans="1:30" s="3160" customFormat="1" ht="12.75">
      <c r="A23" s="3148" t="s">
        <v>2838</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3373</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1.0396000000000001</v>
      </c>
      <c r="T25" s="3182">
        <f>ROUND(IF([2]项目基本情况!$B$8="出让",SUMPRODUCT(PRODUCT(1+M25:M$36)),SUMPRODUCT(PRODUCT(1+M25:M$35))),4)</f>
        <v>1.0269999999999999</v>
      </c>
      <c r="U25" s="3182">
        <f>ROUND(IF([2]项目基本情况!$B$8="出让",SUMPRODUCT(PRODUCT(1+N25:N$36)),SUMPRODUCT(PRODUCT(1+N25:N$35))),4)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3374</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1.0396000000000001</v>
      </c>
      <c r="T26" s="3182">
        <f>ROUND(IF([2]项目基本情况!$B$8="出让",SUMPRODUCT(PRODUCT(1+M26:M$36)),SUMPRODUCT(PRODUCT(1+M26:M$35))),4)</f>
        <v>1.0269999999999999</v>
      </c>
      <c r="U26" s="3182">
        <f>ROUND(IF([2]项目基本情况!$B$8="出让",SUMPRODUCT(PRODUCT(1+N26:N$36)),SUMPRODUCT(PRODUCT(1+N26:N$35))),4)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3376</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ROUND(IF([2]项目基本情况!$B$8="出让",SUMPRODUCT(PRODUCT(1+L27:L$36)),SUMPRODUCT(PRODUCT(1+L27:L$35))),4)</f>
        <v>1.0396000000000001</v>
      </c>
      <c r="T27" s="3191">
        <f>ROUND(IF([2]项目基本情况!$B$8="出让",SUMPRODUCT(PRODUCT(1+M27:M$36)),SUMPRODUCT(PRODUCT(1+M27:M$35))),4)</f>
        <v>1.0269999999999999</v>
      </c>
      <c r="U27" s="3191">
        <f>ROUND(IF([2]项目基本情况!$B$8="出让",SUMPRODUCT(PRODUCT(1+N27:N$36)),SUMPRODUCT(PRODUCT(1+N27:N$35))),4)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3377</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ROUND(IF([2]项目基本情况!$B$8="出让",SUMPRODUCT(PRODUCT(1+L28:L$36)),SUMPRODUCT(PRODUCT(1+L28:L$35))),4)</f>
        <v>1.0344</v>
      </c>
      <c r="T28" s="3182">
        <f>ROUND(IF([2]项目基本情况!$B$8="出让",SUMPRODUCT(PRODUCT(1+M28:M$36)),SUMPRODUCT(PRODUCT(1+M28:M$35))),4)</f>
        <v>1.0224</v>
      </c>
      <c r="U28" s="3182">
        <f>ROUND(IF([2]项目基本情况!$B$8="出让",SUMPRODUCT(PRODUCT(1+N28:N$36)),SUMPRODUCT(PRODUCT(1+N28:N$35))),4)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3375</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2839</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2840</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2841</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2842</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2827</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15" t="str">
        <f>IF(项目基本情况!B9="房地产市场价值","估价结果一览表","结果表-2")</f>
        <v>结果表-2</v>
      </c>
      <c r="B1" s="3515"/>
      <c r="C1" s="3515"/>
      <c r="D1" s="3515"/>
      <c r="E1" s="3515"/>
      <c r="F1" s="3515"/>
      <c r="G1" s="3515"/>
      <c r="H1" s="3515"/>
      <c r="I1" s="3515"/>
    </row>
    <row r="2" spans="1:9" ht="30" customHeight="1" thickTop="1">
      <c r="A2" s="3516" t="s">
        <v>928</v>
      </c>
      <c r="B2" s="3516" t="s">
        <v>929</v>
      </c>
      <c r="C2" s="3516" t="s">
        <v>930</v>
      </c>
      <c r="D2" s="3516" t="str">
        <f>结果表!D116</f>
        <v>出让国有建设用地使用权价值</v>
      </c>
      <c r="E2" s="3516"/>
      <c r="F2" s="3516" t="str">
        <f>结果表!F116</f>
        <v>在建建筑物价值</v>
      </c>
      <c r="G2" s="3516"/>
      <c r="H2" s="3516" t="str">
        <f>IF(项目基本情况!B9="房地产市场价值","房地产市场价值","房地产价值")</f>
        <v>房地产价值</v>
      </c>
      <c r="I2" s="3516"/>
    </row>
    <row r="3" spans="1:9" ht="15">
      <c r="A3" s="3517"/>
      <c r="B3" s="3517"/>
      <c r="C3" s="3517"/>
      <c r="D3" s="854" t="s">
        <v>925</v>
      </c>
      <c r="E3" s="854" t="s">
        <v>931</v>
      </c>
      <c r="F3" s="854" t="s">
        <v>925</v>
      </c>
      <c r="G3" s="854" t="s">
        <v>926</v>
      </c>
      <c r="H3" s="854" t="s">
        <v>925</v>
      </c>
      <c r="I3" s="854" t="s">
        <v>926</v>
      </c>
    </row>
    <row r="4" spans="1:9" ht="15">
      <c r="A4" s="1504" t="str">
        <f>项目基本情况!S2</f>
        <v>北京市房地产</v>
      </c>
      <c r="B4" s="854">
        <f>项目基本情况!C17</f>
        <v>347.45</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17" t="s">
        <v>927</v>
      </c>
      <c r="B5" s="3517"/>
      <c r="C5" s="3517"/>
      <c r="D5" s="3517" t="e">
        <f ca="1">结果表!D119</f>
        <v>#REF!</v>
      </c>
      <c r="E5" s="3517"/>
      <c r="F5" s="3517" t="e">
        <f ca="1">结果表!F119</f>
        <v>#REF!</v>
      </c>
      <c r="G5" s="3517"/>
      <c r="H5" s="3517" t="e">
        <f ca="1">结果表!H119</f>
        <v>#REF!</v>
      </c>
      <c r="I5" s="3517"/>
    </row>
    <row r="6" spans="1:9" ht="15.75">
      <c r="A6" s="3518" t="str">
        <f>结果表!A120</f>
        <v>估价师知悉的法定优先受偿款</v>
      </c>
      <c r="B6" s="3518"/>
      <c r="C6" s="3518"/>
      <c r="D6" s="3518">
        <f>结果表!D120</f>
        <v>0</v>
      </c>
      <c r="E6" s="3518"/>
      <c r="F6" s="3518"/>
      <c r="G6" s="3518"/>
      <c r="H6" s="3518"/>
      <c r="I6" s="3518"/>
    </row>
    <row r="7" spans="1:9" ht="15">
      <c r="A7" s="3517" t="s">
        <v>927</v>
      </c>
      <c r="B7" s="3517"/>
      <c r="C7" s="3517"/>
      <c r="D7" s="3519" t="str">
        <f>结果表!D121</f>
        <v>零元整</v>
      </c>
      <c r="E7" s="3520"/>
      <c r="F7" s="3520"/>
      <c r="G7" s="3520"/>
      <c r="H7" s="3520"/>
      <c r="I7" s="3521"/>
    </row>
    <row r="8" spans="1:9" ht="15.75">
      <c r="A8" s="3518" t="str">
        <f>结果表!A122</f>
        <v>房地产抵押价值</v>
      </c>
      <c r="B8" s="3518"/>
      <c r="C8" s="3518"/>
      <c r="D8" s="3518" t="e">
        <f ca="1">结果表!D122</f>
        <v>#REF!</v>
      </c>
      <c r="E8" s="3518"/>
      <c r="F8" s="3518"/>
      <c r="G8" s="3518"/>
      <c r="H8" s="3518"/>
      <c r="I8" s="3518"/>
    </row>
    <row r="9" spans="1:9" ht="15">
      <c r="A9" s="3517" t="s">
        <v>927</v>
      </c>
      <c r="B9" s="3517"/>
      <c r="C9" s="3517"/>
      <c r="D9" s="3517" t="e">
        <f ca="1">结果表!D123</f>
        <v>#REF!</v>
      </c>
      <c r="E9" s="3517"/>
      <c r="F9" s="3517"/>
      <c r="G9" s="3517"/>
      <c r="H9" s="3517"/>
      <c r="I9" s="3517"/>
    </row>
    <row r="10" spans="1:9" ht="15.75">
      <c r="A10" s="3518" t="str">
        <f>结果表!A124</f>
        <v/>
      </c>
      <c r="B10" s="3518"/>
      <c r="C10" s="3518"/>
      <c r="D10" s="3518" t="str">
        <f>结果表!D124</f>
        <v>——</v>
      </c>
      <c r="E10" s="3518"/>
      <c r="F10" s="3518"/>
      <c r="G10" s="3518"/>
      <c r="H10" s="3518"/>
      <c r="I10" s="3518"/>
    </row>
    <row r="11" spans="1:9" ht="15">
      <c r="A11" s="3517" t="s">
        <v>927</v>
      </c>
      <c r="B11" s="3517"/>
      <c r="C11" s="3517"/>
      <c r="D11" s="3517" t="e">
        <f>结果表!D125</f>
        <v>#VALUE!</v>
      </c>
      <c r="E11" s="3517"/>
      <c r="F11" s="3517"/>
      <c r="G11" s="3517"/>
      <c r="H11" s="3517"/>
      <c r="I11" s="3517"/>
    </row>
    <row r="12" spans="1:9" ht="15.75">
      <c r="A12" s="3518" t="str">
        <f>结果表!A126</f>
        <v/>
      </c>
      <c r="B12" s="3518"/>
      <c r="C12" s="3518"/>
      <c r="D12" s="3518" t="str">
        <f>结果表!D126</f>
        <v>——</v>
      </c>
      <c r="E12" s="3518"/>
      <c r="F12" s="3518"/>
      <c r="G12" s="3518"/>
      <c r="H12" s="3518"/>
      <c r="I12" s="3518"/>
    </row>
    <row r="13" spans="1:9" ht="15.75" thickBot="1">
      <c r="A13" s="3522" t="s">
        <v>927</v>
      </c>
      <c r="B13" s="3522"/>
      <c r="C13" s="3522"/>
      <c r="D13" s="3522" t="e">
        <f>结果表!D127</f>
        <v>#VALUE!</v>
      </c>
      <c r="E13" s="3522"/>
      <c r="F13" s="3522"/>
      <c r="G13" s="3522"/>
      <c r="H13" s="3522"/>
      <c r="I13" s="3522"/>
    </row>
    <row r="14" spans="1:9" ht="15" thickTop="1">
      <c r="A14" s="3523" t="s">
        <v>932</v>
      </c>
      <c r="B14" s="3523"/>
      <c r="C14" s="3523"/>
      <c r="D14" s="3523"/>
      <c r="E14" s="3523"/>
      <c r="F14" s="3523"/>
      <c r="G14" s="3523"/>
      <c r="H14" s="3523"/>
      <c r="I14" s="3523"/>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38" t="s">
        <v>452</v>
      </c>
      <c r="C1" s="3838"/>
      <c r="D1" s="3838"/>
      <c r="E1" s="3838"/>
      <c r="F1" s="3838"/>
      <c r="G1" s="3834" t="s">
        <v>453</v>
      </c>
      <c r="H1" s="3834"/>
      <c r="I1" s="3834"/>
      <c r="J1" s="3834"/>
      <c r="K1" s="3834"/>
      <c r="L1" s="3834"/>
      <c r="N1" s="3834" t="s">
        <v>454</v>
      </c>
      <c r="O1" s="3834"/>
      <c r="P1" s="3834"/>
      <c r="Q1" s="3834"/>
      <c r="S1" s="3834" t="s">
        <v>455</v>
      </c>
      <c r="T1" s="3834"/>
      <c r="U1" s="3834"/>
      <c r="V1" s="3834"/>
      <c r="X1" s="3833" t="s">
        <v>456</v>
      </c>
      <c r="Y1" s="3834"/>
      <c r="Z1" s="3834"/>
      <c r="AA1" s="3834"/>
      <c r="AB1" s="3834"/>
      <c r="AD1" s="3833" t="s">
        <v>457</v>
      </c>
      <c r="AE1" s="3834"/>
      <c r="AF1" s="3834"/>
      <c r="AG1" s="3834"/>
      <c r="AH1" s="3834"/>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3368</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3365</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3366</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3367</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36">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36"/>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36"/>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4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3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36"/>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36"/>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4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3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36"/>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36"/>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37"/>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35">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36"/>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36"/>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37"/>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35">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36"/>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36"/>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37"/>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4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4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4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4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35">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36"/>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36"/>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37"/>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35">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36">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36">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37">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35">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36">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36">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37">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35">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36">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36">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37">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35">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36">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36">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37">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35">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36">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36">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37">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35">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36">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36">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37">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35">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36">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36">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37">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35">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36">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36">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37">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35">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36">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36">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37">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35">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36">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36">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37">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45231</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0000"/>
  </sheetPr>
  <dimension ref="A1:K26"/>
  <sheetViews>
    <sheetView view="pageBreakPreview" zoomScale="80" zoomScaleNormal="80" zoomScaleSheetLayoutView="80" workbookViewId="0">
      <selection activeCell="F11" sqref="F11"/>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347.45</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45231</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2782.8312999999998</v>
      </c>
      <c r="C5" s="2511" t="e">
        <f ca="1">IF(B5=D14,结果表!H102,ROUND(B5*10000/$B$1,0))</f>
        <v>#DIV/0!</v>
      </c>
      <c r="D5" s="2511" t="e">
        <f ca="1">ROUND(B5*10000/$B$2,0)</f>
        <v>#DIV/0!</v>
      </c>
      <c r="E5" s="2685"/>
      <c r="F5" s="2686"/>
      <c r="G5" s="2686"/>
      <c r="H5" s="2687"/>
      <c r="I5" s="2687"/>
      <c r="J5" s="2687"/>
      <c r="K5" s="2687"/>
    </row>
    <row r="6" spans="1:11" ht="16.5">
      <c r="A6" s="2511" t="s">
        <v>656</v>
      </c>
      <c r="B6" s="2511">
        <f>SUM(G14:G23)</f>
        <v>0</v>
      </c>
      <c r="C6" s="2511">
        <f ca="1">IF(B6=G14,结果表!H108,ROUND(B6*10000/$B$1,0))</f>
        <v>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3361</v>
      </c>
      <c r="D10" s="2511" t="s">
        <v>3362</v>
      </c>
      <c r="E10" s="3440"/>
      <c r="F10" s="3444" t="s">
        <v>3363</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'数据-汇总表'!E19</f>
        <v>347.45</v>
      </c>
      <c r="C14" s="2517"/>
      <c r="D14" s="2517">
        <f ca="1">ROUND(结果表!G20*'数据-汇总表'!E19/10000,4)</f>
        <v>2782.8312999999998</v>
      </c>
      <c r="E14" s="2517">
        <f ca="1">ROUND(D14*10000/B14,0)</f>
        <v>80093</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24" t="s">
        <v>949</v>
      </c>
      <c r="B1" s="3524"/>
      <c r="C1" s="3524"/>
      <c r="D1" s="3524"/>
    </row>
    <row r="2" spans="1:4" ht="18">
      <c r="A2" s="3525" t="s">
        <v>933</v>
      </c>
      <c r="B2" s="3525"/>
      <c r="C2" s="3525"/>
      <c r="D2" s="3525"/>
    </row>
    <row r="3" spans="1:4" ht="18.75">
      <c r="A3" s="1508" t="s">
        <v>934</v>
      </c>
      <c r="B3" s="1508" t="s">
        <v>935</v>
      </c>
      <c r="C3" s="1508" t="s">
        <v>936</v>
      </c>
      <c r="D3" s="1508" t="s">
        <v>937</v>
      </c>
    </row>
    <row r="4" spans="1:4" ht="56.25" customHeight="1">
      <c r="A4" s="1509" t="str">
        <f>项目基本情况!B4</f>
        <v>陈颖</v>
      </c>
      <c r="B4" s="1510">
        <f ca="1">项目基本情况!C4</f>
        <v>1120060040</v>
      </c>
      <c r="C4" s="1511"/>
      <c r="D4" s="1512" t="s">
        <v>938</v>
      </c>
    </row>
    <row r="5" spans="1:4" ht="56.25" customHeight="1">
      <c r="A5" s="1509" t="str">
        <f>项目基本情况!D4</f>
        <v>梁津</v>
      </c>
      <c r="B5" s="1510">
        <f ca="1">项目基本情况!E4</f>
        <v>1119970066</v>
      </c>
      <c r="C5" s="1513"/>
      <c r="D5" s="1512" t="s">
        <v>938</v>
      </c>
    </row>
    <row r="6" spans="1:4" ht="18">
      <c r="A6" s="3525" t="s">
        <v>939</v>
      </c>
      <c r="B6" s="3525"/>
      <c r="C6" s="3525"/>
      <c r="D6" s="3525"/>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26" t="s">
        <v>942</v>
      </c>
      <c r="B11" s="3527"/>
      <c r="C11" s="3527"/>
      <c r="D11" s="3527"/>
    </row>
    <row r="12" spans="1:4" ht="15.75">
      <c r="A12" s="35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28"/>
      <c r="C12" s="3528"/>
      <c r="D12" s="3528"/>
    </row>
    <row r="13" spans="1:4" ht="30" customHeight="1">
      <c r="A13" s="3527" t="str">
        <f>IF(项目基本情况!B8="抵押","3.抵押双方在办理抵押登记手续时，应使用本公司出具的正式《房地产评估报告》，特提醒报告使用者注意。","——")</f>
        <v>——</v>
      </c>
      <c r="B13" s="3528"/>
      <c r="C13" s="3528"/>
      <c r="D13" s="3528"/>
    </row>
    <row r="14" spans="1:4" ht="15.75" customHeight="1">
      <c r="A14" s="3527" t="str">
        <f>IF(项目基本情况!B8="抵押","4.本次评估估价师所知悉的法定优先受偿款情况说明如下：","——")</f>
        <v>——</v>
      </c>
      <c r="B14" s="3528"/>
      <c r="C14" s="3528"/>
      <c r="D14" s="3528"/>
    </row>
    <row r="15" spans="1:4" ht="42" customHeight="1">
      <c r="A15" s="3527" t="str">
        <f>IF(项目基本情况!B8="抵押","（1）"&amp;CONCATENATE(项目基本情况!L20,项目基本情况!L21,项目基本情况!L22),"——")</f>
        <v>——</v>
      </c>
      <c r="B15" s="3527"/>
      <c r="C15" s="3527"/>
      <c r="D15" s="3527"/>
    </row>
    <row r="16" spans="1:4" ht="30" customHeight="1">
      <c r="A16" s="3530" t="s">
        <v>943</v>
      </c>
      <c r="B16" s="3530"/>
      <c r="C16" s="3530"/>
      <c r="D16" s="3530"/>
    </row>
    <row r="17" spans="1:4" ht="144" customHeight="1">
      <c r="A17" s="3530" t="s">
        <v>944</v>
      </c>
      <c r="B17" s="3530"/>
      <c r="C17" s="3530"/>
      <c r="D17" s="3530"/>
    </row>
    <row r="18" spans="1:4" ht="15.75" customHeight="1">
      <c r="A18" s="3527" t="str">
        <f>IF(项目基本情况!B8="抵押",结果表!K120,"——")</f>
        <v>——</v>
      </c>
      <c r="B18" s="3527"/>
      <c r="C18" s="3527"/>
      <c r="D18" s="3527"/>
    </row>
    <row r="19" spans="1:4" ht="46.5" customHeight="1">
      <c r="A19" s="35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27"/>
      <c r="C19" s="3527"/>
      <c r="D19" s="3527"/>
    </row>
    <row r="20" spans="1:4" ht="57.75" customHeight="1">
      <c r="A20" s="35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27"/>
      <c r="C20" s="3527"/>
      <c r="D20" s="3527"/>
    </row>
    <row r="21" spans="1:4" ht="57.75" customHeight="1">
      <c r="A21" s="35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31"/>
      <c r="C21" s="3531"/>
      <c r="D21" s="3531"/>
    </row>
    <row r="22" spans="1:4" ht="18.75" customHeight="1">
      <c r="A22" s="3532" t="s">
        <v>945</v>
      </c>
      <c r="B22" s="3532"/>
      <c r="C22" s="3532"/>
      <c r="D22" s="3532"/>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29">
        <v>42551</v>
      </c>
      <c r="D31" s="352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38" t="s">
        <v>956</v>
      </c>
      <c r="B15" s="3533" t="s">
        <v>109</v>
      </c>
      <c r="C15" s="3534"/>
    </row>
    <row r="16" spans="1:7" ht="13.5">
      <c r="A16" s="3539"/>
      <c r="B16" s="3533" t="s">
        <v>42</v>
      </c>
      <c r="C16" s="3534"/>
    </row>
    <row r="17" spans="1:3" ht="13.5">
      <c r="A17" s="3539"/>
      <c r="B17" s="3536" t="s">
        <v>957</v>
      </c>
      <c r="C17" s="1531" t="s">
        <v>956</v>
      </c>
    </row>
    <row r="18" spans="1:3" ht="13.5">
      <c r="A18" s="3539"/>
      <c r="B18" s="3536"/>
      <c r="C18" s="1531" t="s">
        <v>958</v>
      </c>
    </row>
    <row r="19" spans="1:3" ht="13.5">
      <c r="A19" s="3539"/>
      <c r="B19" s="3536"/>
      <c r="C19" s="1531" t="s">
        <v>959</v>
      </c>
    </row>
    <row r="20" spans="1:3" ht="13.5">
      <c r="A20" s="3540"/>
      <c r="B20" s="3535" t="s">
        <v>960</v>
      </c>
      <c r="C20" s="3534"/>
    </row>
    <row r="21" spans="1:3" ht="13.5">
      <c r="A21" s="1532" t="s">
        <v>961</v>
      </c>
      <c r="B21" s="1533"/>
      <c r="C21" s="1534"/>
    </row>
    <row r="22" spans="1:3" ht="13.5">
      <c r="A22" s="3537" t="s">
        <v>962</v>
      </c>
      <c r="B22" s="3535" t="s">
        <v>963</v>
      </c>
      <c r="C22" s="3534"/>
    </row>
    <row r="23" spans="1:3" ht="13.5">
      <c r="A23" s="3537"/>
      <c r="B23" s="3535" t="s">
        <v>964</v>
      </c>
      <c r="C23" s="3534"/>
    </row>
    <row r="24" spans="1:3" ht="13.5">
      <c r="A24" s="3537"/>
      <c r="B24" s="3535" t="s">
        <v>965</v>
      </c>
      <c r="C24" s="3534"/>
    </row>
    <row r="25" spans="1:3" ht="13.5">
      <c r="A25" s="3537"/>
      <c r="B25" s="3536" t="s">
        <v>966</v>
      </c>
      <c r="C25" s="1531" t="s">
        <v>967</v>
      </c>
    </row>
    <row r="26" spans="1:3" ht="13.5">
      <c r="A26" s="3537"/>
      <c r="B26" s="3536"/>
      <c r="C26" s="1531" t="s">
        <v>968</v>
      </c>
    </row>
    <row r="27" spans="1:3" ht="13.5">
      <c r="A27" s="3537"/>
      <c r="B27" s="3536"/>
      <c r="C27" s="1531" t="s">
        <v>969</v>
      </c>
    </row>
    <row r="28" spans="1:3" ht="13.5">
      <c r="A28" s="3537"/>
      <c r="B28" s="3536"/>
      <c r="C28" s="1531" t="s">
        <v>970</v>
      </c>
    </row>
    <row r="29" spans="1:3" ht="13.5">
      <c r="A29" s="3537"/>
      <c r="B29" s="3536"/>
      <c r="C29" s="1531" t="s">
        <v>971</v>
      </c>
    </row>
    <row r="30" spans="1:3" ht="13.5">
      <c r="A30" s="3537"/>
      <c r="B30" s="3536"/>
      <c r="C30" s="1531" t="s">
        <v>972</v>
      </c>
    </row>
    <row r="31" spans="1:3" ht="13.5">
      <c r="A31" s="3537"/>
      <c r="B31" s="3536"/>
      <c r="C31" s="1531" t="s">
        <v>973</v>
      </c>
    </row>
    <row r="32" spans="1:3" ht="13.5">
      <c r="A32" s="3537"/>
      <c r="B32" s="3536"/>
      <c r="C32" s="1531" t="s">
        <v>974</v>
      </c>
    </row>
    <row r="33" spans="1:3" ht="13.5">
      <c r="A33" s="3537"/>
      <c r="B33" s="3536"/>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45253</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41" t="s">
        <v>2160</v>
      </c>
      <c r="B17" s="3541"/>
      <c r="C17" s="3541"/>
      <c r="D17" s="3541"/>
      <c r="E17" s="3541"/>
      <c r="F17" s="3541"/>
      <c r="G17" s="3541"/>
      <c r="H17" s="3541"/>
    </row>
    <row r="18" spans="1:8" ht="24" customHeight="1">
      <c r="A18" s="3542" t="s">
        <v>2161</v>
      </c>
      <c r="B18" s="3542"/>
      <c r="C18" s="3542"/>
      <c r="D18" s="2342"/>
      <c r="E18" s="3543" t="s">
        <v>2162</v>
      </c>
      <c r="F18" s="3542"/>
      <c r="G18" s="3542"/>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153</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北京通</vt:lpstr>
      <vt:lpstr>项目基本情况</vt:lpstr>
      <vt:lpstr>数据-基础表</vt:lpstr>
      <vt:lpstr>数据-汇总表</vt:lpstr>
      <vt:lpstr>数据-取费表</vt:lpstr>
      <vt:lpstr>估价对象房地状况</vt:lpstr>
      <vt:lpstr>结果表</vt:lpstr>
      <vt:lpstr>成本法</vt:lpstr>
      <vt:lpstr>法拍</vt:lpstr>
      <vt:lpstr>挂牌</vt:lpstr>
      <vt:lpstr>三部案例</vt:lpstr>
      <vt:lpstr>比较法-住宅</vt:lpstr>
      <vt:lpstr>收益法</vt:lpstr>
      <vt:lpstr>公共部分</vt:lpstr>
      <vt:lpstr>收益法 (2)</vt:lpstr>
      <vt:lpstr>收益法 (元)</vt:lpstr>
      <vt:lpstr>租金案例</vt:lpstr>
      <vt:lpstr>成本法 (元)</vt:lpstr>
      <vt:lpstr>假设开发法</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系统读取表</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(2)'!Print_Area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2023-11-23T09:53:36Z</dcterms:modified>
</cp:coreProperties>
</file>