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8" yWindow="-48" windowWidth="15396" windowHeight="12492"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r:id="rId20"/>
    <sheet name="假设开发法" sheetId="12" r:id="rId21"/>
    <sheet name="收益法" sheetId="15" r:id="rId22"/>
    <sheet name="收益法 (元)" sheetId="67" r:id="rId23"/>
    <sheet name="收益法-酒店模型" sheetId="77" r:id="rId24"/>
    <sheet name="收益法（汇总）" sheetId="70" r:id="rId25"/>
    <sheet name="比较法-住宅" sheetId="21" r:id="rId26"/>
    <sheet name="比较法-商业" sheetId="33" r:id="rId27"/>
    <sheet name="比较法-办公" sheetId="34" r:id="rId28"/>
    <sheet name="比较法-工业" sheetId="37" r:id="rId29"/>
    <sheet name="比较法-车位" sheetId="35" r:id="rId30"/>
    <sheet name="比较法-仓储" sheetId="36" r:id="rId31"/>
    <sheet name="土地比较法-住宅、综合" sheetId="39" r:id="rId32"/>
    <sheet name="土地比较法-工业" sheetId="40" r:id="rId33"/>
    <sheet name="典型户型修正" sheetId="31" r:id="rId34"/>
    <sheet name="基准地价（汇总）" sheetId="76"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r:id="rId44"/>
    <sheet name="存贷款利率" sheetId="73"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4" i="74" l="1"/>
  <c r="B14" i="74" l="1"/>
  <c r="B54" i="1" l="1"/>
  <c r="Y6" i="1"/>
  <c r="C19" i="6"/>
  <c r="F19" i="6"/>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I40" i="79"/>
  <c r="AB39" i="79"/>
  <c r="AA39" i="79"/>
  <c r="Z39" i="79"/>
  <c r="N39" i="79"/>
  <c r="M39" i="79"/>
  <c r="L39" i="79"/>
  <c r="I39" i="79"/>
  <c r="AB38" i="79"/>
  <c r="AA38" i="79"/>
  <c r="Z38" i="79"/>
  <c r="N38" i="79"/>
  <c r="M38" i="79"/>
  <c r="L38" i="79"/>
  <c r="S38" i="79" s="1"/>
  <c r="I38" i="79"/>
  <c r="AB37" i="79"/>
  <c r="AA37" i="79"/>
  <c r="Z37" i="79"/>
  <c r="N37" i="79"/>
  <c r="M37" i="79"/>
  <c r="L37" i="79"/>
  <c r="I37" i="79"/>
  <c r="AD37" i="79" s="1"/>
  <c r="AB36" i="79"/>
  <c r="AA36" i="79"/>
  <c r="Z36" i="79"/>
  <c r="N36" i="79"/>
  <c r="U36" i="79" s="1"/>
  <c r="M36" i="79"/>
  <c r="L36" i="79"/>
  <c r="I36" i="79"/>
  <c r="AB35" i="79"/>
  <c r="AA35" i="79"/>
  <c r="Z35" i="79"/>
  <c r="N35" i="79"/>
  <c r="M35" i="79"/>
  <c r="T30" i="79" s="1"/>
  <c r="W30" i="79" s="1"/>
  <c r="L35" i="79"/>
  <c r="I35" i="79"/>
  <c r="AB29" i="79"/>
  <c r="AA29" i="79"/>
  <c r="AA26" i="79" s="1"/>
  <c r="AD26" i="79" s="1"/>
  <c r="Z29" i="79"/>
  <c r="N29" i="79"/>
  <c r="M29" i="79"/>
  <c r="M26" i="79" s="1"/>
  <c r="P26" i="79" s="1"/>
  <c r="L29" i="79"/>
  <c r="S28" i="79" s="1"/>
  <c r="I29" i="79"/>
  <c r="N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U17" i="79" s="1"/>
  <c r="M17" i="79"/>
  <c r="T17" i="79" s="1"/>
  <c r="W17" i="79" s="1"/>
  <c r="L17" i="79"/>
  <c r="S17" i="79" s="1"/>
  <c r="K17" i="79"/>
  <c r="R17" i="79" s="1"/>
  <c r="I17" i="79"/>
  <c r="AC16" i="79"/>
  <c r="AB16" i="79"/>
  <c r="AA16" i="79"/>
  <c r="AD16" i="79" s="1"/>
  <c r="Z16" i="79"/>
  <c r="Y16" i="79"/>
  <c r="O16" i="79"/>
  <c r="N16" i="79"/>
  <c r="M16" i="79"/>
  <c r="L16" i="79"/>
  <c r="K16" i="79"/>
  <c r="I16" i="79"/>
  <c r="AD15" i="79"/>
  <c r="AC15" i="79"/>
  <c r="AB15" i="79"/>
  <c r="AA15" i="79"/>
  <c r="Z15" i="79"/>
  <c r="Y15" i="79"/>
  <c r="O15" i="79"/>
  <c r="N15" i="79"/>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K13" i="79"/>
  <c r="R13" i="79" s="1"/>
  <c r="I13" i="79"/>
  <c r="AC12" i="79"/>
  <c r="AB12" i="79"/>
  <c r="AA12" i="79"/>
  <c r="AD12" i="79" s="1"/>
  <c r="Z12" i="79"/>
  <c r="Y12" i="79"/>
  <c r="O12" i="79"/>
  <c r="N12" i="79"/>
  <c r="M12" i="79"/>
  <c r="L12" i="79"/>
  <c r="K12" i="79"/>
  <c r="I12" i="79"/>
  <c r="AC6" i="79"/>
  <c r="AB6" i="79"/>
  <c r="AA6" i="79"/>
  <c r="AD6" i="79" s="1"/>
  <c r="Z6" i="79"/>
  <c r="Z3" i="79" s="1"/>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5" i="79" l="1"/>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F15" i="74"/>
  <c r="F16"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B5" i="3" s="1"/>
  <c r="BC17" i="3"/>
  <c r="BD17" i="3"/>
  <c r="BE17" i="3"/>
  <c r="BF17" i="3"/>
  <c r="BG17" i="3"/>
  <c r="BH17" i="3"/>
  <c r="BI17" i="3"/>
  <c r="BJ17" i="3"/>
  <c r="BK17" i="3"/>
  <c r="BC10" i="3"/>
  <c r="BD10" i="3"/>
  <c r="BB10" i="3"/>
  <c r="H13" i="3"/>
  <c r="AC13" i="3"/>
  <c r="H14" i="3"/>
  <c r="AC14" i="3"/>
  <c r="G14" i="3"/>
  <c r="E15" i="74" s="1"/>
  <c r="H15" i="3"/>
  <c r="AC15" i="3"/>
  <c r="H16" i="3"/>
  <c r="E17" i="74" s="1"/>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E16" i="74" s="1"/>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T5" i="3"/>
  <c r="AZ350" i="3"/>
  <c r="AZ356" i="3"/>
  <c r="AZ368" i="3"/>
  <c r="BA15" i="3"/>
  <c r="AZ15" i="3" s="1"/>
  <c r="BR5" i="3"/>
  <c r="AZ380" i="3"/>
  <c r="AZ392" i="3"/>
  <c r="AZ499" i="3"/>
  <c r="AZ509" i="3"/>
  <c r="G509" i="3"/>
  <c r="BL493" i="3"/>
  <c r="AZ491"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J1" i="73"/>
  <c r="H69" i="4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76" i="15"/>
  <c r="F6" i="73"/>
  <c r="J15" i="67"/>
  <c r="F37" i="15"/>
  <c r="F4" i="73"/>
  <c r="F13" i="67"/>
  <c r="F43" i="67"/>
  <c r="M24" i="67"/>
  <c r="F9" i="15"/>
  <c r="M23" i="15"/>
  <c r="E10" i="76"/>
  <c r="M29" i="15"/>
  <c r="AO13" i="1"/>
  <c r="D6" i="73"/>
  <c r="B7" i="76"/>
  <c r="M26" i="67"/>
  <c r="F7" i="15"/>
  <c r="E7" i="76"/>
  <c r="L47" i="67"/>
  <c r="F13" i="15"/>
  <c r="M22" i="15"/>
  <c r="M8" i="67"/>
  <c r="M28" i="67"/>
  <c r="F8" i="67"/>
  <c r="M23" i="67"/>
  <c r="F6" i="15"/>
  <c r="F8" i="15"/>
  <c r="F40" i="67"/>
  <c r="C19" i="9"/>
  <c r="J15" i="15"/>
  <c r="E2" i="69"/>
  <c r="F26" i="15"/>
  <c r="F37" i="67"/>
  <c r="M28" i="15"/>
  <c r="L48" i="67"/>
  <c r="F7" i="67"/>
  <c r="M9" i="15"/>
  <c r="L47" i="15"/>
  <c r="F38" i="15"/>
  <c r="B11" i="76"/>
  <c r="F42" i="15"/>
  <c r="M22" i="67"/>
  <c r="B9" i="76"/>
  <c r="E13" i="76"/>
  <c r="F16" i="15"/>
  <c r="M26" i="15"/>
  <c r="L48" i="15"/>
  <c r="E12" i="76"/>
  <c r="M24" i="15"/>
  <c r="B12" i="76"/>
  <c r="B13" i="76"/>
  <c r="E8" i="76"/>
  <c r="F43" i="15"/>
  <c r="M9" i="67"/>
  <c r="F40" i="15"/>
  <c r="M29" i="67"/>
  <c r="F20" i="31"/>
  <c r="E9" i="76"/>
  <c r="F38" i="67"/>
  <c r="E2" i="68"/>
  <c r="F16" i="67"/>
  <c r="F5" i="73"/>
  <c r="F36" i="67"/>
  <c r="D19" i="9"/>
  <c r="E11" i="76"/>
  <c r="F3" i="73"/>
  <c r="C20" i="9"/>
  <c r="F26" i="67"/>
  <c r="F7" i="73"/>
  <c r="B10" i="76"/>
  <c r="D20" i="9"/>
  <c r="M8" i="15"/>
  <c r="B8" i="76"/>
  <c r="C76" i="67"/>
  <c r="F6" i="67"/>
  <c r="M6" i="15"/>
  <c r="M6" i="67"/>
  <c r="F42" i="67"/>
  <c r="F36" i="15"/>
  <c r="F9" i="67"/>
  <c r="BA17" i="3" l="1"/>
  <c r="AZ17" i="3" s="1"/>
  <c r="C21" i="68"/>
  <c r="C40" i="68"/>
  <c r="C40" i="69"/>
  <c r="F29" i="6"/>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C36" i="69"/>
  <c r="D9" i="68"/>
  <c r="D4" i="73"/>
  <c r="D5" i="73"/>
  <c r="C16" i="67"/>
  <c r="D3" i="73"/>
  <c r="C16" i="15"/>
  <c r="D7" i="73"/>
  <c r="P6" i="1" l="1"/>
  <c r="C13" i="12" s="1"/>
  <c r="K16" i="1"/>
  <c r="N370" i="46"/>
  <c r="G26" i="43"/>
  <c r="J26" i="43"/>
  <c r="F26" i="43"/>
  <c r="E26" i="43"/>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G1" i="73"/>
  <c r="F41" i="67"/>
  <c r="AE6" i="1"/>
  <c r="D26" i="43" l="1"/>
  <c r="C25" i="43" s="1"/>
  <c r="H6" i="3"/>
  <c r="E6" i="3" s="1"/>
  <c r="E3" i="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C35" i="9"/>
  <c r="D35" i="9"/>
  <c r="F41" i="15"/>
  <c r="M27" i="67"/>
  <c r="M27" i="15"/>
  <c r="F24" i="15" l="1"/>
  <c r="C24" i="15" s="1"/>
  <c r="F22" i="69"/>
  <c r="F41" i="69" s="1"/>
  <c r="F22" i="68"/>
  <c r="C44" i="68" s="1"/>
  <c r="D41" i="68" s="1"/>
  <c r="F25" i="12"/>
  <c r="C26" i="12" s="1"/>
  <c r="D25" i="12" s="1"/>
  <c r="F22" i="11"/>
  <c r="C44" i="11" s="1"/>
  <c r="D41" i="11" s="1"/>
  <c r="F24" i="67"/>
  <c r="C24" i="67" s="1"/>
  <c r="D116" i="43"/>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69"/>
  <c r="D22" i="69" s="1"/>
  <c r="C26" i="68"/>
  <c r="D22" i="68" s="1"/>
  <c r="C25" i="11"/>
  <c r="C34" i="9"/>
  <c r="C66" i="67"/>
  <c r="C60" i="67"/>
  <c r="D10" i="69"/>
  <c r="C34" i="69"/>
  <c r="D10" i="68"/>
  <c r="D34" i="9"/>
  <c r="C14" i="67"/>
  <c r="C17" i="15"/>
  <c r="C17" i="67"/>
  <c r="C23" i="68" l="1"/>
  <c r="F41" i="68"/>
  <c r="C44" i="69"/>
  <c r="D41" i="69" s="1"/>
  <c r="C24" i="11"/>
  <c r="C22" i="11" s="1"/>
  <c r="C23" i="11"/>
  <c r="C26" i="11"/>
  <c r="D22" i="11"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31" i="11" l="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67"/>
  <c r="F35" i="15"/>
  <c r="M21" i="15"/>
  <c r="F35"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L51" i="15"/>
  <c r="D2" i="34"/>
  <c r="D2" i="36"/>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6" i="1"/>
  <c r="AO7" i="1"/>
  <c r="AO12" i="1"/>
  <c r="AO10" i="1"/>
  <c r="AO8" i="1"/>
  <c r="AO11"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G118" i="9"/>
  <c r="G4" i="52" s="1"/>
  <c r="B52" i="72" s="1"/>
  <c r="I118" i="9"/>
  <c r="H102" i="9" s="1"/>
  <c r="H118" i="9" l="1"/>
  <c r="H4" i="52" s="1"/>
  <c r="D7" i="53"/>
  <c r="B21" i="72" s="1"/>
  <c r="C5" i="74"/>
  <c r="E118" i="9"/>
  <c r="C105" i="9"/>
  <c r="I4" i="52"/>
  <c r="F118" i="9"/>
  <c r="H119" i="9" l="1"/>
  <c r="H5" i="52" s="1"/>
  <c r="H101" i="9"/>
  <c r="C104" i="9"/>
  <c r="F119" i="9"/>
  <c r="F5" i="52" s="1"/>
  <c r="B53" i="72" s="1"/>
  <c r="F4" i="52"/>
  <c r="B51" i="72" s="1"/>
  <c r="E4" i="52"/>
  <c r="B48" i="72" s="1"/>
  <c r="D118" i="9"/>
  <c r="D45" i="9" l="1"/>
  <c r="H107" i="9"/>
  <c r="M48" i="9"/>
  <c r="D5" i="53"/>
  <c r="D119" i="9"/>
  <c r="D5" i="52" s="1"/>
  <c r="B49" i="72" s="1"/>
  <c r="D4" i="52"/>
  <c r="B47" i="72" s="1"/>
  <c r="M49" i="9" l="1"/>
  <c r="D122" i="9"/>
  <c r="D13" i="53"/>
  <c r="H108" i="9"/>
  <c r="D6" i="53"/>
  <c r="B22" i="72" s="1"/>
  <c r="B20" i="72"/>
  <c r="C85" i="9"/>
  <c r="D53" i="9"/>
  <c r="C93" i="9"/>
  <c r="C86" i="9" s="1"/>
  <c r="C78" i="9"/>
  <c r="C73" i="9" s="1"/>
  <c r="D55" i="9"/>
  <c r="M53" i="9" s="1"/>
  <c r="C72" i="9"/>
  <c r="C79" i="9" s="1"/>
  <c r="D52" i="9"/>
  <c r="C64" i="9"/>
  <c r="C63" i="9" s="1"/>
  <c r="C67" i="9" s="1"/>
  <c r="C95" i="9" l="1"/>
  <c r="C6" i="74"/>
  <c r="D15" i="53"/>
  <c r="B31" i="72" s="1"/>
  <c r="C96" i="9"/>
  <c r="E96" i="9" s="1"/>
  <c r="E97" i="9" s="1"/>
  <c r="C97" i="9"/>
  <c r="D58" i="9" s="1"/>
  <c r="D56" i="9" s="1"/>
  <c r="M54" i="9" s="1"/>
  <c r="B30" i="72"/>
  <c r="D14" i="53"/>
  <c r="B32" i="72" s="1"/>
  <c r="C80" i="9"/>
  <c r="E80" i="9" s="1"/>
  <c r="E81" i="9" s="1"/>
  <c r="C81" i="9"/>
  <c r="C68" i="9"/>
  <c r="D54" i="9" s="1"/>
  <c r="D59" i="9"/>
  <c r="M55" i="9" s="1"/>
  <c r="D123" i="9"/>
  <c r="D9" i="52" s="1"/>
  <c r="D8" i="52"/>
  <c r="L63" i="9"/>
  <c r="M63" i="9" s="1"/>
  <c r="M69" i="9" s="1"/>
  <c r="N69" i="9" s="1"/>
  <c r="L66" i="9"/>
  <c r="M66" i="9" s="1"/>
  <c r="L65" i="9"/>
  <c r="M65" i="9" s="1"/>
  <c r="L67" i="9"/>
  <c r="M67" i="9" s="1"/>
  <c r="L68" i="9"/>
  <c r="M68" i="9" s="1"/>
  <c r="L64" i="9"/>
  <c r="M64" i="9" s="1"/>
  <c r="N57" i="9" l="1"/>
  <c r="N58" i="9" s="1"/>
  <c r="N59" i="9" l="1"/>
  <c r="P57"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<sst xmlns="http://schemas.openxmlformats.org/spreadsheetml/2006/main" count="7788" uniqueCount="3399">
  <si>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</si>
  <si>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</si>
  <si>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</si>
  <si>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</si>
  <si>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</si>
  <si>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</si>
  <si>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</si>
  <si>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</si>
  <si>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</si>
  <si>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</si>
  <si>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</si>
  <si>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</si>
  <si>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</si>
  <si>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</si>
  <si>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</si>
  <si>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</si>
  <si>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</si>
  <si>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</si>
  <si>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</si>
  <si>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</si>
  <si>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</si>
  <si>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</si>
  <si>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</si>
  <si>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</si>
  <si>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</si>
  <si>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</si>
  <si>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</si>
  <si>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</si>
  <si>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</si>
  <si>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</si>
  <si>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</si>
  <si>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</si>
  <si>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</si>
  <si>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</si>
  <si>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</si>
  <si>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</si>
  <si>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</si>
  <si>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</si>
  <si>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</si>
  <si>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</si>
  <si>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</si>
  <si>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</si>
  <si>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</si>
  <si>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</si>
  <si>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</si>
  <si>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</si>
  <si>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</si>
  <si>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</si>
  <si>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</si>
  <si>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</si>
  <si>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</si>
  <si>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</si>
  <si>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</si>
  <si>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</si>
  <si>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</si>
  <si>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</si>
  <si>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</si>
  <si>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</si>
  <si>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</si>
  <si>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</si>
  <si>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</si>
  <si>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</si>
  <si>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</si>
  <si>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</si>
  <si>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</si>
  <si>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</si>
  <si>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</si>
  <si>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</si>
  <si>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</si>
  <si>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</si>
  <si>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</si>
  <si>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</si>
  <si>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</si>
  <si>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</si>
  <si>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</si>
  <si>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</si>
  <si>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</si>
  <si>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</si>
  <si>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</si>
  <si>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</si>
  <si>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</si>
  <si>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</si>
  <si>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</si>
  <si>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</si>
  <si>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</si>
  <si>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</si>
  <si>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</si>
  <si>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</si>
  <si>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</si>
  <si>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</si>
  <si>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</si>
  <si>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</si>
  <si>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</si>
  <si>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</si>
  <si>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</si>
  <si>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</si>
  <si>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</si>
  <si>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</si>
  <si>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</si>
  <si>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</si>
  <si>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</si>
  <si>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</si>
  <si>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</si>
  <si>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</si>
  <si>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</si>
  <si>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</si>
  <si>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</si>
  <si>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</si>
  <si>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</si>
  <si>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</si>
  <si>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</si>
  <si>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</si>
  <si>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</si>
  <si>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</si>
  <si>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</si>
  <si>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</si>
  <si>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</si>
  <si>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</si>
  <si>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</si>
  <si>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</si>
  <si>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</si>
  <si>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</si>
  <si>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</si>
  <si>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</si>
  <si>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</si>
  <si>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</si>
  <si>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</si>
  <si>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</si>
  <si>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</si>
  <si>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</si>
  <si>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</si>
  <si>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</si>
  <si>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</si>
  <si>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</si>
  <si>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</si>
  <si>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</si>
  <si>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</si>
  <si>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</si>
  <si>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</si>
  <si>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</si>
  <si>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</si>
  <si>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</si>
  <si>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</si>
  <si>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</si>
  <si>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</si>
  <si>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</si>
  <si>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</si>
  <si>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</si>
  <si>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</si>
  <si>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</si>
  <si>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</si>
  <si>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</si>
  <si>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</si>
  <si>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</si>
  <si>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</si>
  <si>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</si>
  <si>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</si>
  <si>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</si>
  <si>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</si>
  <si>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</si>
  <si>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</si>
  <si>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</si>
  <si>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</si>
  <si>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</si>
  <si>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</si>
  <si>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</si>
  <si>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</si>
  <si>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</si>
  <si>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</si>
  <si>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</si>
  <si>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</si>
  <si>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</si>
  <si>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</si>
  <si>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</si>
  <si>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</si>
  <si>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</si>
  <si>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</si>
  <si>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</si>
  <si>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</si>
  <si>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</si>
  <si>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</si>
  <si>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</si>
  <si>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</si>
  <si>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</si>
  <si>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</si>
  <si>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</si>
  <si>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</si>
  <si>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</si>
  <si>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</si>
  <si>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</si>
  <si>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</si>
  <si>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</si>
  <si>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</si>
  <si>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</si>
  <si>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</si>
  <si>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</si>
  <si>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</si>
  <si>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</si>
  <si>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</si>
  <si>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</si>
  <si>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</si>
  <si>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</si>
  <si>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</si>
  <si>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</si>
  <si>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</si>
  <si>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</si>
  <si>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</si>
  <si>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</si>
  <si>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</si>
  <si>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</si>
  <si>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</si>
  <si>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</si>
  <si>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</si>
  <si>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</si>
  <si>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</si>
  <si>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</si>
  <si>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</si>
  <si>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</si>
  <si>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</si>
  <si>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</si>
  <si>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</si>
  <si>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</si>
  <si>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</si>
  <si>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</si>
  <si>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</si>
  <si>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</si>
  <si>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</si>
  <si>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</si>
  <si>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</si>
  <si>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</si>
  <si>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</si>
  <si>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</si>
  <si>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</si>
  <si>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</si>
  <si>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</si>
  <si>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</si>
  <si>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</si>
  <si>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</si>
  <si>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</si>
  <si>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</si>
  <si>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</si>
  <si>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</si>
  <si>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</si>
  <si>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</si>
  <si>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</si>
  <si>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</si>
  <si>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</si>
  <si>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</si>
  <si>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</si>
  <si>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</si>
  <si>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</si>
  <si>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</si>
  <si>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</si>
  <si>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</si>
  <si>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</si>
  <si>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</si>
  <si>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</si>
  <si>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</si>
  <si>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</si>
  <si>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</si>
  <si>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</si>
  <si>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</si>
  <si>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</si>
  <si>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</si>
  <si>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</si>
  <si>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</si>
  <si>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</si>
  <si>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</si>
  <si>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</si>
  <si>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</si>
  <si>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</si>
  <si>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</si>
  <si>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</si>
  <si>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</si>
  <si>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</si>
  <si>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</si>
  <si>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</si>
  <si>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</si>
  <si>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</si>
  <si>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</si>
  <si>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</si>
  <si>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</si>
  <si>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</si>
  <si>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</si>
  <si>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</si>
  <si>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</si>
  <si>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</si>
  <si>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</si>
  <si>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</si>
  <si>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</si>
  <si>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</si>
  <si>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</si>
  <si>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</si>
  <si>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</si>
  <si>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</si>
  <si>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</si>
  <si>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</si>
  <si>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</si>
  <si>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</si>
  <si>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</si>
  <si>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</si>
  <si>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</si>
  <si>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</si>
  <si>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</si>
  <si>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</si>
  <si>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</si>
  <si>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</si>
  <si>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</si>
  <si>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</si>
  <si>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</si>
  <si>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</si>
  <si>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</si>
  <si>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</si>
  <si>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</si>
  <si>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</si>
  <si>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</si>
  <si>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</si>
  <si>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</si>
  <si>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</si>
  <si>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</si>
  <si>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</si>
  <si>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</si>
  <si>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</si>
  <si>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</si>
  <si>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</si>
  <si>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</si>
  <si>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</si>
  <si>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</si>
  <si>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</si>
  <si>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</si>
  <si>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</si>
  <si>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</si>
  <si>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</si>
  <si>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</si>
  <si>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</si>
  <si>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</si>
  <si>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</si>
  <si>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</si>
  <si>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</si>
  <si>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</si>
  <si>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</si>
  <si>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</si>
  <si>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</si>
  <si>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</si>
  <si>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</si>
  <si>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</si>
  <si>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</si>
  <si>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</si>
  <si>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</si>
  <si>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</si>
  <si>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</si>
  <si>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</si>
  <si>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</si>
  <si>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</si>
  <si>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</si>
  <si>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</si>
  <si>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</si>
  <si>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</si>
  <si>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</si>
  <si>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</si>
  <si>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</si>
  <si>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</si>
  <si>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</si>
  <si>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</si>
  <si>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</si>
  <si>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</si>
  <si>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</si>
  <si>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</si>
  <si>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</si>
  <si>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</si>
  <si>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</si>
  <si>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</si>
  <si>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</si>
  <si>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</si>
  <si>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</si>
  <si>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</si>
  <si>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</si>
  <si>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</si>
  <si>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</si>
  <si>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</si>
  <si>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</si>
  <si>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</si>
  <si>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</si>
  <si>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</si>
  <si>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</si>
  <si>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</si>
  <si>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</si>
  <si>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</si>
  <si>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</si>
  <si>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</si>
  <si>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</si>
  <si>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</si>
  <si>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</si>
  <si>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</si>
  <si>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</si>
  <si>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</si>
  <si>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</si>
  <si>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</si>
  <si>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</si>
  <si>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</si>
  <si>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</si>
  <si>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</si>
  <si>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</si>
  <si>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</si>
  <si>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</si>
  <si>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</si>
  <si>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</si>
  <si>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</si>
  <si>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</si>
  <si>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</si>
  <si>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</si>
  <si>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</si>
  <si>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</si>
  <si>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</si>
  <si>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</si>
  <si>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</si>
  <si>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</si>
  <si>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</si>
  <si>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</si>
  <si>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</si>
  <si>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</si>
  <si>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</si>
  <si>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</si>
  <si>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</si>
  <si>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</si>
  <si>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</si>
  <si>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</si>
  <si>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</si>
  <si>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</si>
  <si>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</si>
  <si>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</si>
  <si>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</si>
  <si>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</si>
  <si>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</si>
  <si>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</si>
  <si>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</si>
  <si>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</si>
  <si>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</si>
  <si>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</si>
  <si>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</si>
  <si>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</si>
  <si>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</si>
  <si>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</si>
  <si>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</si>
  <si>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</si>
  <si>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</si>
  <si>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</si>
  <si>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</si>
  <si>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</si>
  <si>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</si>
  <si>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</si>
  <si>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</si>
  <si>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</si>
  <si>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</si>
  <si>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</si>
  <si>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</si>
  <si>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</si>
  <si>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</si>
  <si>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</si>
  <si>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</si>
  <si>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</si>
  <si>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</si>
  <si>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</si>
  <si>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</si>
  <si>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</si>
  <si>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</si>
  <si>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</si>
  <si>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</si>
  <si>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</si>
  <si>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</si>
  <si>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</si>
  <si>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</si>
  <si>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</si>
  <si>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</si>
  <si>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</si>
  <si>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</si>
  <si>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</si>
  <si>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</si>
  <si>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</si>
  <si>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</si>
  <si>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</si>
  <si>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</si>
  <si>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</si>
  <si>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</si>
  <si>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</si>
  <si>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</si>
  <si>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</si>
  <si>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</si>
  <si>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</si>
  <si>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</si>
  <si>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</si>
  <si>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</si>
  <si>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</si>
  <si>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</si>
  <si>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</si>
  <si>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</si>
  <si>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</si>
  <si>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</si>
  <si>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</si>
  <si>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</si>
  <si>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</si>
  <si>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</si>
  <si>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</si>
  <si>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</si>
  <si>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</si>
  <si>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</si>
  <si>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</si>
  <si>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</si>
  <si>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</si>
  <si>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</si>
  <si>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</si>
  <si>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</si>
  <si>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</si>
  <si>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</si>
  <si>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</si>
  <si>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</si>
  <si>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</si>
  <si>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</si>
  <si>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</si>
  <si>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</si>
  <si>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</si>
  <si>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</si>
  <si>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</si>
  <si>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</si>
  <si>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</si>
  <si>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</si>
  <si>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</si>
  <si>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</si>
  <si>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</si>
  <si>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</si>
  <si>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</si>
  <si>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</si>
  <si>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</si>
  <si>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</si>
  <si>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</si>
  <si>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</si>
  <si>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</si>
  <si>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</si>
  <si>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</si>
  <si>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</si>
  <si>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</si>
  <si>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</si>
  <si>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</si>
  <si>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</si>
  <si>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</si>
  <si>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</si>
  <si>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</si>
  <si>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</si>
  <si>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</si>
  <si>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</si>
  <si>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</si>
  <si>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</si>
  <si>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</si>
  <si>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</si>
  <si>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</si>
  <si>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</si>
  <si>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</si>
  <si>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</si>
  <si>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</si>
  <si>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</si>
  <si>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</si>
  <si>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</si>
  <si>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</si>
  <si>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</si>
  <si>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</si>
  <si>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</si>
  <si>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</si>
  <si>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</si>
  <si>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</si>
  <si>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</si>
  <si>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</si>
  <si>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</si>
  <si>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</si>
  <si>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</si>
  <si>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</si>
  <si>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</si>
  <si>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</si>
  <si>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</si>
  <si>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</si>
  <si>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</si>
  <si>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</si>
  <si>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</si>
  <si>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</si>
  <si>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</si>
  <si>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</si>
  <si>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</si>
  <si>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</si>
  <si>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</si>
  <si>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</si>
  <si>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</si>
  <si>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</si>
  <si>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</si>
  <si>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</si>
  <si>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</si>
  <si>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</si>
  <si>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</si>
  <si>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</si>
  <si>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</si>
  <si>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</si>
  <si>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</si>
  <si>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</si>
  <si>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</si>
  <si>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</si>
  <si>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</si>
  <si>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</si>
  <si>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</si>
  <si>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</si>
  <si>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</si>
  <si>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</si>
  <si>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</si>
  <si>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</si>
  <si>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</si>
  <si>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</si>
  <si>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</si>
  <si>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</si>
  <si>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</si>
  <si>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</si>
  <si>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</si>
  <si>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</si>
  <si>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</si>
  <si>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</si>
  <si>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</si>
  <si>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</si>
  <si>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</si>
  <si>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</si>
  <si>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</si>
  <si>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</si>
  <si>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</si>
  <si>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</si>
  <si>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</si>
  <si>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</si>
  <si>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</si>
  <si>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</si>
  <si>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</si>
  <si>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</si>
  <si>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</si>
  <si>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</si>
  <si>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</si>
  <si>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</si>
  <si>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</si>
  <si>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</si>
  <si>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</si>
  <si>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</si>
  <si>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</si>
  <si>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</si>
  <si>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</si>
  <si>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</si>
  <si>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</si>
  <si>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</si>
  <si>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</si>
  <si>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</si>
  <si>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</si>
  <si>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</si>
  <si>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</si>
  <si>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</si>
  <si>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</si>
  <si>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</si>
  <si>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</si>
  <si>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</si>
  <si>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</si>
  <si>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</si>
  <si>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</si>
  <si>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</si>
  <si>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</si>
  <si>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</si>
  <si>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</si>
  <si>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</si>
  <si>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</si>
  <si>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</si>
  <si>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</si>
  <si>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</si>
  <si>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</si>
  <si>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</si>
  <si>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</si>
  <si>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</si>
  <si>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</si>
  <si>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</si>
  <si>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</si>
  <si>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</si>
  <si>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</si>
  <si>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</si>
  <si>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</si>
  <si>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</si>
  <si>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</si>
  <si>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</si>
  <si>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</si>
  <si>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</si>
  <si>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</si>
  <si>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</si>
  <si>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</si>
  <si>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</si>
  <si>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</si>
  <si>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</si>
  <si>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</si>
  <si>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</si>
  <si>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</si>
  <si>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</si>
  <si>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</si>
  <si>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</si>
  <si>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</si>
  <si>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</si>
  <si>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</si>
  <si>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</si>
  <si>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</si>
  <si>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</si>
  <si>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</si>
  <si>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</si>
  <si>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</si>
  <si>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</si>
  <si>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</si>
  <si>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</si>
  <si>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</si>
  <si>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</si>
  <si>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</si>
  <si>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</si>
  <si>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</si>
  <si>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</si>
  <si>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</si>
  <si>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</si>
  <si>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</si>
  <si>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</si>
  <si>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</si>
  <si>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</si>
  <si>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</si>
  <si>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</si>
  <si>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</si>
  <si>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</si>
  <si>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</si>
  <si>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</si>
  <si>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</si>
  <si>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</si>
  <si>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</si>
  <si>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</si>
  <si>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</si>
  <si>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</si>
  <si>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</si>
  <si>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</si>
  <si>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</si>
  <si>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</si>
  <si>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</si>
  <si>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</si>
  <si>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</si>
  <si>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</si>
  <si>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</si>
  <si>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</si>
  <si>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</si>
  <si>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</si>
  <si>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</si>
  <si>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</si>
  <si>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</si>
  <si>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</si>
  <si>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</si>
  <si>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</si>
  <si>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</si>
  <si>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</si>
  <si>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</si>
  <si>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</si>
  <si>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</si>
  <si>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</si>
  <si>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</si>
  <si>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</si>
  <si>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</si>
  <si>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</si>
  <si>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</si>
  <si>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</si>
  <si>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</si>
  <si>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</si>
  <si>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</si>
  <si>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</si>
  <si>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</si>
  <si>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</si>
  <si>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</si>
  <si>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</si>
  <si>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</si>
  <si>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</si>
  <si>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</si>
  <si>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</si>
  <si>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</si>
  <si>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</si>
  <si>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</si>
  <si>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</si>
  <si>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</si>
  <si>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</si>
  <si>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</si>
  <si>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</si>
  <si>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</si>
  <si>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</si>
  <si>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</si>
  <si>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</si>
  <si>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</si>
  <si>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</si>
  <si>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</si>
  <si>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</si>
  <si>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</si>
  <si>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</si>
  <si>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</si>
  <si>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</si>
  <si>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</si>
  <si>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</si>
  <si>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</si>
  <si>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</si>
  <si>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</si>
  <si>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</si>
  <si>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</si>
  <si>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</si>
  <si>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</si>
  <si>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</si>
  <si>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</si>
  <si>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</si>
  <si>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</si>
  <si>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</si>
  <si>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</si>
  <si>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</si>
  <si>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</si>
  <si>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</si>
  <si>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</si>
  <si>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</si>
  <si>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</si>
  <si>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</si>
  <si>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</si>
  <si>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</si>
  <si>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</si>
  <si>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</si>
  <si>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</si>
  <si>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</si>
  <si>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</si>
  <si>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</si>
  <si>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</si>
  <si>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</si>
  <si>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</si>
  <si>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</si>
  <si>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</si>
  <si>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</si>
  <si>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</si>
  <si>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</si>
  <si>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</si>
  <si>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</si>
  <si>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</si>
  <si>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</si>
  <si>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</si>
  <si>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</si>
  <si>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</si>
  <si>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</si>
  <si>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</si>
  <si>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</si>
  <si>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</si>
  <si>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</si>
  <si>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</si>
  <si>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</si>
  <si>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</si>
  <si>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</si>
  <si>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</si>
  <si>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</si>
  <si>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</si>
  <si>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</si>
  <si>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</si>
  <si>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</si>
  <si>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</si>
  <si>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</si>
  <si>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</si>
  <si>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</si>
  <si>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</si>
  <si>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</si>
  <si>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</si>
  <si>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</si>
  <si>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</si>
  <si>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</si>
  <si>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</si>
  <si>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</si>
  <si>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</si>
  <si>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</si>
  <si>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</si>
  <si>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</si>
  <si>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</si>
  <si>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</si>
  <si>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</si>
  <si>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</si>
  <si>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</si>
  <si>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</si>
  <si>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</si>
  <si>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</si>
  <si>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</si>
  <si>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</si>
  <si>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</si>
  <si>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</si>
  <si>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</si>
  <si>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</si>
  <si>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</si>
  <si>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</si>
  <si>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</si>
  <si>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</si>
  <si>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</si>
  <si>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</si>
  <si>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</si>
  <si>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</si>
  <si>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</si>
  <si>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</si>
  <si>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</si>
  <si>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</si>
  <si>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</si>
  <si>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</si>
  <si>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</si>
  <si>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</si>
  <si>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</si>
  <si>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</si>
  <si>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</si>
  <si>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</si>
  <si>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</si>
  <si>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</si>
  <si>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</si>
  <si>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</si>
  <si>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</si>
  <si>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</si>
  <si>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</si>
  <si>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</si>
  <si>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</si>
  <si>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</si>
  <si>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</si>
  <si>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</si>
  <si>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</si>
  <si>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</si>
  <si>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</si>
  <si>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</si>
  <si>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</si>
  <si>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</si>
  <si>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</si>
  <si>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</si>
  <si>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</si>
  <si>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</si>
  <si>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</si>
  <si>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</si>
  <si>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</si>
  <si>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</si>
  <si>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</si>
  <si>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</si>
  <si>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</si>
  <si>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</si>
  <si>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</si>
  <si>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</si>
  <si>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</si>
  <si>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</si>
  <si>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</si>
  <si>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</si>
  <si>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</si>
  <si>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</si>
  <si>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</si>
  <si>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</si>
  <si>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</si>
  <si>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</si>
  <si>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</si>
  <si>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</si>
  <si>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</si>
  <si>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</si>
  <si>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</si>
  <si>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</si>
  <si>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</si>
  <si>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</si>
  <si>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</si>
  <si>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</si>
  <si>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</si>
  <si>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</si>
  <si>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</si>
  <si>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</si>
  <si>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</si>
  <si>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</si>
  <si>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</si>
  <si>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</si>
  <si>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</si>
  <si>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</si>
  <si>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</si>
  <si>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</si>
  <si>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</si>
  <si>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</si>
  <si>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</si>
  <si>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</si>
  <si>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</si>
  <si>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</si>
  <si>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</si>
  <si>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</si>
  <si>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</si>
  <si>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</si>
  <si>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</si>
  <si>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</si>
  <si>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</si>
  <si>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</si>
  <si>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</si>
  <si>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</si>
  <si>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</si>
  <si>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</si>
  <si>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</si>
  <si>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</si>
  <si>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</si>
  <si>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</si>
  <si>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</si>
  <si>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</si>
  <si>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</si>
  <si>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</si>
  <si>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</si>
  <si>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</si>
  <si>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</si>
  <si>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</si>
  <si>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</si>
  <si>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</si>
  <si>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</si>
  <si>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</si>
  <si>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</si>
  <si>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</si>
  <si>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</si>
  <si>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</si>
  <si>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</si>
  <si>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</si>
  <si>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</si>
  <si>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</si>
  <si>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</si>
  <si>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</si>
  <si>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</si>
  <si>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</si>
  <si>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</si>
  <si>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</si>
  <si>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</si>
  <si>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</si>
  <si>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</si>
  <si>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</si>
  <si>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</si>
  <si>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</si>
  <si>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</si>
  <si>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</si>
  <si>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</si>
  <si>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</si>
  <si>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</si>
  <si>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</si>
  <si>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</si>
  <si>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</si>
  <si>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</si>
  <si>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</si>
  <si>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</si>
  <si>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</si>
  <si>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</si>
  <si>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</si>
  <si>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</si>
  <si>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</si>
  <si>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</si>
  <si>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</si>
  <si>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</si>
  <si>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</si>
  <si>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</si>
  <si>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</si>
  <si>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</si>
  <si>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</si>
  <si>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</si>
  <si>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</si>
  <si>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</si>
  <si>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</si>
  <si>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</si>
  <si>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</si>
  <si>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</si>
  <si>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</si>
  <si>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</si>
  <si>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</si>
  <si>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</si>
  <si>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</si>
  <si>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</si>
  <si>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</si>
  <si>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</si>
  <si>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</si>
  <si>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</si>
  <si>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</si>
  <si>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</si>
  <si>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</si>
  <si>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</si>
  <si>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</si>
  <si>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</si>
  <si>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</si>
  <si>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</si>
  <si>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</si>
  <si>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</si>
  <si>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</si>
  <si>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</si>
  <si>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</si>
  <si>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</si>
  <si>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</si>
  <si>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</si>
  <si>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</si>
  <si>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</si>
  <si>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</si>
  <si>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</si>
  <si>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</si>
  <si>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</si>
  <si>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</si>
  <si>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</si>
  <si>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</si>
  <si>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</si>
  <si>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</si>
  <si>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</si>
  <si>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</si>
  <si>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</si>
  <si>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</si>
  <si>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</si>
  <si>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</si>
  <si>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</si>
  <si>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</si>
  <si>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</si>
  <si>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</si>
  <si>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</si>
  <si>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</si>
  <si>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</si>
  <si>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</si>
  <si>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</si>
  <si>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</si>
  <si>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</si>
  <si>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</si>
  <si>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</si>
  <si>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</si>
  <si>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</si>
  <si>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</si>
  <si>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</si>
  <si>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</si>
  <si>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</si>
  <si>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</si>
  <si>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</si>
  <si>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</si>
  <si>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</si>
  <si>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</si>
  <si>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</si>
  <si>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</si>
  <si>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</si>
  <si>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</si>
  <si>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</si>
  <si>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</si>
  <si>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</si>
  <si>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</si>
  <si>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</si>
  <si>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</si>
  <si>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</si>
  <si>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</si>
  <si>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</si>
  <si>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</si>
  <si>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</si>
  <si>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</si>
  <si>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</si>
  <si>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</si>
  <si>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</si>
  <si>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</si>
  <si>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</si>
  <si>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</si>
  <si>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</si>
  <si>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</si>
  <si>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</si>
  <si>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</si>
  <si>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</si>
  <si>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</si>
  <si>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</si>
  <si>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</si>
  <si>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</si>
  <si>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</si>
  <si>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</si>
  <si>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</si>
  <si>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</si>
  <si>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</si>
  <si>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</si>
  <si>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</si>
  <si>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</si>
  <si>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</si>
  <si>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</si>
  <si>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</si>
  <si>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</si>
  <si>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</si>
  <si>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</si>
  <si>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</si>
  <si>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</si>
  <si>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</si>
  <si>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</si>
  <si>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</si>
  <si>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</si>
  <si>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</si>
  <si>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</si>
  <si>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</si>
  <si>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</si>
  <si>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</si>
  <si>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</si>
  <si>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</si>
  <si>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</si>
  <si>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</si>
  <si>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</si>
  <si>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</si>
  <si>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</si>
  <si>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</si>
  <si>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</si>
  <si>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</si>
  <si>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</si>
  <si>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</si>
  <si>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</si>
  <si>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</si>
  <si>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</si>
  <si>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</si>
  <si>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</si>
  <si>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</si>
  <si>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</si>
  <si>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</si>
  <si>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</si>
  <si>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</si>
  <si>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</si>
  <si>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</si>
  <si>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</si>
  <si>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</si>
  <si>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</si>
  <si>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</si>
  <si>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</si>
  <si>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</si>
  <si>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</si>
  <si>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</si>
  <si>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</si>
  <si>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</si>
  <si>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</si>
  <si>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</si>
  <si>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</si>
  <si>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</si>
  <si>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</si>
  <si>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</si>
  <si>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</si>
  <si>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</si>
  <si>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</si>
  <si>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</si>
  <si>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</si>
  <si>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</si>
  <si>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</si>
  <si>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</si>
  <si>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</si>
  <si>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</si>
  <si>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</si>
  <si>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</si>
  <si>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</si>
  <si>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</si>
  <si>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</si>
  <si>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</si>
  <si>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</si>
  <si>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</si>
  <si>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</si>
  <si>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</si>
  <si>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</si>
  <si>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</si>
  <si>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</si>
  <si>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</si>
  <si>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</si>
  <si>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</si>
  <si>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</si>
  <si>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</si>
  <si>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</si>
  <si>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</si>
  <si>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</si>
  <si>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</si>
  <si>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</si>
  <si>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</si>
  <si>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</si>
  <si>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</si>
  <si>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</si>
  <si>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</si>
  <si>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</si>
  <si>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</si>
  <si>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</si>
  <si>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</si>
  <si>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</si>
  <si>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</si>
  <si>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</si>
  <si>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</si>
  <si>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</si>
  <si>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</si>
  <si>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</si>
  <si>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</si>
  <si>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</si>
  <si>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</si>
  <si>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</si>
  <si>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</si>
  <si>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</si>
  <si>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</si>
  <si>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</si>
  <si>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</si>
  <si>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</si>
  <si>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</si>
  <si>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</si>
  <si>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</si>
  <si>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</si>
  <si>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</si>
  <si>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</si>
  <si>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</si>
  <si>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</si>
  <si>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</si>
  <si>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</si>
  <si>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</si>
  <si>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</si>
  <si>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</si>
  <si>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</si>
  <si>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</si>
  <si>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</si>
  <si>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</si>
  <si>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</si>
  <si>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</si>
  <si>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</si>
  <si>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</si>
  <si>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</si>
  <si>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</si>
  <si>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</si>
  <si>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</si>
  <si>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</si>
  <si>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</si>
  <si>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</si>
  <si>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</si>
  <si>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</si>
  <si>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</si>
  <si>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</si>
  <si>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</si>
  <si>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</si>
  <si>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</si>
  <si>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</si>
  <si>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</si>
  <si>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</si>
  <si>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</si>
  <si>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</si>
  <si>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</si>
  <si>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</si>
  <si>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</si>
  <si>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</si>
  <si>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</si>
  <si>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</si>
  <si>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</si>
  <si>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</si>
  <si>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</si>
  <si>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</si>
  <si>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</si>
  <si>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</si>
  <si>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</si>
  <si>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</si>
  <si>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</si>
  <si>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</si>
  <si>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</si>
  <si>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</si>
  <si>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</si>
  <si>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</si>
  <si>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</si>
  <si>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</si>
  <si>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</si>
  <si>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</si>
  <si>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</si>
  <si>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</si>
  <si>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</si>
  <si>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</si>
  <si>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</si>
  <si>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</si>
  <si>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</si>
  <si>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</si>
  <si>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</si>
  <si>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</si>
  <si>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</si>
  <si>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</si>
  <si>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</si>
  <si>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</si>
  <si>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</si>
  <si>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</si>
  <si>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</si>
  <si>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</si>
  <si>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</si>
  <si>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</si>
  <si>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</si>
  <si>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</si>
  <si>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</si>
  <si>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</si>
  <si>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</si>
  <si>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</si>
  <si>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</si>
  <si>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</si>
  <si>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</si>
  <si>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</si>
  <si>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</si>
  <si>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</si>
  <si>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</si>
  <si>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</si>
  <si>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</si>
  <si>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</si>
  <si>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</si>
  <si>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</si>
  <si>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</si>
  <si>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</si>
  <si>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</si>
  <si>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</si>
  <si>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</si>
  <si>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</si>
  <si>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</si>
  <si>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</si>
  <si>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</si>
  <si>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</si>
  <si>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</si>
  <si>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</si>
  <si>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</si>
  <si>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</si>
  <si>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</si>
  <si>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</si>
  <si>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</si>
  <si>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</si>
  <si>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</si>
  <si>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</si>
  <si>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</si>
  <si>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</si>
  <si>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</si>
  <si>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</si>
  <si>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</si>
  <si>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</si>
  <si>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</si>
  <si>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</si>
  <si>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</si>
  <si>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</si>
  <si>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</si>
  <si>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</si>
  <si>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</si>
  <si>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</si>
  <si>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</si>
  <si>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</si>
  <si>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</si>
  <si>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</si>
  <si>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</si>
  <si>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</si>
  <si>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</si>
  <si>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</si>
  <si>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</si>
  <si>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</si>
  <si>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</si>
  <si>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</si>
  <si>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</si>
  <si>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</si>
  <si>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</si>
  <si>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</si>
  <si>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</si>
  <si>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</si>
  <si>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</si>
  <si>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</si>
  <si>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</si>
  <si>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</si>
  <si>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</si>
  <si>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</si>
  <si>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</si>
  <si>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</si>
  <si>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</si>
  <si>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</si>
  <si>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</si>
  <si>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</si>
  <si>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</si>
  <si>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</si>
  <si>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</si>
  <si>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</si>
  <si>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</si>
  <si>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</si>
  <si>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</si>
  <si>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</si>
  <si>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</si>
  <si>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</si>
  <si>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</si>
  <si>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</si>
  <si>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</si>
  <si>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</si>
  <si>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</si>
  <si>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</si>
  <si>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</si>
  <si>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</si>
  <si>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</si>
  <si>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</si>
  <si>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</si>
  <si>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</si>
  <si>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</si>
  <si>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</si>
  <si>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</si>
  <si>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</si>
  <si>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</si>
  <si>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</si>
  <si>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</si>
  <si>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</si>
  <si>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</si>
  <si>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</si>
  <si>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</si>
  <si>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</si>
  <si>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</si>
  <si>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</si>
  <si>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</si>
  <si>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</si>
  <si>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</si>
  <si>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</si>
  <si>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</si>
  <si>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</si>
  <si>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</si>
  <si>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</si>
  <si>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</si>
  <si>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</si>
  <si>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</si>
  <si>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</si>
  <si>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</si>
  <si>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</si>
  <si>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</si>
  <si>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</si>
  <si>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</si>
  <si>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</si>
  <si>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</si>
  <si>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</si>
  <si>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</si>
  <si>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</si>
  <si>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</si>
  <si>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</si>
  <si>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</si>
  <si>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</si>
  <si>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</si>
  <si>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</si>
  <si>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</si>
  <si>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</si>
  <si>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</si>
  <si>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</si>
  <si>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</si>
  <si>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</si>
  <si>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</si>
  <si>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</si>
  <si>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</si>
  <si>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</si>
  <si>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</si>
  <si>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</si>
  <si>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</si>
  <si>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</si>
  <si>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</si>
  <si>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</si>
  <si>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</si>
  <si>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</si>
  <si>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</si>
  <si>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</si>
  <si>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</si>
  <si>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</si>
  <si>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</si>
  <si>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</si>
  <si>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</si>
  <si>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</si>
  <si>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</si>
  <si>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</si>
  <si>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</si>
  <si>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</si>
  <si>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</si>
  <si>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</si>
  <si>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</si>
  <si>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</si>
  <si>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</si>
  <si>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</si>
  <si>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</si>
  <si>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</si>
  <si>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</si>
  <si>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</si>
  <si>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</si>
  <si>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</si>
  <si>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</si>
  <si>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</si>
  <si>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</si>
  <si>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</si>
  <si>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</si>
  <si>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</si>
  <si>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</si>
  <si>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</si>
  <si>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</si>
  <si>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</si>
  <si>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</si>
  <si>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</si>
  <si>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</si>
  <si>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</si>
  <si>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</si>
  <si>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</si>
  <si>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</si>
  <si>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</si>
  <si>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</si>
  <si>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</si>
  <si>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</si>
  <si>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</si>
  <si>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</si>
  <si>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</si>
  <si>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</si>
  <si>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</si>
  <si>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</si>
  <si>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</si>
  <si>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</si>
  <si>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</si>
  <si>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</si>
  <si>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</si>
  <si>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</si>
  <si>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</si>
  <si>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</si>
  <si>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</si>
  <si>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</si>
  <si>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</si>
  <si>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</si>
  <si>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</si>
  <si>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</si>
  <si>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</si>
  <si>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</si>
  <si>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</si>
  <si>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</si>
  <si>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</si>
  <si>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</si>
  <si>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</si>
  <si>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</si>
  <si>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</si>
  <si>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</si>
  <si>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</si>
  <si>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</si>
  <si>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</si>
  <si>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</si>
  <si>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</si>
  <si>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</si>
  <si>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</si>
  <si>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</si>
  <si>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</si>
  <si>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</si>
  <si>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</si>
  <si>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</si>
  <si>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</si>
  <si>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</si>
  <si>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</si>
  <si>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</si>
  <si>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</si>
  <si>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</si>
  <si>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</si>
  <si>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</si>
  <si>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</si>
  <si>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</si>
  <si>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</si>
  <si>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</si>
  <si>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</si>
  <si>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</si>
  <si>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</si>
  <si>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</si>
  <si>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</si>
  <si>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</si>
  <si>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</si>
  <si>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</si>
  <si>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</si>
  <si>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</si>
  <si>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</si>
  <si>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</si>
  <si>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</si>
  <si>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</si>
  <si>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</si>
  <si>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</si>
  <si>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</si>
  <si>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</si>
  <si>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</si>
  <si>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</si>
  <si>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</si>
  <si>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</si>
  <si>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</si>
  <si>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</si>
  <si>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</si>
  <si>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</si>
  <si>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</si>
  <si>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</si>
  <si>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</si>
  <si>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</si>
  <si>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</si>
  <si>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</si>
  <si>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</si>
  <si>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</si>
  <si>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</si>
  <si>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</si>
  <si>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</si>
  <si>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</si>
  <si>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</si>
  <si>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</si>
  <si>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</si>
  <si>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</si>
  <si>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</si>
  <si>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</si>
  <si>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</si>
  <si>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</si>
  <si>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</si>
  <si>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</si>
  <si>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</si>
  <si>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</si>
  <si>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</si>
  <si>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</si>
  <si>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</si>
  <si>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</si>
  <si>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</si>
  <si>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</si>
  <si>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</si>
  <si>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</si>
  <si>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</si>
  <si>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</si>
  <si>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</si>
  <si>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</si>
  <si>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</si>
  <si>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</si>
  <si>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</si>
  <si>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</si>
  <si>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</si>
  <si>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</si>
  <si>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</si>
  <si>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</si>
  <si>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</si>
  <si>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</si>
  <si>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</si>
  <si>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</si>
  <si>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</si>
  <si>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</si>
  <si>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</si>
  <si>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</si>
  <si>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</si>
  <si>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</si>
  <si>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</si>
  <si>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</si>
  <si>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</si>
  <si>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</si>
  <si>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</si>
  <si>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</si>
  <si>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</si>
  <si>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</si>
  <si>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</si>
  <si>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</si>
  <si>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</si>
  <si>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</si>
  <si>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</si>
  <si>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</si>
  <si>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</si>
  <si>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</si>
  <si>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</si>
  <si>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</si>
  <si>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</si>
  <si>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</si>
  <si>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</si>
  <si>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</si>
  <si>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</si>
  <si>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</si>
  <si>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</si>
  <si>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</si>
  <si>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</si>
  <si>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</si>
  <si>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</si>
  <si>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</si>
  <si>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</si>
  <si>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</si>
  <si>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</si>
  <si>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</si>
  <si>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</si>
  <si>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</si>
  <si>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</si>
  <si>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</si>
  <si>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</si>
  <si>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</si>
  <si>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</si>
  <si>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</si>
  <si>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</si>
  <si>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</si>
  <si>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</si>
  <si>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</si>
  <si>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</si>
  <si>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</si>
  <si>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</si>
  <si>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</si>
  <si>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</si>
  <si>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</si>
  <si>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</si>
  <si>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</si>
  <si>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</si>
  <si>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</si>
  <si>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</si>
  <si>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</si>
  <si>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</si>
  <si>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</si>
  <si>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</si>
  <si>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</si>
  <si>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</si>
  <si>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</si>
  <si>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</si>
  <si>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</si>
  <si>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</si>
  <si>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</si>
  <si>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</si>
  <si>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</si>
  <si>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</si>
  <si>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</si>
  <si>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</si>
  <si>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</si>
  <si>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</si>
  <si>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</si>
  <si>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</si>
  <si>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</si>
  <si>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</si>
  <si>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</si>
  <si>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</si>
  <si>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</si>
  <si>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</si>
  <si>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</si>
  <si>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</si>
  <si>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</si>
  <si>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</si>
  <si>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</si>
  <si>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</si>
  <si>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</si>
  <si>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</si>
  <si>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</si>
  <si>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</si>
  <si>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</si>
  <si>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</si>
  <si>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</si>
  <si>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</si>
  <si>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</si>
  <si>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</si>
  <si>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</si>
  <si>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</si>
  <si>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</si>
  <si>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</si>
  <si>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</si>
  <si>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</si>
  <si>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</si>
  <si>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</si>
  <si>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</si>
  <si>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</si>
  <si>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</si>
  <si>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</si>
  <si>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</si>
  <si>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</si>
  <si>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</si>
  <si>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</si>
  <si>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</si>
  <si>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</si>
  <si>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</si>
  <si>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</si>
  <si>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</si>
  <si>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</si>
  <si>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</si>
  <si>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</si>
  <si>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</si>
  <si>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</si>
  <si>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</si>
  <si>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</si>
  <si>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</si>
  <si>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</si>
  <si>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</si>
  <si>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</si>
  <si>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</si>
  <si>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</si>
  <si>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</si>
  <si>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</si>
  <si>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</si>
  <si>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</si>
  <si>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</si>
  <si>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</si>
  <si>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</si>
  <si>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</si>
  <si>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</si>
  <si>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</si>
  <si>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</si>
  <si>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</si>
  <si>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</si>
  <si>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</si>
  <si>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</si>
  <si>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</si>
  <si>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</si>
  <si>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</si>
  <si>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</si>
  <si>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</si>
  <si>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</si>
  <si>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</si>
  <si>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</si>
  <si>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</si>
  <si>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</si>
  <si>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</si>
  <si>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</si>
  <si>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</si>
  <si>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</si>
  <si>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</si>
  <si>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</si>
  <si>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</si>
  <si>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</si>
  <si>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</si>
  <si>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</si>
  <si>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</si>
  <si>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</si>
  <si>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</si>
  <si>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</si>
  <si>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</si>
  <si>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</si>
  <si>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</si>
  <si>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</si>
  <si>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</si>
  <si>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</si>
  <si>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</si>
  <si>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</si>
  <si>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</si>
  <si>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</si>
  <si>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</si>
  <si>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</si>
  <si>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</si>
  <si>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</si>
  <si>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</si>
  <si>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</si>
  <si>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</si>
  <si>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</si>
  <si>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</si>
  <si>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</si>
  <si>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</si>
  <si>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</si>
  <si>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</si>
  <si>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</si>
  <si>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</si>
  <si>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</si>
  <si>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</si>
  <si>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</si>
  <si>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</si>
  <si>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</si>
  <si>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</si>
  <si>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</si>
  <si>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</si>
  <si>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</si>
  <si>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</si>
  <si>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</si>
  <si>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</si>
  <si>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</si>
  <si>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</si>
  <si>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</si>
  <si>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</si>
  <si>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</si>
  <si>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</si>
  <si>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</si>
  <si>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</si>
  <si>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</si>
  <si>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</si>
  <si>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</si>
  <si>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</si>
  <si>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</si>
  <si>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</si>
  <si>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</si>
  <si>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</si>
  <si>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</si>
  <si>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</si>
  <si>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</si>
  <si>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</si>
  <si>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</si>
  <si>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</si>
  <si>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</si>
  <si>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</si>
  <si>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</si>
  <si>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</si>
  <si>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</si>
  <si>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</si>
  <si>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</si>
  <si>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</si>
  <si>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</si>
  <si>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</si>
  <si>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</si>
  <si>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</si>
  <si>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</si>
  <si>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</si>
  <si>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</si>
  <si>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</si>
  <si>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</si>
  <si>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</si>
  <si>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</si>
  <si>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</si>
  <si>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</si>
  <si>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</si>
  <si>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</si>
  <si>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</si>
  <si>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</si>
  <si>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</si>
  <si>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</si>
  <si>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</si>
  <si>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</si>
  <si>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</si>
  <si>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</si>
  <si>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</si>
  <si>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</si>
  <si>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</si>
  <si>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</si>
  <si>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</si>
  <si>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</si>
  <si>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</si>
  <si>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</si>
  <si>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</si>
  <si>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</si>
  <si>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</si>
  <si>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</si>
  <si>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</si>
  <si>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</si>
  <si>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</si>
  <si>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</si>
  <si>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</si>
  <si>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</si>
  <si>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</si>
  <si>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</si>
  <si>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</si>
  <si>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</si>
  <si>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</si>
  <si>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</si>
  <si>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</si>
  <si>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</si>
  <si>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</si>
  <si>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</si>
  <si>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</si>
  <si>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</si>
  <si>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</si>
  <si>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</si>
  <si>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</si>
  <si>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</si>
  <si>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</si>
  <si>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</si>
  <si>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</si>
  <si>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</si>
  <si>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</si>
  <si>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</si>
  <si>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</si>
  <si>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</si>
  <si>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</si>
  <si>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</si>
  <si>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</si>
  <si>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</si>
  <si>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</si>
  <si>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</si>
  <si>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</si>
  <si>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</si>
  <si>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</si>
  <si>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</si>
  <si>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</si>
  <si>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</si>
  <si>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</si>
  <si>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</si>
  <si>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</si>
  <si>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</si>
  <si>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</si>
  <si>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</si>
  <si>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</si>
  <si>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</si>
  <si>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</si>
  <si>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</si>
  <si>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</si>
  <si>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</si>
  <si>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</si>
  <si>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</si>
  <si>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</si>
  <si>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</si>
  <si>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</si>
  <si>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</si>
  <si>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</si>
  <si>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</si>
  <si>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</si>
  <si>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</si>
  <si>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</si>
  <si>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</si>
  <si>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</si>
  <si>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</si>
  <si>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</si>
  <si>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</si>
  <si>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</si>
  <si>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</si>
  <si>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</si>
  <si>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</si>
  <si>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</si>
  <si>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</si>
  <si>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</si>
  <si>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</si>
  <si>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</si>
  <si>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</si>
  <si>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</si>
  <si>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</si>
  <si>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</si>
  <si>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</si>
  <si>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</si>
  <si>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</si>
  <si>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</si>
  <si>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</si>
  <si>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</si>
  <si>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</si>
  <si>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</si>
  <si>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</si>
  <si>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</si>
  <si>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</si>
  <si>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</si>
  <si>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</si>
  <si>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</si>
  <si>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</si>
  <si>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</si>
  <si>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</si>
  <si>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</si>
  <si>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</si>
  <si>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</si>
  <si>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</si>
  <si>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</si>
  <si>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</si>
  <si>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</si>
  <si>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</si>
  <si>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</si>
  <si>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</si>
  <si>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</si>
  <si>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</si>
  <si>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</si>
  <si>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</si>
  <si>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</si>
  <si>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</si>
  <si>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</si>
  <si>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</si>
  <si>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</si>
  <si>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</si>
  <si>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</si>
  <si>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</si>
  <si>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</si>
  <si>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</si>
  <si>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</si>
  <si>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</si>
  <si>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</si>
  <si>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</si>
  <si>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</si>
  <si>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</si>
  <si>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</si>
  <si>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</si>
  <si>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</si>
  <si>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</si>
  <si>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</si>
  <si>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</si>
  <si>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</si>
  <si>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</si>
  <si>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</si>
  <si>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</si>
  <si>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</si>
  <si>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</si>
  <si>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</si>
  <si>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</si>
  <si>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</si>
  <si>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</si>
  <si>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</si>
  <si>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</si>
  <si>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</si>
  <si>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</si>
  <si>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</si>
  <si>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</si>
  <si>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</si>
  <si>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</si>
  <si>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</si>
  <si>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</si>
  <si>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</si>
  <si>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</si>
  <si>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</si>
  <si>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</si>
  <si>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</si>
  <si>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</si>
  <si>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</si>
  <si>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</si>
  <si>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</si>
  <si>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</si>
  <si>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</si>
  <si>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</si>
  <si>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</si>
  <si>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</si>
  <si>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</si>
  <si>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</si>
  <si>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</si>
  <si>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</si>
  <si>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</si>
  <si>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</si>
  <si>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</si>
  <si>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</si>
  <si>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</si>
  <si>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</si>
  <si>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</si>
  <si>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</si>
  <si>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</si>
  <si>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</si>
  <si>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</si>
  <si>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</si>
  <si>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</si>
  <si>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</si>
  <si>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</si>
  <si>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</si>
  <si>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</si>
  <si>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</si>
  <si>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</si>
  <si>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</si>
  <si>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</si>
  <si>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</si>
  <si>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</si>
  <si>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</si>
  <si>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</si>
  <si>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</si>
  <si>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</si>
  <si>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</si>
  <si>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</si>
  <si>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</si>
  <si>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</si>
  <si>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</si>
  <si>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</si>
  <si>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</si>
  <si>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</si>
  <si>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</si>
  <si>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</si>
  <si>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</si>
  <si>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</si>
  <si>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</si>
  <si>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</si>
  <si>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</si>
  <si>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</si>
  <si>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</si>
  <si>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</si>
  <si>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</si>
  <si>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</si>
  <si>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</si>
  <si>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</si>
  <si>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</si>
  <si>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</si>
  <si>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</si>
  <si>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</si>
  <si>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</si>
  <si>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</si>
  <si>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</si>
  <si>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</si>
  <si>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</si>
  <si>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</si>
  <si>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</si>
  <si>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</si>
  <si>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</si>
  <si>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</si>
  <si>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</si>
  <si>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</si>
  <si>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</si>
  <si>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</si>
  <si>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</si>
  <si>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</si>
  <si>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</si>
  <si>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</si>
  <si>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</si>
  <si>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</si>
  <si>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</si>
  <si>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</si>
  <si>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</si>
  <si>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</si>
  <si>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</si>
  <si>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</si>
  <si>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</si>
  <si>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</si>
  <si>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</si>
  <si>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</si>
  <si>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</si>
  <si>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</si>
  <si>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</si>
  <si>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</si>
  <si>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</si>
  <si>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</si>
  <si>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</si>
  <si>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</si>
  <si>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</si>
  <si>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</si>
  <si>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</si>
  <si>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</si>
  <si>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</si>
  <si>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</si>
  <si>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</si>
  <si>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</si>
  <si>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</si>
  <si>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</si>
  <si>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</si>
  <si>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</si>
  <si>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</si>
  <si>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</si>
  <si>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</si>
  <si>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</si>
  <si>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</si>
  <si>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</si>
  <si>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</si>
  <si>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</si>
  <si>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</si>
  <si>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</si>
  <si>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</si>
  <si>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</si>
  <si>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</si>
  <si>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</si>
  <si>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</si>
  <si>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</si>
  <si>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</si>
  <si>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</si>
  <si>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</si>
  <si>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</si>
  <si>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</si>
  <si>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</si>
  <si>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</si>
  <si>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</si>
  <si>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</si>
  <si>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</si>
  <si>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</si>
  <si>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</si>
  <si>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</si>
  <si>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</si>
  <si>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</si>
  <si>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</si>
  <si>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</si>
  <si>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</si>
  <si>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</si>
  <si>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</si>
  <si>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</si>
  <si>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</si>
  <si>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</si>
  <si>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</si>
  <si>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</si>
  <si>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</si>
  <si>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</si>
  <si>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</si>
  <si>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</si>
  <si>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</si>
  <si>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</si>
  <si>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</si>
  <si>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</si>
  <si>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</si>
  <si>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</si>
  <si>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</si>
  <si>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</si>
  <si>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</si>
  <si>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</si>
  <si>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</si>
  <si>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</si>
  <si>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</si>
  <si>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</si>
  <si>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</si>
  <si>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</si>
  <si>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</si>
  <si>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</si>
  <si>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</si>
  <si>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</si>
  <si>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</si>
  <si>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</si>
  <si>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</si>
  <si>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</si>
  <si>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</si>
  <si>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</si>
  <si>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</si>
  <si>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</si>
  <si>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</si>
  <si>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</si>
  <si>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</si>
  <si>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</si>
  <si>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</si>
  <si>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</si>
  <si>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</si>
  <si>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</si>
  <si>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</si>
  <si>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</si>
  <si>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</si>
  <si>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</si>
  <si>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</si>
  <si>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</si>
  <si>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</si>
  <si>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</si>
  <si>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</si>
  <si>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</si>
  <si>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</si>
  <si>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</si>
  <si>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</si>
  <si>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</si>
  <si>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</si>
  <si>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</si>
  <si>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</si>
  <si>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</si>
  <si>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</si>
  <si>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</si>
  <si>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</si>
  <si>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</si>
  <si>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</si>
  <si>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</si>
  <si>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</si>
  <si>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</si>
  <si>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</si>
  <si>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</si>
  <si>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</si>
  <si>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</si>
  <si>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</si>
  <si>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</si>
  <si>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</si>
  <si>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</si>
  <si>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</si>
  <si>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</si>
  <si>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</si>
  <si>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</si>
  <si>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</si>
  <si>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</si>
  <si>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</si>
  <si>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</si>
  <si>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</si>
  <si>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</si>
  <si>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</si>
  <si>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</si>
  <si>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</si>
  <si>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</si>
  <si>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</si>
  <si>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</si>
  <si>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</si>
  <si>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</si>
  <si>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</si>
  <si>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</si>
  <si>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</si>
  <si>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</si>
  <si>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</si>
  <si>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</si>
  <si>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</si>
  <si>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</si>
  <si>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</si>
  <si>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</si>
  <si>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</si>
  <si>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</si>
  <si>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</si>
  <si>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</si>
  <si>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</si>
  <si>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</si>
  <si>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</si>
  <si>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</si>
  <si>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</si>
  <si>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</si>
  <si>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</si>
  <si>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</si>
  <si>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</si>
  <si>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</si>
  <si>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</si>
  <si>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</si>
  <si>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</si>
  <si>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</si>
  <si>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</si>
  <si>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</si>
  <si>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</si>
  <si>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</si>
  <si>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</si>
  <si>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</si>
  <si>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</si>
  <si>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</si>
  <si>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</si>
  <si>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</si>
  <si>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</si>
  <si>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</si>
  <si>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</si>
  <si>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</si>
  <si>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</si>
  <si>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</si>
  <si>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</si>
  <si>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</si>
  <si>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</si>
  <si>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</si>
  <si>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</si>
  <si>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</si>
  <si>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</si>
  <si>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</si>
  <si>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</si>
  <si>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</si>
  <si>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</si>
  <si>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</si>
  <si>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</si>
  <si>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</si>
  <si>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</si>
  <si>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</si>
  <si>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</si>
  <si>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</si>
  <si>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</si>
  <si>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</si>
  <si>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</si>
  <si>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</si>
  <si>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</si>
  <si>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</si>
  <si>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</si>
  <si>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</si>
  <si>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</si>
  <si>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</si>
  <si>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</si>
  <si>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</si>
  <si>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</si>
  <si>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</si>
  <si>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</si>
  <si>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</si>
  <si>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</si>
  <si>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</si>
  <si>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</si>
  <si>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</si>
  <si>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</si>
  <si>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</si>
  <si>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</si>
  <si>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</si>
  <si>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</si>
  <si>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</si>
  <si>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</si>
  <si>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</si>
  <si>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</si>
  <si>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</si>
  <si>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</si>
  <si>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</si>
  <si>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</si>
  <si>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</si>
  <si>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</si>
  <si>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</si>
  <si>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</si>
  <si>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</si>
  <si>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</si>
  <si>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</si>
  <si>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</si>
  <si>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</si>
  <si>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</si>
  <si>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</si>
  <si>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</si>
  <si>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</si>
  <si>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</si>
  <si>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</si>
  <si>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</si>
  <si>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</si>
  <si>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</si>
  <si>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</si>
  <si>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</si>
  <si>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</si>
  <si>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</si>
  <si>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</si>
  <si>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</si>
  <si>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</si>
  <si>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</si>
  <si>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</si>
  <si>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</si>
  <si>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</si>
  <si>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</si>
  <si>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</si>
  <si>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</si>
  <si>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</si>
  <si>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</si>
  <si>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</si>
  <si>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</si>
  <si>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</si>
  <si>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</si>
  <si>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</si>
  <si>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</si>
  <si>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</si>
  <si>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</si>
  <si>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</si>
  <si>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</si>
  <si>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</si>
  <si>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</si>
  <si>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</si>
  <si>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</si>
  <si>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</si>
  <si>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</si>
  <si>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</si>
  <si>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</si>
  <si>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</si>
  <si>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</si>
  <si>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</si>
  <si>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</si>
  <si>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</si>
  <si>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</si>
  <si>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</si>
  <si>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</si>
  <si>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</si>
  <si>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</si>
  <si>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</si>
  <si>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</si>
  <si>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</si>
  <si>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</si>
  <si>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</si>
  <si>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</si>
  <si>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</si>
  <si>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</si>
  <si>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</si>
  <si>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</si>
  <si>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</si>
  <si>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</si>
  <si>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</si>
  <si>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</si>
  <si>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</si>
  <si>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</si>
  <si>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</si>
  <si>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</si>
  <si>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</si>
  <si>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</si>
  <si>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</si>
  <si>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</si>
  <si>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</si>
  <si>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</si>
  <si>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</si>
  <si>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</si>
  <si>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</si>
  <si>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</si>
  <si>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</si>
  <si>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</si>
  <si>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</si>
  <si>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</si>
  <si>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</si>
  <si>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</si>
  <si>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</si>
  <si>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</si>
  <si>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</si>
  <si>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</si>
  <si>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</si>
  <si>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</si>
  <si>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</si>
  <si>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</si>
  <si>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</si>
  <si>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</si>
  <si>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</si>
  <si>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</si>
  <si>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</si>
  <si>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</si>
  <si>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</si>
  <si>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</si>
  <si>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</si>
  <si>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</si>
  <si>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</si>
  <si>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</si>
  <si>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</si>
  <si>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</si>
  <si>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</si>
  <si>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</si>
  <si>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</si>
  <si>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</si>
  <si>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</si>
  <si>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</si>
  <si>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</si>
  <si>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</si>
  <si>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</si>
  <si>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</si>
  <si>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</si>
  <si>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</si>
  <si>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</si>
  <si>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</si>
  <si>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</si>
  <si>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</si>
  <si>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</si>
  <si>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</si>
  <si>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</si>
  <si>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</si>
  <si>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</si>
  <si>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</si>
  <si>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</si>
  <si>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</si>
  <si>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</si>
  <si>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</si>
  <si>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</si>
  <si>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</si>
  <si>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</si>
  <si>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</si>
  <si>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</si>
  <si>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</si>
  <si>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</si>
  <si>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</si>
  <si>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</si>
  <si>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</si>
  <si>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</si>
  <si>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</si>
  <si>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</si>
  <si>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</si>
  <si>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</si>
  <si>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</si>
  <si>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</si>
  <si>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</si>
  <si>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</si>
  <si>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</si>
  <si>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</si>
  <si>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</si>
  <si>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</si>
  <si>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</si>
  <si>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</si>
  <si>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</si>
  <si>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</si>
  <si>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</si>
  <si>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</si>
  <si>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</si>
  <si>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</si>
  <si>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</si>
  <si>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</si>
  <si>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</si>
  <si>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</si>
  <si>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</si>
  <si>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</si>
  <si>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</si>
  <si>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</si>
  <si>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</si>
  <si>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</si>
  <si>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</si>
  <si>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</si>
  <si>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</si>
  <si>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</si>
  <si>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</si>
  <si>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</si>
  <si>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</si>
  <si>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</si>
  <si>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</si>
  <si>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</si>
  <si>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</si>
  <si>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</si>
  <si>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</si>
  <si>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</si>
  <si>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</si>
  <si>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</si>
  <si>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</si>
  <si>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</si>
  <si>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</si>
  <si>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</si>
  <si>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</si>
  <si>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</si>
  <si>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</si>
  <si>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</si>
  <si>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</si>
  <si>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</si>
  <si>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</si>
  <si>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</si>
  <si>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</si>
  <si>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</si>
  <si>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</si>
  <si>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</si>
  <si>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</si>
  <si>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</si>
  <si>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</si>
  <si>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</si>
  <si>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</si>
  <si>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</si>
  <si>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</si>
  <si>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</si>
  <si>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</si>
  <si>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</si>
  <si>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</si>
  <si>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</si>
  <si>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</si>
  <si>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</si>
  <si>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</si>
  <si>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</si>
  <si>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</si>
  <si>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</si>
  <si>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</si>
  <si>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</si>
  <si>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</si>
  <si>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</si>
  <si>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</si>
  <si>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</si>
  <si>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</si>
  <si>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</si>
  <si>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</si>
  <si>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</si>
  <si>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</si>
  <si>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</si>
  <si>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</si>
  <si>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</si>
  <si>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</si>
  <si>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</si>
  <si>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</si>
  <si>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</si>
  <si>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</si>
  <si>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</si>
  <si>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</si>
  <si>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</si>
  <si>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</si>
  <si>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</si>
  <si>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</si>
  <si>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</si>
  <si>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</si>
  <si>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</si>
  <si>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</si>
  <si>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</si>
  <si>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</si>
  <si>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</si>
  <si>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</si>
  <si>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</si>
  <si>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</si>
  <si>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</si>
  <si>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</si>
  <si>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</si>
  <si>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</si>
  <si>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</si>
  <si>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</si>
  <si>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</si>
  <si>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</si>
  <si>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</si>
  <si>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</si>
  <si>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</si>
  <si>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</si>
  <si>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</si>
  <si>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</si>
  <si>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</si>
  <si>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</si>
  <si>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</si>
  <si>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</si>
  <si>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</si>
  <si>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</si>
  <si>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</si>
  <si>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</si>
  <si>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</si>
  <si>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</si>
  <si>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</si>
  <si>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</si>
  <si>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</si>
  <si>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</si>
  <si>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</si>
  <si>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</si>
  <si>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</si>
  <si>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</si>
  <si>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</si>
  <si>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</si>
  <si>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</si>
  <si>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</si>
  <si>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</si>
  <si>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</si>
  <si>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</si>
  <si>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</si>
  <si>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</si>
  <si>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</si>
  <si>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</si>
  <si>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</si>
  <si>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</si>
  <si>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</si>
  <si>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</si>
  <si>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</si>
  <si>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</si>
  <si>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</si>
  <si>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</si>
  <si>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</si>
  <si>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</si>
  <si>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</si>
  <si>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</si>
  <si>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</si>
  <si>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</si>
  <si>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</si>
  <si>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</si>
  <si>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</si>
  <si>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</si>
  <si>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</si>
  <si>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</si>
  <si>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</si>
  <si>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</si>
  <si>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</si>
  <si>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</si>
  <si>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</si>
  <si>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</si>
  <si>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</si>
  <si>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</si>
  <si>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</si>
  <si>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</si>
  <si>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</si>
  <si>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</si>
  <si>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</si>
  <si>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</si>
  <si>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</si>
  <si>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</si>
  <si>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</si>
  <si>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</si>
  <si>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</si>
  <si>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</si>
  <si>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</si>
  <si>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</si>
  <si>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</si>
  <si>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</si>
  <si>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</si>
  <si>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</si>
  <si>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</si>
  <si>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</si>
  <si>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</si>
  <si>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</si>
  <si>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</si>
  <si>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</si>
  <si>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</si>
  <si>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</si>
  <si>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</si>
  <si>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</si>
  <si>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</si>
  <si>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</si>
  <si>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</si>
  <si>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</si>
  <si>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</si>
  <si>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</si>
  <si>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</si>
  <si>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</si>
  <si>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</si>
  <si>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</si>
  <si>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</si>
  <si>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</si>
  <si>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</si>
  <si>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</si>
  <si>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</si>
  <si>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</si>
  <si>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</si>
  <si>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</si>
  <si>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</si>
  <si>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</si>
  <si>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</si>
  <si>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</si>
  <si>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</si>
  <si>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</si>
  <si>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</si>
  <si>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</si>
  <si>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</si>
  <si>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</si>
  <si>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</si>
  <si>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</si>
  <si>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</si>
  <si>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</si>
  <si>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</si>
  <si>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</si>
  <si>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</si>
  <si>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</si>
  <si>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</si>
  <si>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</si>
  <si>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</si>
  <si>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</si>
  <si>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</si>
  <si>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</si>
  <si>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</si>
  <si>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</si>
  <si>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</si>
  <si>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</si>
  <si>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</si>
  <si>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</si>
  <si>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</si>
  <si>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</si>
  <si>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</si>
  <si>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</si>
  <si>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</si>
  <si>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</si>
  <si>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</si>
  <si>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</si>
  <si>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</si>
  <si>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</si>
  <si>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</si>
  <si>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</si>
  <si>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</si>
  <si>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</si>
  <si>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</si>
  <si>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</si>
  <si>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</si>
  <si>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</si>
  <si>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</si>
  <si>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</si>
  <si>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</si>
  <si>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</si>
  <si>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</si>
  <si>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</si>
  <si>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</si>
  <si>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</si>
  <si>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</si>
  <si>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</si>
  <si>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</si>
  <si>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</si>
  <si>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</si>
  <si>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</si>
  <si>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</si>
  <si>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</si>
  <si>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</si>
  <si>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</si>
  <si>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</si>
  <si>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</si>
  <si>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</si>
  <si>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</si>
  <si>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</si>
  <si>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</si>
  <si>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</si>
  <si>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</si>
  <si>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</si>
  <si>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</si>
  <si>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</si>
  <si>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</si>
  <si>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</si>
  <si>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</si>
  <si>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</si>
  <si>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</si>
  <si>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</si>
  <si>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</si>
  <si>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</si>
  <si>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</si>
  <si>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</si>
  <si>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</si>
  <si>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</si>
  <si>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</si>
  <si>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</si>
  <si>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</si>
  <si>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</si>
  <si>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</si>
  <si>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</si>
  <si>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</si>
  <si>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</si>
  <si>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</si>
  <si>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</si>
  <si>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</si>
  <si>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</si>
  <si>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</si>
  <si>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</si>
  <si>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</si>
  <si>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</si>
  <si>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</si>
  <si>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</si>
  <si>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</si>
  <si>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</si>
  <si>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</si>
  <si>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</si>
  <si>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</si>
  <si>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</si>
  <si>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</si>
  <si>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</si>
  <si>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</si>
  <si>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</si>
  <si>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</si>
  <si>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</si>
  <si>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</si>
  <si>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</si>
  <si>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</si>
  <si>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</si>
  <si>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</si>
  <si>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</si>
  <si>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</si>
  <si>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</si>
  <si>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</si>
  <si>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</si>
  <si>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</si>
  <si>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</si>
  <si>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</si>
  <si>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</si>
  <si>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</si>
  <si>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</si>
  <si>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</si>
  <si>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</si>
  <si>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</si>
  <si>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</si>
  <si>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</si>
  <si>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</si>
  <si>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</si>
  <si>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</si>
  <si>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</si>
  <si>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</si>
  <si>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</si>
  <si>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</si>
  <si>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</si>
  <si>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</si>
  <si>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</si>
  <si>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</si>
  <si>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</si>
  <si>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</si>
  <si>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</si>
  <si>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</si>
  <si>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</si>
  <si>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</si>
  <si>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</si>
  <si>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</si>
  <si>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</si>
  <si>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</si>
  <si>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</si>
  <si>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</si>
  <si>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</si>
  <si>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</si>
  <si>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</si>
  <si>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</si>
  <si>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</si>
  <si>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</si>
  <si>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</si>
  <si>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</si>
  <si>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</si>
  <si>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</si>
  <si>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</si>
  <si>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</si>
  <si>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</si>
  <si>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</si>
  <si>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</si>
  <si>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</si>
  <si>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</si>
  <si>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</si>
  <si>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</si>
  <si>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</si>
  <si>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</si>
  <si>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</si>
  <si>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</si>
  <si>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</si>
  <si>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</si>
  <si>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</si>
  <si>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</si>
  <si>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</si>
  <si>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</si>
  <si>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</si>
  <si>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</si>
  <si>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</si>
  <si>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</si>
  <si>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</si>
  <si>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</si>
  <si>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</si>
  <si>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</si>
  <si>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</si>
  <si>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</si>
  <si>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</si>
  <si>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</si>
  <si>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</si>
  <si>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</si>
  <si>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</si>
  <si>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</si>
  <si>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</si>
  <si>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</si>
  <si>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</si>
  <si>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</si>
  <si>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</si>
  <si>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</si>
  <si>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</si>
  <si>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</si>
  <si>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</si>
  <si>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</si>
  <si>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</si>
  <si>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</si>
  <si>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</si>
  <si>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</si>
  <si>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</si>
  <si>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</si>
  <si>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</si>
  <si>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</si>
  <si>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</si>
  <si>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</si>
  <si>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</si>
  <si>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</si>
  <si>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</si>
  <si>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</si>
  <si>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</si>
  <si>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</si>
  <si>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</si>
  <si>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</si>
  <si>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</si>
  <si>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</si>
  <si>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</si>
  <si>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</si>
  <si>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</si>
  <si>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</si>
  <si>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</si>
  <si>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</si>
  <si>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</si>
  <si>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</si>
  <si>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</si>
  <si>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</si>
  <si>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</si>
  <si>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</si>
  <si>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</si>
  <si>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</si>
  <si>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</si>
  <si>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</si>
  <si>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</si>
  <si>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</si>
  <si>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</si>
  <si>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</si>
  <si>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</si>
  <si>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</si>
  <si>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</si>
  <si>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</si>
  <si>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</si>
  <si>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</si>
  <si>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</si>
  <si>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</si>
  <si>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</si>
  <si>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</si>
  <si>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</si>
  <si>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</si>
  <si>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</si>
  <si>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</si>
  <si>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</si>
  <si>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</si>
  <si>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</si>
  <si>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</si>
  <si>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</si>
  <si>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</si>
  <si>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</si>
  <si>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</si>
  <si>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</si>
  <si>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</si>
  <si>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</si>
  <si>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</si>
  <si>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</si>
  <si>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</si>
  <si>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</si>
  <si>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</si>
  <si>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</si>
  <si>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</si>
  <si>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</si>
  <si>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</si>
  <si>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</si>
  <si>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</si>
  <si>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</si>
  <si>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</si>
  <si>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</si>
  <si>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</si>
  <si>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</si>
  <si>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</si>
  <si>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</si>
  <si>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</si>
  <si>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</si>
  <si>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</si>
  <si>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</si>
  <si>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</si>
  <si>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</si>
  <si>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</si>
  <si>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</si>
  <si>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</si>
  <si>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</si>
  <si>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</si>
  <si>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</si>
  <si>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</si>
  <si>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</si>
  <si>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</si>
  <si>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</si>
  <si>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</si>
  <si>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</si>
  <si>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</si>
  <si>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</si>
  <si>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</si>
  <si>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</si>
  <si>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</si>
  <si>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</si>
  <si>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</si>
  <si>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</si>
  <si>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</si>
  <si>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</si>
  <si>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</si>
  <si>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</si>
  <si>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</si>
  <si>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</si>
  <si>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</si>
  <si>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</si>
  <si>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</si>
  <si>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</si>
  <si>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</si>
  <si>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</si>
  <si>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</si>
  <si>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</si>
  <si>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</si>
  <si>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</si>
  <si>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</si>
  <si>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</si>
  <si>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</si>
  <si>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</si>
  <si>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</si>
  <si>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</si>
  <si>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</si>
  <si>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</si>
  <si>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</si>
  <si>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</si>
  <si>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</si>
  <si>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</si>
  <si>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</si>
  <si>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</si>
  <si>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</si>
  <si>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</si>
  <si>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</si>
  <si>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</si>
  <si>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</si>
  <si>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</si>
  <si>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</si>
  <si>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</si>
  <si>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</si>
  <si>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</si>
  <si>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</si>
  <si>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</si>
  <si>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</si>
  <si>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</si>
  <si>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</si>
  <si>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</si>
  <si>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</si>
  <si>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</si>
  <si>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</si>
  <si>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</si>
  <si>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</si>
  <si>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</si>
  <si>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</si>
  <si>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</si>
  <si>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</si>
  <si>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</si>
  <si>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</si>
  <si>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</si>
  <si>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</si>
  <si>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</si>
  <si>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</si>
  <si>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</si>
  <si>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</si>
  <si>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</si>
  <si>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</si>
  <si>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</si>
  <si>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</si>
  <si>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</si>
  <si>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</si>
  <si>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</si>
  <si>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</si>
  <si>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</si>
  <si>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</si>
  <si>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</si>
  <si>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</si>
  <si>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</si>
  <si>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</si>
  <si>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</si>
  <si>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</si>
  <si>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</si>
  <si>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</si>
  <si>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</si>
  <si>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</si>
  <si>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</si>
  <si>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</si>
  <si>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</si>
  <si>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</si>
  <si>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</si>
  <si>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</si>
  <si>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</si>
  <si>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</si>
  <si>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</si>
  <si>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</si>
  <si>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</si>
  <si>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</si>
  <si>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</si>
  <si>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</si>
  <si>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</si>
  <si>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</si>
  <si>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</si>
  <si>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</si>
  <si>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</si>
  <si>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</si>
  <si>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</si>
  <si>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</si>
  <si>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</si>
  <si>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</si>
  <si>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</si>
  <si>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</si>
  <si>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</si>
  <si>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</si>
  <si>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</si>
  <si>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</si>
  <si>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</si>
  <si>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</si>
  <si>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</si>
  <si>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</si>
  <si>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</si>
  <si>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</si>
  <si>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</si>
  <si>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</si>
  <si>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</si>
  <si>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</si>
  <si>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</si>
  <si>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</si>
  <si>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</si>
  <si>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</si>
  <si>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</si>
  <si>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</si>
  <si>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</si>
  <si>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</si>
  <si>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</si>
  <si>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</si>
  <si>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</si>
  <si>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</si>
  <si>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</si>
  <si>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</si>
  <si>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</si>
  <si>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</si>
  <si>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</si>
  <si>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</si>
  <si>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</si>
  <si>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</si>
  <si>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</si>
  <si>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</si>
  <si>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</si>
  <si>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</si>
  <si>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</si>
  <si>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</si>
  <si>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</si>
  <si>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</si>
  <si>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</si>
  <si>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</si>
  <si>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</si>
  <si>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</si>
  <si>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</si>
  <si>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</si>
  <si>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</si>
  <si>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</si>
  <si>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</si>
  <si>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</si>
  <si>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</si>
  <si>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</si>
  <si>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</si>
  <si>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</si>
  <si>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</si>
  <si>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</si>
  <si>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</si>
  <si>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</si>
  <si>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</si>
  <si>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</si>
  <si>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</si>
  <si>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</si>
  <si>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</si>
  <si>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</si>
  <si>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</si>
  <si>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</si>
  <si>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</si>
  <si>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</si>
  <si>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</si>
  <si>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</si>
  <si>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</si>
  <si>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</si>
  <si>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</si>
  <si>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</si>
  <si>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</si>
  <si>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</si>
  <si>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抵押</t>
  </si>
  <si>
    <t>房地产抵押价值</t>
  </si>
  <si>
    <t>北京市</t>
  </si>
  <si>
    <t>自然人</t>
  </si>
  <si>
    <t>国建华</t>
    <phoneticPr fontId="6" type="noConversion"/>
  </si>
  <si>
    <r>
      <rPr>
        <sz val="10"/>
        <color theme="9" tint="-0.249977111117893"/>
        <rFont val="宋体"/>
        <family val="3"/>
        <charset val="134"/>
      </rPr>
      <t>东城区南竹杆胡同</t>
    </r>
    <r>
      <rPr>
        <sz val="10"/>
        <color theme="9" tint="-0.249977111117893"/>
        <rFont val="Arial"/>
        <family val="2"/>
      </rPr>
      <t>2</t>
    </r>
    <r>
      <rPr>
        <sz val="10"/>
        <color theme="9" tint="-0.249977111117893"/>
        <rFont val="宋体"/>
        <family val="3"/>
        <charset val="134"/>
      </rPr>
      <t>号</t>
    </r>
    <r>
      <rPr>
        <sz val="10"/>
        <color theme="9" tint="-0.249977111117893"/>
        <rFont val="Arial"/>
        <family val="2"/>
      </rPr>
      <t/>
    </r>
    <phoneticPr fontId="6" type="noConversion"/>
  </si>
  <si>
    <t>地上</t>
  </si>
  <si>
    <t>是</t>
  </si>
  <si>
    <t>成新度</t>
  </si>
  <si>
    <t>收益法 (元)</t>
  </si>
  <si>
    <t>现房</t>
  </si>
  <si>
    <t>办公项目</t>
  </si>
  <si>
    <t>楼面单价</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</si>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</sst>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54" xfId="0" applyFont="1" applyFill="1" applyBorder="1" applyAlignment="1" applyProtection="1">
      <alignmen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北京市东城区南竹杆胡同2号房地产抵押价值预评估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受贵公司委托，我公司对北京市东城区南竹杆胡同2号房地产抵押价值进行了预评估。</v>
      </c>
    </row>
    <row r="7" spans="1:2" s="1203" customFormat="1">
      <c r="A7" s="1201" t="s">
        <v>566</v>
      </c>
      <c r="B7" s="1202" t="str">
        <f>'预评函-1'!A7</f>
        <v>估价对象为北京市东城区南竹杆胡同2号房地产，为国建华所有。根据《国有土地使用证》[]，估价对象（分摊）出让国有建设用地使用权面积为0平方米，建筑面积为195.03平方米。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东城区南竹杆胡同2号房地产,属国建华开发建设的办公项目，该项目尚在开发建设中。根据《国有土地使用证》[]，估价对象（分摊）出让国有建设用地使用权面积为0平方米，规划建筑面积为195.03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东城区南竹杆胡同2号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2024年9月4日</v>
      </c>
    </row>
    <row r="13" spans="1:2" s="1203" customFormat="1">
      <c r="A13" s="1201" t="s">
        <v>529</v>
      </c>
      <c r="B13" s="1202" t="str">
        <f>'预评函-1'!A18</f>
        <v>本次估价的“房地产价值”是指在正常市场情况下，在价值时点2024年9月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6.2" thickBot="1">
      <c r="A18" s="1204" t="s">
        <v>534</v>
      </c>
      <c r="B18" s="1205" t="str">
        <f>'预评函-1'!A24</f>
        <v>本次评估采用的主估价方法为基准地价系数修正法和基准地价系数修正法。</v>
      </c>
    </row>
    <row r="19" spans="1:2" s="1200" customFormat="1" ht="16.2"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北京市东城区南竹杆胡同2号房地产</v>
      </c>
    </row>
    <row r="42" spans="1:2" s="1203" customFormat="1" ht="31.2">
      <c r="A42" s="1201" t="s">
        <v>590</v>
      </c>
      <c r="B42" s="1202" t="str">
        <f>'预评函-3'!B2</f>
        <v>建筑面积</v>
      </c>
    </row>
    <row r="43" spans="1:2" s="1203" customFormat="1">
      <c r="A43" s="1201" t="s">
        <v>591</v>
      </c>
      <c r="B43" s="1202">
        <f>'预评函-3'!B4</f>
        <v>195.03</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估价师知悉的法定优先受偿款</v>
      </c>
    </row>
    <row r="58" spans="1:2" s="1200" customFormat="1" ht="16.2"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2579</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2580</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2293</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南竹杆胡同2号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8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9"/>
      <c r="B54" s="1554" t="s">
        <v>385</v>
      </c>
      <c r="C54" s="1551" t="s">
        <v>583</v>
      </c>
    </row>
    <row r="55" spans="1:4">
      <c r="A55" s="3489"/>
      <c r="B55" s="1554" t="s">
        <v>386</v>
      </c>
      <c r="C55" s="1551" t="s">
        <v>584</v>
      </c>
    </row>
    <row r="56" spans="1:4">
      <c r="A56" s="3489"/>
      <c r="B56" s="1554" t="s">
        <v>387</v>
      </c>
      <c r="C56" s="1551" t="s">
        <v>588</v>
      </c>
    </row>
    <row r="57" spans="1:4">
      <c r="A57" s="348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1875" defaultRowHeight="14.4"/>
  <cols>
    <col min="1" max="7" width="15.21875" style="3015"/>
    <col min="8" max="8" width="5.44140625" style="3015" customWidth="1"/>
    <col min="9" max="13" width="9.44140625" style="3057" customWidth="1"/>
    <col min="14" max="18" width="9.44140625" style="3015" customWidth="1"/>
    <col min="19" max="16384" width="15.21875" style="3015"/>
  </cols>
  <sheetData>
    <row r="1" spans="1:18">
      <c r="A1" s="3012" t="s">
        <v>2502</v>
      </c>
      <c r="B1" s="3013"/>
      <c r="C1" s="3013"/>
      <c r="D1" s="3013"/>
      <c r="E1" s="3013"/>
      <c r="F1" s="3014"/>
      <c r="I1" s="3436" t="s">
        <v>2595</v>
      </c>
      <c r="J1" s="3225"/>
      <c r="K1" s="3225"/>
      <c r="L1" s="3225"/>
      <c r="M1" s="3225"/>
      <c r="N1" s="3437"/>
      <c r="O1" s="3437"/>
      <c r="P1" s="3437"/>
      <c r="Q1" s="3437"/>
      <c r="R1" s="3437"/>
    </row>
    <row r="2" spans="1:18">
      <c r="A2" s="3016"/>
      <c r="B2" s="3017"/>
      <c r="C2" s="3017"/>
      <c r="D2" s="3017"/>
      <c r="E2" s="3017"/>
      <c r="F2" s="3018"/>
      <c r="I2" s="3490" t="s">
        <v>2582</v>
      </c>
      <c r="J2" s="3490"/>
      <c r="K2" s="3490"/>
      <c r="L2" s="3490"/>
      <c r="M2" s="3490"/>
      <c r="N2" s="3490"/>
      <c r="O2" s="3490"/>
      <c r="P2" s="3490"/>
      <c r="Q2" s="3490"/>
      <c r="R2" s="3490"/>
    </row>
    <row r="3" spans="1:18">
      <c r="A3" s="3019" t="s">
        <v>2503</v>
      </c>
      <c r="B3" s="3020">
        <f>项目基本情况!D3</f>
        <v>45539</v>
      </c>
      <c r="C3" s="3022"/>
      <c r="D3" s="3022"/>
      <c r="E3" s="3022"/>
      <c r="F3" s="3018"/>
      <c r="I3" s="3438"/>
      <c r="J3" s="3438" t="s">
        <v>2586</v>
      </c>
      <c r="K3" s="3438" t="s">
        <v>2587</v>
      </c>
      <c r="L3" s="3438" t="s">
        <v>2588</v>
      </c>
      <c r="M3" s="3438" t="s">
        <v>2589</v>
      </c>
      <c r="N3" s="3439" t="s">
        <v>2590</v>
      </c>
      <c r="O3" s="3439" t="s">
        <v>2591</v>
      </c>
      <c r="P3" s="3439" t="s">
        <v>2592</v>
      </c>
      <c r="Q3" s="3439" t="s">
        <v>2593</v>
      </c>
      <c r="R3" s="3439" t="s">
        <v>2594</v>
      </c>
    </row>
    <row r="4" spans="1:18">
      <c r="A4" s="3019" t="s">
        <v>2504</v>
      </c>
      <c r="B4" s="3022" t="s">
        <v>2505</v>
      </c>
      <c r="C4" s="3022" t="s">
        <v>2506</v>
      </c>
      <c r="D4" s="3022" t="s">
        <v>2507</v>
      </c>
      <c r="E4" s="3022" t="s">
        <v>2508</v>
      </c>
      <c r="F4" s="3018"/>
      <c r="I4" s="3438" t="s">
        <v>2583</v>
      </c>
      <c r="J4" s="3438">
        <v>80</v>
      </c>
      <c r="K4" s="3438">
        <v>70</v>
      </c>
      <c r="L4" s="3438">
        <v>20</v>
      </c>
      <c r="M4" s="3438">
        <v>30</v>
      </c>
      <c r="N4" s="3022">
        <v>45</v>
      </c>
      <c r="O4" s="3022">
        <v>60</v>
      </c>
      <c r="P4" s="3022">
        <v>50</v>
      </c>
      <c r="Q4" s="3022">
        <v>20</v>
      </c>
      <c r="R4" s="3022">
        <v>375</v>
      </c>
    </row>
    <row r="5" spans="1:18">
      <c r="A5" s="3023">
        <v>40</v>
      </c>
      <c r="B5" s="3020">
        <v>46375</v>
      </c>
      <c r="C5" s="3022">
        <f>ROUNDDOWN(MIN((B5-B3)/365,A5),2)</f>
        <v>2.29</v>
      </c>
      <c r="D5" s="3024">
        <f>IF(ISERROR(ROUND(POWER(1+E5,A5-C5)*(POWER(1+E5,C5)-1)/(POWER(1+E5,A5)-1),3)),0,ROUND(POWER(1+E5,A5-C5)*(POWER(1+E5,C5)-1)/(POWER(1+E5,A5)-1),4))</f>
        <v>0.1085</v>
      </c>
      <c r="E5" s="3025">
        <v>0.04</v>
      </c>
      <c r="F5" s="3018"/>
      <c r="I5" s="3438" t="s">
        <v>2584</v>
      </c>
      <c r="J5" s="3438">
        <v>70</v>
      </c>
      <c r="K5" s="3438">
        <v>60</v>
      </c>
      <c r="L5" s="3438">
        <v>15</v>
      </c>
      <c r="M5" s="3438">
        <v>25</v>
      </c>
      <c r="N5" s="3022">
        <v>40</v>
      </c>
      <c r="O5" s="3022">
        <v>50</v>
      </c>
      <c r="P5" s="3022">
        <v>40</v>
      </c>
      <c r="Q5" s="3022">
        <v>15</v>
      </c>
      <c r="R5" s="3022">
        <v>315</v>
      </c>
    </row>
    <row r="6" spans="1:18">
      <c r="A6" s="3023">
        <v>50</v>
      </c>
      <c r="B6" s="3020">
        <v>50028</v>
      </c>
      <c r="C6" s="3022">
        <f>ROUNDDOWN(MIN((B6-B3)/365,A6),2)</f>
        <v>12.29</v>
      </c>
      <c r="D6" s="3024">
        <f>IF(ISERROR(ROUND(POWER(1+E6,A6-C6)*(POWER(1+E6,C6)-1)/(POWER(1+E6,A6)-1),3)),0,ROUND(POWER(1+E6,A6-C6)*(POWER(1+E6,C6)-1)/(POWER(1+E6,A6)-1),4))</f>
        <v>0.4451</v>
      </c>
      <c r="E6" s="3025">
        <v>0.04</v>
      </c>
      <c r="F6" s="3018"/>
      <c r="I6" s="3438" t="s">
        <v>2585</v>
      </c>
      <c r="J6" s="3438">
        <v>60</v>
      </c>
      <c r="K6" s="3438">
        <v>50</v>
      </c>
      <c r="L6" s="3438">
        <v>10</v>
      </c>
      <c r="M6" s="3438">
        <v>20</v>
      </c>
      <c r="N6" s="3022">
        <v>35</v>
      </c>
      <c r="O6" s="3022">
        <v>40</v>
      </c>
      <c r="P6" s="3022">
        <v>30</v>
      </c>
      <c r="Q6" s="3022">
        <v>10</v>
      </c>
      <c r="R6" s="3022">
        <v>255</v>
      </c>
    </row>
    <row r="7" spans="1:18">
      <c r="A7" s="3023">
        <v>70</v>
      </c>
      <c r="B7" s="3020">
        <v>57333</v>
      </c>
      <c r="C7" s="3022">
        <f>ROUNDDOWN(MIN((B7-B3)/365,A7),2)</f>
        <v>32.31</v>
      </c>
      <c r="D7" s="3024">
        <f>IF(ISERROR(ROUND(POWER(1+E7,A7-C7)*(POWER(1+E7,C7)-1)/(POWER(1+E7,A7)-1),3)),0,ROUND(POWER(1+E7,A7-C7)*(POWER(1+E7,C7)-1)/(POWER(1+E7,A7)-1),4))</f>
        <v>0.76770000000000005</v>
      </c>
      <c r="E7" s="3025">
        <v>0.04</v>
      </c>
      <c r="F7" s="3018"/>
    </row>
    <row r="8" spans="1:18">
      <c r="A8" s="3016"/>
      <c r="B8" s="3017"/>
      <c r="C8" s="3017"/>
      <c r="D8" s="3017"/>
      <c r="E8" s="3017"/>
      <c r="F8" s="3018"/>
    </row>
    <row r="9" spans="1:18">
      <c r="A9" s="3019" t="s">
        <v>2509</v>
      </c>
      <c r="B9" s="3022"/>
      <c r="C9" s="3022"/>
      <c r="D9" s="3022"/>
      <c r="E9" s="3022"/>
      <c r="F9" s="3026"/>
    </row>
    <row r="10" spans="1:18">
      <c r="A10" s="3019" t="s">
        <v>2510</v>
      </c>
      <c r="B10" s="3022"/>
      <c r="C10" s="3022"/>
      <c r="D10" s="3022" t="s">
        <v>2508</v>
      </c>
      <c r="E10" s="3022"/>
      <c r="F10" s="3026" t="s">
        <v>2507</v>
      </c>
    </row>
    <row r="11" spans="1:18">
      <c r="A11" s="3019" t="s">
        <v>2511</v>
      </c>
      <c r="B11" s="3027">
        <v>70</v>
      </c>
      <c r="C11" s="3022" t="s">
        <v>2512</v>
      </c>
      <c r="D11" s="3028">
        <v>4.4999999999999998E-2</v>
      </c>
      <c r="E11" s="3022" t="s">
        <v>2513</v>
      </c>
      <c r="F11" s="3029">
        <f>ROUND(1-(1/(POWER(1+D11,B11))),4)</f>
        <v>0.95409999999999995</v>
      </c>
    </row>
    <row r="12" spans="1:18">
      <c r="A12" s="3019" t="s">
        <v>2514</v>
      </c>
      <c r="B12" s="3027">
        <v>40</v>
      </c>
      <c r="C12" s="3022" t="s">
        <v>2515</v>
      </c>
      <c r="D12" s="3028">
        <v>4.4999999999999998E-2</v>
      </c>
      <c r="E12" s="3022" t="s">
        <v>2516</v>
      </c>
      <c r="F12" s="3029">
        <f>ROUND(1-(1/(POWER(1+D12,B12))),4)</f>
        <v>0.82809999999999995</v>
      </c>
    </row>
    <row r="13" spans="1:18">
      <c r="A13" s="3019" t="s">
        <v>2517</v>
      </c>
      <c r="B13" s="3022"/>
      <c r="C13" s="3022"/>
      <c r="D13" s="3017"/>
      <c r="E13" s="3017"/>
      <c r="F13" s="3018"/>
    </row>
    <row r="14" spans="1:18">
      <c r="A14" s="3019" t="s">
        <v>2518</v>
      </c>
      <c r="B14" s="3027">
        <v>5000</v>
      </c>
      <c r="C14" s="3021"/>
      <c r="D14" s="3017"/>
      <c r="E14" s="3017"/>
      <c r="F14" s="3018"/>
    </row>
    <row r="15" spans="1:18">
      <c r="A15" s="3019" t="s">
        <v>2519</v>
      </c>
      <c r="B15" s="3022">
        <f>ROUND(B14*F12/F11,2)</f>
        <v>4339.6899999999996</v>
      </c>
      <c r="C15" s="3022">
        <f>ROUND(F12/F11,4)</f>
        <v>0.8679</v>
      </c>
      <c r="D15" s="3017"/>
      <c r="E15" s="3017"/>
      <c r="F15" s="3018"/>
    </row>
    <row r="16" spans="1:18">
      <c r="A16" s="3019" t="s">
        <v>2520</v>
      </c>
      <c r="B16" s="3022"/>
      <c r="C16" s="3022"/>
      <c r="D16" s="3017"/>
      <c r="E16" s="3017"/>
      <c r="F16" s="3018"/>
    </row>
    <row r="17" spans="1:13">
      <c r="A17" s="3019" t="s">
        <v>2519</v>
      </c>
      <c r="B17" s="3028">
        <v>4810</v>
      </c>
      <c r="C17" s="3021"/>
      <c r="D17" s="3017"/>
      <c r="E17" s="3017"/>
      <c r="F17" s="3018"/>
    </row>
    <row r="18" spans="1:13" ht="15" thickBot="1">
      <c r="A18" s="3030" t="s">
        <v>2518</v>
      </c>
      <c r="B18" s="3031">
        <f>ROUND(B17*F11/F12,2)</f>
        <v>5541.87</v>
      </c>
      <c r="C18" s="3031">
        <f>ROUND(F11/F12,4)</f>
        <v>1.1521999999999999</v>
      </c>
      <c r="D18" s="3032"/>
      <c r="E18" s="3032"/>
      <c r="F18" s="3033"/>
    </row>
    <row r="19" spans="1:13" ht="15" thickBot="1"/>
    <row r="20" spans="1:13" s="3068" customFormat="1" ht="15" thickTop="1">
      <c r="A20" s="3065" t="s">
        <v>2521</v>
      </c>
      <c r="B20" s="3066"/>
      <c r="C20" s="3066"/>
      <c r="D20" s="3066"/>
      <c r="E20" s="3066"/>
      <c r="F20" s="3066"/>
      <c r="G20" s="3067"/>
      <c r="I20" s="3069" t="s">
        <v>2566</v>
      </c>
      <c r="J20" s="3069" t="s">
        <v>2571</v>
      </c>
      <c r="K20" s="3069"/>
      <c r="L20" s="3069"/>
      <c r="M20" s="3069"/>
    </row>
    <row r="21" spans="1:13">
      <c r="A21" s="3034"/>
      <c r="B21" s="3035" t="s">
        <v>2522</v>
      </c>
      <c r="C21" s="3035" t="s">
        <v>2523</v>
      </c>
      <c r="D21" s="3035" t="s">
        <v>2524</v>
      </c>
      <c r="E21" s="3035" t="s">
        <v>2525</v>
      </c>
      <c r="F21" s="3035" t="s">
        <v>2526</v>
      </c>
      <c r="G21" s="3036" t="s">
        <v>2527</v>
      </c>
      <c r="I21" s="3057">
        <v>5</v>
      </c>
      <c r="J21" s="3057">
        <v>54.2</v>
      </c>
    </row>
    <row r="22" spans="1:13">
      <c r="A22" s="3034" t="s">
        <v>2528</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2529</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2569</v>
      </c>
      <c r="M23" s="3057" t="s">
        <v>2570</v>
      </c>
    </row>
    <row r="24" spans="1:13">
      <c r="A24" s="3034" t="s">
        <v>2530</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2568</v>
      </c>
      <c r="M24" s="3057">
        <v>10</v>
      </c>
    </row>
    <row r="25" spans="1:13">
      <c r="A25" s="3034" t="s">
        <v>2531</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2572</v>
      </c>
      <c r="M25" s="3057">
        <v>8</v>
      </c>
    </row>
    <row r="26" spans="1:13">
      <c r="A26" s="3039"/>
      <c r="B26" s="3040"/>
      <c r="C26" s="3040"/>
      <c r="D26" s="3040"/>
      <c r="E26" s="3040"/>
      <c r="F26" s="3040"/>
      <c r="G26" s="3041"/>
      <c r="I26" s="3057">
        <v>30</v>
      </c>
      <c r="J26" s="3057">
        <v>90.5</v>
      </c>
      <c r="K26" s="3057">
        <f t="shared" si="2"/>
        <v>4.2000000000000028</v>
      </c>
      <c r="L26" s="3057" t="s">
        <v>2573</v>
      </c>
      <c r="M26" s="3057">
        <v>5</v>
      </c>
    </row>
    <row r="27" spans="1:13">
      <c r="A27" s="3039" t="s">
        <v>2532</v>
      </c>
      <c r="B27" s="3040"/>
      <c r="C27" s="3040"/>
      <c r="D27" s="3040"/>
      <c r="E27" s="3040"/>
      <c r="F27" s="3040"/>
      <c r="G27" s="3041"/>
      <c r="I27" s="3057">
        <v>35</v>
      </c>
      <c r="J27" s="3057">
        <v>93.8</v>
      </c>
      <c r="K27" s="3057">
        <f t="shared" si="2"/>
        <v>3.2999999999999972</v>
      </c>
      <c r="L27" s="3057" t="s">
        <v>2574</v>
      </c>
      <c r="M27" s="3057">
        <v>3</v>
      </c>
    </row>
    <row r="28" spans="1:13">
      <c r="A28" s="3039" t="s">
        <v>2533</v>
      </c>
      <c r="B28" s="3040"/>
      <c r="C28" s="3040"/>
      <c r="D28" s="3040"/>
      <c r="E28" s="3040"/>
      <c r="F28" s="3040"/>
      <c r="G28" s="3041"/>
      <c r="I28" s="3057">
        <v>40</v>
      </c>
      <c r="J28" s="3057">
        <v>96.4</v>
      </c>
      <c r="K28" s="3057">
        <f t="shared" si="2"/>
        <v>2.6000000000000085</v>
      </c>
      <c r="L28" s="3057" t="s">
        <v>2575</v>
      </c>
      <c r="M28" s="3057">
        <v>2</v>
      </c>
    </row>
    <row r="29" spans="1:13">
      <c r="A29" s="3039" t="s">
        <v>2534</v>
      </c>
      <c r="B29" s="3040"/>
      <c r="C29" s="3040"/>
      <c r="D29" s="3040"/>
      <c r="E29" s="3040"/>
      <c r="F29" s="3040"/>
      <c r="G29" s="3041"/>
      <c r="I29" s="3057">
        <v>45</v>
      </c>
      <c r="J29" s="3057">
        <v>98.4</v>
      </c>
      <c r="K29" s="3057">
        <f t="shared" si="2"/>
        <v>2</v>
      </c>
    </row>
    <row r="30" spans="1:13">
      <c r="A30" s="3039" t="s">
        <v>2535</v>
      </c>
      <c r="B30" s="3040"/>
      <c r="C30" s="3040"/>
      <c r="D30" s="3040"/>
      <c r="E30" s="3040"/>
      <c r="F30" s="3040"/>
      <c r="G30" s="3041"/>
      <c r="I30" s="3057">
        <v>50</v>
      </c>
      <c r="J30" s="3057">
        <v>100</v>
      </c>
      <c r="K30" s="3057">
        <f t="shared" si="2"/>
        <v>1.5999999999999943</v>
      </c>
    </row>
    <row r="31" spans="1:13">
      <c r="A31" s="3039" t="s">
        <v>2536</v>
      </c>
      <c r="B31" s="3040"/>
      <c r="C31" s="3040"/>
      <c r="D31" s="3040"/>
      <c r="E31" s="3040"/>
      <c r="F31" s="3040"/>
      <c r="G31" s="3041"/>
      <c r="I31" s="3057" t="s">
        <v>2567</v>
      </c>
    </row>
    <row r="32" spans="1:13">
      <c r="A32" s="3039" t="s">
        <v>2537</v>
      </c>
      <c r="B32" s="3040"/>
      <c r="C32" s="3040"/>
      <c r="D32" s="3040"/>
      <c r="E32" s="3040"/>
      <c r="F32" s="3040"/>
      <c r="G32" s="3041"/>
    </row>
    <row r="33" spans="1:13">
      <c r="A33" s="3039" t="s">
        <v>2538</v>
      </c>
      <c r="B33" s="3040"/>
      <c r="C33" s="3040"/>
      <c r="D33" s="3040"/>
      <c r="E33" s="3040"/>
      <c r="F33" s="3040"/>
      <c r="G33" s="3041"/>
      <c r="I33" s="3057" t="s">
        <v>2566</v>
      </c>
      <c r="J33" s="3057" t="s">
        <v>2576</v>
      </c>
    </row>
    <row r="34" spans="1:13">
      <c r="A34" s="3039" t="s">
        <v>2539</v>
      </c>
      <c r="B34" s="3040"/>
      <c r="C34" s="3040"/>
      <c r="D34" s="3040"/>
      <c r="E34" s="3040"/>
      <c r="F34" s="3040"/>
      <c r="G34" s="3041"/>
      <c r="I34" s="3057">
        <v>5</v>
      </c>
      <c r="J34" s="3057">
        <v>55.1</v>
      </c>
    </row>
    <row r="35" spans="1:13">
      <c r="A35" s="3039" t="s">
        <v>2540</v>
      </c>
      <c r="B35" s="3040"/>
      <c r="C35" s="3040"/>
      <c r="D35" s="3040"/>
      <c r="E35" s="3040"/>
      <c r="F35" s="3040"/>
      <c r="G35" s="3041"/>
      <c r="I35" s="3057">
        <v>10</v>
      </c>
      <c r="J35" s="3057">
        <v>67</v>
      </c>
      <c r="K35" s="3057">
        <f>J35-J34</f>
        <v>11.899999999999999</v>
      </c>
    </row>
    <row r="36" spans="1:13">
      <c r="A36" s="3039" t="s">
        <v>2541</v>
      </c>
      <c r="B36" s="3040"/>
      <c r="C36" s="3040"/>
      <c r="D36" s="3040"/>
      <c r="E36" s="3040"/>
      <c r="F36" s="3040"/>
      <c r="G36" s="3041"/>
      <c r="I36" s="3057">
        <v>15</v>
      </c>
      <c r="J36" s="3057">
        <v>76.3</v>
      </c>
      <c r="K36" s="3057">
        <f t="shared" ref="K36:K41" si="3">J36-J35</f>
        <v>9.2999999999999972</v>
      </c>
      <c r="L36" s="3057" t="s">
        <v>2569</v>
      </c>
      <c r="M36" s="3057" t="s">
        <v>2570</v>
      </c>
    </row>
    <row r="37" spans="1:13">
      <c r="A37" s="3039" t="s">
        <v>2542</v>
      </c>
      <c r="B37" s="3040"/>
      <c r="C37" s="3040"/>
      <c r="D37" s="3040"/>
      <c r="E37" s="3040"/>
      <c r="F37" s="3040"/>
      <c r="G37" s="3041"/>
      <c r="I37" s="3057">
        <v>20</v>
      </c>
      <c r="J37" s="3057">
        <v>83.6</v>
      </c>
      <c r="K37" s="3057">
        <f t="shared" si="3"/>
        <v>7.2999999999999972</v>
      </c>
      <c r="L37" s="3057" t="s">
        <v>2568</v>
      </c>
      <c r="M37" s="3057">
        <v>10</v>
      </c>
    </row>
    <row r="38" spans="1:13">
      <c r="A38" s="3039" t="s">
        <v>2543</v>
      </c>
      <c r="B38" s="3040"/>
      <c r="C38" s="3040"/>
      <c r="D38" s="3040"/>
      <c r="E38" s="3040"/>
      <c r="F38" s="3040"/>
      <c r="G38" s="3041"/>
      <c r="I38" s="3057">
        <v>25</v>
      </c>
      <c r="J38" s="3057">
        <v>89.3</v>
      </c>
      <c r="K38" s="3057">
        <f t="shared" si="3"/>
        <v>5.7000000000000028</v>
      </c>
      <c r="L38" s="3057" t="s">
        <v>2572</v>
      </c>
      <c r="M38" s="3057">
        <v>8</v>
      </c>
    </row>
    <row r="39" spans="1:13">
      <c r="A39" s="3039"/>
      <c r="B39" s="3040"/>
      <c r="C39" s="3040"/>
      <c r="D39" s="3040"/>
      <c r="E39" s="3040"/>
      <c r="F39" s="3040"/>
      <c r="G39" s="3041"/>
      <c r="I39" s="3057">
        <v>30</v>
      </c>
      <c r="J39" s="3057">
        <v>93.8</v>
      </c>
      <c r="K39" s="3057">
        <f t="shared" si="3"/>
        <v>4.5</v>
      </c>
      <c r="L39" s="3057" t="s">
        <v>2573</v>
      </c>
      <c r="M39" s="3057">
        <v>6</v>
      </c>
    </row>
    <row r="40" spans="1:13">
      <c r="A40" s="3042" t="s">
        <v>2544</v>
      </c>
      <c r="B40" s="3043"/>
      <c r="C40" s="3043"/>
      <c r="D40" s="3043"/>
      <c r="E40" s="3043"/>
      <c r="F40" s="3043"/>
      <c r="G40" s="3044"/>
      <c r="I40" s="3057">
        <v>35</v>
      </c>
      <c r="J40" s="3057">
        <v>97.2</v>
      </c>
      <c r="K40" s="3057">
        <f t="shared" si="3"/>
        <v>3.4000000000000057</v>
      </c>
      <c r="L40" s="3057" t="s">
        <v>2574</v>
      </c>
      <c r="M40" s="3057">
        <v>3</v>
      </c>
    </row>
    <row r="41" spans="1:13">
      <c r="A41" s="3045" t="s">
        <v>2545</v>
      </c>
      <c r="B41" s="3046" t="s">
        <v>2546</v>
      </c>
      <c r="C41" s="3047" t="s">
        <v>2547</v>
      </c>
      <c r="D41" s="3047" t="s">
        <v>2548</v>
      </c>
      <c r="E41" s="3048"/>
      <c r="F41" s="3049"/>
      <c r="G41" s="3050"/>
      <c r="I41" s="3057">
        <v>40</v>
      </c>
      <c r="J41" s="3057">
        <v>100</v>
      </c>
      <c r="K41" s="3057">
        <f t="shared" si="3"/>
        <v>2.7999999999999972</v>
      </c>
    </row>
    <row r="42" spans="1:13">
      <c r="A42" s="3045" t="s">
        <v>2549</v>
      </c>
      <c r="B42" s="3046" t="s">
        <v>2550</v>
      </c>
      <c r="C42" s="3047" t="s">
        <v>2551</v>
      </c>
      <c r="D42" s="3051" t="s">
        <v>2552</v>
      </c>
      <c r="E42" s="3043" t="s">
        <v>2553</v>
      </c>
      <c r="F42" s="3043"/>
      <c r="G42" s="3044"/>
    </row>
    <row r="43" spans="1:13">
      <c r="A43" s="3045" t="s">
        <v>2554</v>
      </c>
      <c r="B43" s="3046" t="s">
        <v>2555</v>
      </c>
      <c r="C43" s="3047" t="s">
        <v>2556</v>
      </c>
      <c r="D43" s="3047" t="s">
        <v>2557</v>
      </c>
      <c r="E43" s="3048" t="s">
        <v>2558</v>
      </c>
      <c r="F43" s="3049"/>
      <c r="G43" s="3050"/>
      <c r="I43" s="3057" t="s">
        <v>2566</v>
      </c>
      <c r="J43" s="3057" t="s">
        <v>2577</v>
      </c>
    </row>
    <row r="44" spans="1:13">
      <c r="A44" s="3045" t="s">
        <v>2559</v>
      </c>
      <c r="B44" s="3046" t="s">
        <v>2560</v>
      </c>
      <c r="C44" s="3047" t="s">
        <v>2561</v>
      </c>
      <c r="D44" s="3051">
        <v>0.5</v>
      </c>
      <c r="E44" s="3048" t="s">
        <v>2562</v>
      </c>
      <c r="F44" s="3049"/>
      <c r="G44" s="3050"/>
      <c r="I44" s="3057">
        <v>30</v>
      </c>
      <c r="J44" s="3057">
        <v>81.7</v>
      </c>
    </row>
    <row r="45" spans="1:13" ht="15" thickBot="1">
      <c r="A45" s="3052" t="s">
        <v>2563</v>
      </c>
      <c r="B45" s="3053" t="s">
        <v>2550</v>
      </c>
      <c r="C45" s="3054" t="s">
        <v>2550</v>
      </c>
      <c r="D45" s="3054" t="s">
        <v>2564</v>
      </c>
      <c r="E45" s="3055" t="s">
        <v>2565</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31" sqref="F31"/>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499" t="str">
        <f>IF(B10="北京市","北京市",C10)&amp;F10&amp;IF(结果表!G1="在建","出让国有建设用地使用权及在建建筑物",IF(结果表!G1="土地","出让国有建设用地使用权",))&amp;B9&amp;"预评估"</f>
        <v>北京市东城区南竹杆胡同2号房地产抵押价值预评估</v>
      </c>
      <c r="C1" s="3500"/>
      <c r="D1" s="3500"/>
      <c r="E1" s="3500"/>
      <c r="F1" s="3500"/>
      <c r="G1" s="3500"/>
      <c r="H1" s="3500"/>
      <c r="I1" s="3501"/>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北京市东城区南竹杆胡同2号房地产抵押价值</v>
      </c>
      <c r="T1" s="1745"/>
      <c r="U1" s="1745"/>
      <c r="V1" s="1745"/>
      <c r="W1" s="1745"/>
      <c r="X1" s="1745"/>
      <c r="Y1" s="1745"/>
      <c r="Z1" s="1745"/>
      <c r="AA1" s="1745"/>
      <c r="AB1" s="1745"/>
    </row>
    <row r="2" spans="1:30">
      <c r="A2" s="2367" t="s">
        <v>2169</v>
      </c>
      <c r="B2" s="2371"/>
      <c r="C2" s="2372"/>
      <c r="D2" s="2669"/>
      <c r="E2" s="2661"/>
      <c r="F2" s="2661"/>
      <c r="G2" s="2662"/>
      <c r="H2" s="2662"/>
      <c r="I2" s="2662"/>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北京市东城区南竹杆胡同2号房地产</v>
      </c>
      <c r="T2" s="1745"/>
      <c r="U2" s="1745"/>
      <c r="V2" s="1745"/>
      <c r="W2" s="1745"/>
      <c r="X2" s="1745"/>
      <c r="Y2" s="1745"/>
      <c r="Z2" s="1745"/>
      <c r="AA2" s="1745"/>
      <c r="AB2" s="1745"/>
    </row>
    <row r="3" spans="1:30">
      <c r="A3" s="302" t="s">
        <v>2170</v>
      </c>
      <c r="B3" s="2373"/>
      <c r="C3" s="2374" t="s">
        <v>2171</v>
      </c>
      <c r="D3" s="2373">
        <v>45539</v>
      </c>
      <c r="E3" s="2662"/>
      <c r="F3" s="2662"/>
      <c r="G3" s="2662"/>
      <c r="H3" s="2662"/>
      <c r="I3" s="2662"/>
      <c r="J3" s="2470"/>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8"/>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3"/>
      <c r="F5" s="2663"/>
      <c r="G5" s="2663"/>
      <c r="H5" s="2663"/>
      <c r="I5" s="2663"/>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1"/>
      <c r="F6" s="2663"/>
      <c r="G6" s="2663"/>
      <c r="H6" s="2663"/>
      <c r="I6" s="2663"/>
      <c r="J6" s="2438"/>
      <c r="K6" s="2614" t="str">
        <f>IF(COUNTIF(B6,"*上海银行*"),"上海银行","")</f>
        <v/>
      </c>
      <c r="L6" s="2612"/>
      <c r="M6" s="2612"/>
      <c r="N6" s="2438"/>
      <c r="O6" s="2449"/>
      <c r="P6" s="2438"/>
      <c r="Q6" s="2438"/>
      <c r="R6" s="2438"/>
    </row>
    <row r="7" spans="1:30">
      <c r="A7" s="2383" t="s">
        <v>2175</v>
      </c>
      <c r="B7" s="2387"/>
      <c r="C7" s="2385"/>
      <c r="D7" s="2386"/>
      <c r="E7" s="2661"/>
      <c r="F7" s="2663"/>
      <c r="G7" s="2663"/>
      <c r="H7" s="2663"/>
      <c r="I7" s="2663"/>
      <c r="J7" s="2438"/>
      <c r="K7" s="2615"/>
      <c r="L7" s="2612"/>
      <c r="M7" s="2612"/>
      <c r="N7" s="2438"/>
      <c r="O7" s="2449"/>
      <c r="P7" s="2438"/>
      <c r="Q7" s="2438"/>
      <c r="R7" s="2438"/>
    </row>
    <row r="8" spans="1:30">
      <c r="A8" s="2388" t="s">
        <v>2176</v>
      </c>
      <c r="B8" s="2389" t="s">
        <v>3385</v>
      </c>
      <c r="C8" s="2390"/>
      <c r="D8" s="3502" t="s">
        <v>2177</v>
      </c>
      <c r="E8" s="2391" t="s">
        <v>3386</v>
      </c>
      <c r="F8" s="2392"/>
      <c r="G8" s="2662"/>
      <c r="H8" s="2662"/>
      <c r="I8" s="2662"/>
      <c r="J8" s="2438"/>
      <c r="K8" s="2613"/>
      <c r="L8" s="2612"/>
      <c r="M8" s="2612"/>
      <c r="N8" s="2438"/>
      <c r="O8" s="2449"/>
      <c r="P8" s="2438"/>
      <c r="Q8" s="2438"/>
      <c r="R8" s="2438"/>
    </row>
    <row r="9" spans="1:30" ht="13.8" thickBot="1">
      <c r="A9" s="2393" t="s">
        <v>2178</v>
      </c>
      <c r="B9" s="2394" t="s">
        <v>3386</v>
      </c>
      <c r="C9" s="2395"/>
      <c r="D9" s="3503"/>
      <c r="E9" s="2394"/>
      <c r="F9" s="2396"/>
      <c r="G9" s="2664"/>
      <c r="H9" s="2664"/>
      <c r="I9" s="2664"/>
      <c r="J9" s="2438"/>
      <c r="K9" s="2615"/>
      <c r="L9" s="2612"/>
      <c r="M9" s="2612"/>
      <c r="N9" s="2438"/>
      <c r="O9" s="2449"/>
      <c r="P9" s="2438"/>
      <c r="Q9" s="2438"/>
      <c r="R9" s="2438"/>
    </row>
    <row r="10" spans="1:30" ht="13.8" thickTop="1">
      <c r="A10" s="2397" t="s">
        <v>2179</v>
      </c>
      <c r="B10" s="2398" t="s">
        <v>3387</v>
      </c>
      <c r="C10" s="2399"/>
      <c r="D10" s="2382"/>
      <c r="E10" s="2400" t="s">
        <v>2180</v>
      </c>
      <c r="F10" s="2665" t="s">
        <v>3390</v>
      </c>
      <c r="G10" s="2666"/>
      <c r="H10" s="2667"/>
      <c r="I10" s="2668"/>
      <c r="J10" s="2438"/>
      <c r="K10" s="2615"/>
      <c r="L10" s="2612"/>
      <c r="M10" s="2612"/>
      <c r="N10" s="2438"/>
      <c r="O10" s="2449"/>
      <c r="P10" s="2438"/>
      <c r="Q10" s="2438"/>
      <c r="R10" s="2438"/>
    </row>
    <row r="11" spans="1:30">
      <c r="A11" s="2401" t="s">
        <v>2181</v>
      </c>
      <c r="B11" s="2402" t="s">
        <v>3388</v>
      </c>
      <c r="C11" s="3448" t="s">
        <v>3389</v>
      </c>
      <c r="D11" s="2403"/>
      <c r="E11" s="2370"/>
      <c r="F11" s="2370"/>
      <c r="G11" s="2370"/>
      <c r="H11" s="2370"/>
      <c r="I11" s="2370"/>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2578</v>
      </c>
      <c r="J12" s="3061"/>
      <c r="K12" s="2612"/>
      <c r="L12" s="2612"/>
      <c r="M12" s="2438"/>
      <c r="N12" s="2449"/>
      <c r="O12" s="2438"/>
      <c r="P12" s="2438"/>
      <c r="Q12" s="2438"/>
      <c r="AD12" s="1745"/>
    </row>
    <row r="13" spans="1:30">
      <c r="A13" s="3422" t="s">
        <v>3334</v>
      </c>
      <c r="B13" s="2406" t="s">
        <v>2190</v>
      </c>
      <c r="C13" s="856"/>
      <c r="D13" s="856"/>
      <c r="E13" s="856"/>
      <c r="F13" s="856"/>
      <c r="G13" s="856"/>
      <c r="H13" s="856"/>
      <c r="I13" s="856"/>
      <c r="J13" s="3061"/>
      <c r="K13" s="2612"/>
      <c r="L13" s="2612"/>
      <c r="M13" s="2438"/>
      <c r="N13" s="2449"/>
      <c r="O13" s="2438"/>
      <c r="P13" s="2438"/>
      <c r="Q13" s="2438"/>
      <c r="AD13" s="1745"/>
    </row>
    <row r="14" spans="1:30">
      <c r="A14" s="1081"/>
      <c r="B14" s="2406" t="s">
        <v>2191</v>
      </c>
      <c r="C14" s="2407"/>
      <c r="D14" s="2407"/>
      <c r="E14" s="2407"/>
      <c r="F14" s="2407"/>
      <c r="G14" s="2407"/>
      <c r="H14" s="2407"/>
      <c r="I14" s="2407"/>
      <c r="J14" s="3062"/>
      <c r="K14" s="2612"/>
      <c r="L14" s="2612"/>
      <c r="M14" s="2438"/>
      <c r="N14" s="2449"/>
      <c r="O14" s="2438"/>
      <c r="P14" s="2438"/>
      <c r="Q14" s="2438"/>
      <c r="AD14" s="1745"/>
    </row>
    <row r="15" spans="1:30">
      <c r="A15" s="320"/>
      <c r="B15" s="2408" t="s">
        <v>2192</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5"/>
    </row>
    <row r="16" spans="1:30">
      <c r="A16" s="2400" t="s">
        <v>2193</v>
      </c>
      <c r="B16" s="3509"/>
      <c r="C16" s="3510"/>
      <c r="D16" s="3511"/>
      <c r="E16" s="2412" t="s">
        <v>2194</v>
      </c>
      <c r="F16" s="3512"/>
      <c r="G16" s="3513"/>
      <c r="H16" s="3513"/>
      <c r="I16" s="3514"/>
      <c r="J16" s="2438"/>
      <c r="K16" s="2616"/>
      <c r="L16" s="2450"/>
      <c r="M16" s="2450"/>
      <c r="N16" s="2508"/>
      <c r="O16" s="2450"/>
      <c r="P16" s="2508"/>
      <c r="Q16" s="2438"/>
      <c r="R16" s="2438"/>
    </row>
    <row r="17" spans="1:28">
      <c r="A17" s="313" t="s">
        <v>2195</v>
      </c>
      <c r="B17" s="302" t="s">
        <v>2196</v>
      </c>
      <c r="C17" s="8">
        <f>'数据-汇总表'!E3</f>
        <v>195.03</v>
      </c>
      <c r="D17" s="2322" t="s">
        <v>2197</v>
      </c>
      <c r="E17" s="3515" t="s">
        <v>2198</v>
      </c>
      <c r="F17" s="3516"/>
      <c r="G17" s="3516"/>
      <c r="H17" s="3516"/>
      <c r="I17" s="3517"/>
      <c r="J17" s="2438"/>
      <c r="K17" s="2617"/>
      <c r="L17" s="2450"/>
      <c r="M17" s="2450"/>
      <c r="N17" s="2508"/>
      <c r="O17" s="2450"/>
      <c r="P17" s="2508"/>
      <c r="Q17" s="2438"/>
      <c r="R17" s="2438"/>
      <c r="S17" s="2438"/>
      <c r="T17" s="2438"/>
      <c r="U17" s="2438"/>
      <c r="V17" s="2438"/>
    </row>
    <row r="18" spans="1:28" ht="24.6" thickBot="1">
      <c r="A18" s="2413" t="s">
        <v>2199</v>
      </c>
      <c r="B18" s="1090" t="s">
        <v>2200</v>
      </c>
      <c r="C18" s="2414">
        <f>'数据-汇总表'!D3</f>
        <v>0</v>
      </c>
      <c r="D18" s="1092" t="s">
        <v>2201</v>
      </c>
      <c r="E18" s="3518" t="s">
        <v>2202</v>
      </c>
      <c r="F18" s="3519"/>
      <c r="G18" s="3519"/>
      <c r="H18" s="3519"/>
      <c r="I18" s="3520"/>
      <c r="J18" s="2438"/>
      <c r="K18" s="2617"/>
      <c r="L18" s="2450"/>
      <c r="M18" s="2450"/>
      <c r="N18" s="2508"/>
      <c r="O18" s="2450"/>
      <c r="P18" s="2508"/>
      <c r="Q18" s="2438"/>
      <c r="R18" s="2438"/>
      <c r="S18" s="2438"/>
      <c r="T18" s="2438"/>
      <c r="U18" s="2438"/>
      <c r="V18" s="2438"/>
    </row>
    <row r="19" spans="1:28" ht="37.200000000000003" thickTop="1" thickBot="1">
      <c r="A19" s="327" t="s">
        <v>1055</v>
      </c>
      <c r="B19" s="307" t="s">
        <v>2203</v>
      </c>
      <c r="C19" s="1563"/>
      <c r="D19" s="1564" t="s">
        <v>2204</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2205</v>
      </c>
      <c r="B20" s="3505" t="s">
        <v>2206</v>
      </c>
      <c r="C20" s="3506"/>
      <c r="D20" s="3507" t="s">
        <v>2207</v>
      </c>
      <c r="E20" s="3508"/>
      <c r="F20" s="2646" t="s">
        <v>1056</v>
      </c>
      <c r="G20" s="2663"/>
      <c r="H20" s="2663"/>
      <c r="I20" s="2663"/>
      <c r="J20" s="2438"/>
      <c r="K20" s="3504"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36.6" thickBot="1">
      <c r="A21" s="2631"/>
      <c r="B21" s="2632" t="s">
        <v>2209</v>
      </c>
      <c r="C21" s="2633" t="s">
        <v>1057</v>
      </c>
      <c r="D21" s="1568" t="s">
        <v>2210</v>
      </c>
      <c r="E21" s="2634" t="s">
        <v>1057</v>
      </c>
      <c r="F21" s="2647"/>
      <c r="G21" s="2663"/>
      <c r="H21" s="2663"/>
      <c r="I21" s="2663"/>
      <c r="J21" s="2438"/>
      <c r="K21" s="350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36.6" thickBot="1">
      <c r="A22" s="2631"/>
      <c r="B22" s="2635" t="s">
        <v>2211</v>
      </c>
      <c r="C22" s="2633" t="s">
        <v>1058</v>
      </c>
      <c r="D22" s="2662"/>
      <c r="E22" s="2662"/>
      <c r="F22" s="2662"/>
      <c r="G22" s="2663"/>
      <c r="H22" s="2663"/>
      <c r="I22" s="2663"/>
      <c r="J22" s="2438"/>
      <c r="K22" s="350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8"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8" thickTop="1">
      <c r="A27" s="3492" t="s">
        <v>2214</v>
      </c>
      <c r="B27" s="320" t="s">
        <v>2215</v>
      </c>
      <c r="C27" s="2415" t="s">
        <v>3396</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492"/>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492"/>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493"/>
      <c r="B30" s="302" t="s">
        <v>2218</v>
      </c>
      <c r="C30" s="3494"/>
      <c r="D30" s="3495"/>
      <c r="E30" s="2663"/>
      <c r="F30" s="2663"/>
      <c r="G30" s="2663"/>
      <c r="H30" s="2663"/>
      <c r="I30" s="2663"/>
      <c r="J30" s="2438"/>
      <c r="K30" s="2615"/>
      <c r="L30" s="2612"/>
      <c r="M30" s="2612"/>
      <c r="N30" s="2438"/>
      <c r="O30" s="2449"/>
      <c r="P30" s="2438"/>
      <c r="Q30" s="2438"/>
      <c r="R30" s="2438"/>
      <c r="S30" s="2438"/>
      <c r="T30" s="2438"/>
      <c r="U30" s="2438"/>
      <c r="V30" s="2438"/>
    </row>
    <row r="31" spans="1:28">
      <c r="A31" s="3496" t="s">
        <v>2219</v>
      </c>
      <c r="B31" s="2421" t="s">
        <v>3395</v>
      </c>
      <c r="C31" s="2323" t="str">
        <f>IF(B31="现房","成新及维护状况正常否",IF(B31="在建","工程状态是否正常",IF(B31="土地","是否闲置","-")))</f>
        <v>成新及维护状况正常否</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497"/>
      <c r="B32" s="2421"/>
      <c r="C32" s="2323"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497"/>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6"/>
      <c r="C34" s="2026"/>
      <c r="D34" s="2026"/>
      <c r="E34" s="2026"/>
      <c r="F34" s="2026"/>
      <c r="G34" s="2026"/>
      <c r="H34" s="2026"/>
      <c r="I34" s="2663"/>
      <c r="J34" s="2438"/>
      <c r="K34" s="2426">
        <f>COUNTIF(B34:H34,"——")</f>
        <v>0</v>
      </c>
      <c r="L34" s="323" t="s">
        <v>2221</v>
      </c>
      <c r="M34" s="323" t="s">
        <v>2222</v>
      </c>
      <c r="N34" s="323" t="s">
        <v>2223</v>
      </c>
      <c r="O34" s="323" t="s">
        <v>2224</v>
      </c>
      <c r="P34" s="323" t="s">
        <v>2225</v>
      </c>
      <c r="Q34" s="323" t="s">
        <v>2226</v>
      </c>
      <c r="R34" s="323" t="s">
        <v>2227</v>
      </c>
      <c r="S34" s="3491" t="s">
        <v>2228</v>
      </c>
      <c r="T34" s="2427" t="str">
        <f>NUMBERSTRING(7-K34,1)&amp;"通"</f>
        <v>七通</v>
      </c>
      <c r="U34" s="2438"/>
      <c r="V34" s="2438"/>
    </row>
    <row r="35" spans="1:30">
      <c r="A35" s="2428"/>
      <c r="B35" s="3498" t="s">
        <v>2229</v>
      </c>
      <c r="C35" s="3498"/>
      <c r="D35" s="3498"/>
      <c r="E35" s="3498"/>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1"/>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2581</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t="s">
        <v>144</v>
      </c>
      <c r="D37" s="2430"/>
      <c r="E37" s="2430"/>
      <c r="F37" s="2430"/>
      <c r="G37" s="2663"/>
      <c r="H37" s="2663"/>
      <c r="I37" s="2663"/>
      <c r="J37" s="2438"/>
      <c r="K37" s="2615"/>
      <c r="L37" s="2612"/>
      <c r="M37" s="2612"/>
      <c r="N37" s="2438"/>
      <c r="O37" s="2449"/>
      <c r="P37" s="2438"/>
      <c r="Q37" s="2438"/>
      <c r="R37" s="2438"/>
      <c r="S37" s="2438"/>
      <c r="T37" s="2438"/>
      <c r="U37" s="2438"/>
      <c r="V37" s="2438"/>
    </row>
    <row r="38" spans="1:30" ht="13.8" thickBot="1">
      <c r="A38" s="2630" t="s">
        <v>2231</v>
      </c>
      <c r="B38" s="2431"/>
      <c r="C38" s="2431" t="s">
        <v>137</v>
      </c>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4"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70"/>
      <c r="B40" s="2370"/>
      <c r="C40" s="2370"/>
      <c r="D40" s="2370"/>
      <c r="E40" s="2370"/>
      <c r="F40" s="2370"/>
      <c r="G40" s="2370"/>
      <c r="H40" s="2370"/>
      <c r="I40" s="1578"/>
      <c r="J40" s="2508"/>
      <c r="K40" s="2614"/>
      <c r="L40" s="2450"/>
      <c r="M40" s="2450"/>
      <c r="N40" s="2508"/>
      <c r="O40" s="2450"/>
      <c r="P40" s="2438"/>
      <c r="Q40" s="2438"/>
      <c r="R40" s="2438"/>
      <c r="S40" s="2438"/>
      <c r="T40" s="2438"/>
      <c r="U40" s="2438"/>
      <c r="V40" s="2438"/>
    </row>
    <row r="41" spans="1:30">
      <c r="A41" s="2435" t="s">
        <v>2233</v>
      </c>
      <c r="B41" s="1757"/>
      <c r="C41" s="1373"/>
      <c r="D41" s="2370"/>
      <c r="E41" s="2370"/>
      <c r="F41" s="2370"/>
      <c r="G41" s="2370"/>
      <c r="H41" s="2370"/>
      <c r="I41" s="1576"/>
      <c r="J41" s="2438"/>
      <c r="K41" s="2615"/>
      <c r="L41" s="2612"/>
      <c r="M41" s="2612"/>
      <c r="N41" s="2438"/>
      <c r="O41" s="2449"/>
      <c r="P41" s="2438"/>
      <c r="Q41" s="2438"/>
      <c r="R41" s="2438"/>
      <c r="S41" s="2438"/>
      <c r="T41" s="2438"/>
      <c r="U41" s="2438"/>
      <c r="V41" s="2438"/>
    </row>
    <row r="42" spans="1:30" ht="25.2">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7" sqref="J17"/>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786.58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786.58</v>
      </c>
      <c r="H5" s="13">
        <f t="shared" ref="H5:AT5" si="0">SUM(H13:H656)</f>
        <v>786.58</v>
      </c>
      <c r="I5" s="13">
        <f t="shared" si="0"/>
        <v>786.58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195.03</v>
      </c>
      <c r="BA5" s="15">
        <f t="shared" si="1"/>
        <v>195.03</v>
      </c>
      <c r="BB5" s="15">
        <f t="shared" si="1"/>
        <v>195.03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3391</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v>51017</v>
      </c>
      <c r="D13" s="1625" t="s">
        <v>3392</v>
      </c>
      <c r="E13" s="13">
        <f>IF($C$3="是",ROUND($A$3*G13/$B$3,2),ROUND($A$3*(G13-AT13)/$B$3,2))</f>
        <v>0</v>
      </c>
      <c r="F13" s="29"/>
      <c r="G13" s="30">
        <f>H13+AC13+AT13</f>
        <v>195.03</v>
      </c>
      <c r="H13" s="17">
        <f>SUMIF(I$12:AB$12,"总值",I13:AB13)</f>
        <v>195.03</v>
      </c>
      <c r="I13" s="1626">
        <v>195.03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51017</v>
      </c>
      <c r="AY13" s="1349">
        <f>ROUND($AY$6*AZ13/$AZ$5,2)</f>
        <v>0</v>
      </c>
      <c r="AZ13" s="13">
        <f>BA13+BL13</f>
        <v>195.03</v>
      </c>
      <c r="BA13" s="13">
        <f>SUM(BB13:BK13)</f>
        <v>195.03</v>
      </c>
      <c r="BB13" s="13">
        <f>IF($D13="是",I13-J13,0)</f>
        <v>195.03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v>51018</v>
      </c>
      <c r="D14" s="1625"/>
      <c r="E14" s="13">
        <f>IF($C$3="是",ROUND($A$3*G14/$B$3,2),ROUND($A$3*(G14-AT14)/$B$3,2))</f>
        <v>0</v>
      </c>
      <c r="F14" s="29"/>
      <c r="G14" s="30">
        <f>H14+AC14+AT14</f>
        <v>197.68</v>
      </c>
      <c r="H14" s="17">
        <f>SUMIF(I$12:AB$12,"总值",I14:AB14)</f>
        <v>197.68</v>
      </c>
      <c r="I14" s="1626">
        <v>197.68</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51018</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v>51019</v>
      </c>
      <c r="D15" s="1625"/>
      <c r="E15" s="13">
        <f>IF($C$3="是",ROUND($A$3*G15/$B$3,2),ROUND($A$3*(G15-AT15)/$B$3,2))</f>
        <v>0</v>
      </c>
      <c r="F15" s="29"/>
      <c r="G15" s="30">
        <f>H15+AC15+AT15</f>
        <v>197.38</v>
      </c>
      <c r="H15" s="17">
        <f>SUMIF(I$12:AB$12,"总值",I15:AB15)</f>
        <v>197.38</v>
      </c>
      <c r="I15" s="1626">
        <v>197.38</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51019</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v>51020</v>
      </c>
      <c r="D16" s="1625"/>
      <c r="E16" s="13">
        <f>IF($C$3="是",ROUND($A$3*G16/$B$3,2),ROUND($A$3*(G16-AT16)/$B$3,2))</f>
        <v>0</v>
      </c>
      <c r="F16" s="29"/>
      <c r="G16" s="30">
        <f>H16+AC16+AT16</f>
        <v>196.49</v>
      </c>
      <c r="H16" s="17">
        <f>SUMIF(I$12:AB$12,"总值",I16:AB16)</f>
        <v>196.49</v>
      </c>
      <c r="I16" s="1626">
        <v>196.49</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51020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570"/>
      <c r="D18" s="1630"/>
      <c r="E18" s="32">
        <f t="shared" ref="E18:E112" si="7">IF($C$3="是",ROUND($A$3*G18/$B$3,2),ROUND($A$3*(G18-AT18)/$B$3,2))</f>
        <v>0</v>
      </c>
      <c r="F18" s="33"/>
      <c r="G18" s="34">
        <f t="shared" ref="G18:G109" si="8">H18+AC18+AT18</f>
        <v>0</v>
      </c>
      <c r="H18" s="35">
        <f t="shared" ref="H18:H109" si="9">SUMIF(I$12:AB$12,"总值",I18:AB18)</f>
        <v>0</v>
      </c>
      <c r="I18" s="162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M43" sqref="M43"/>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8"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30" t="s">
        <v>1131</v>
      </c>
      <c r="B2" s="3530"/>
      <c r="C2" s="3530"/>
      <c r="D2" s="796" t="s">
        <v>1107</v>
      </c>
      <c r="E2" s="1639" t="s">
        <v>1108</v>
      </c>
      <c r="F2" s="2658"/>
      <c r="G2" s="2649"/>
      <c r="H2" s="2650"/>
      <c r="I2" s="2325" t="s">
        <v>1132</v>
      </c>
      <c r="J2" s="2658"/>
      <c r="K2" s="2658"/>
      <c r="L2" s="2658"/>
      <c r="M2" s="2658"/>
      <c r="N2" s="2660"/>
      <c r="O2" s="2658"/>
      <c r="P2" s="2658"/>
    </row>
    <row r="3" spans="1:16" ht="15" thickBot="1">
      <c r="A3" s="3531" t="s">
        <v>1105</v>
      </c>
      <c r="B3" s="3531"/>
      <c r="C3" s="3531"/>
      <c r="D3" s="43">
        <f>'数据-基础表'!AY6</f>
        <v>0</v>
      </c>
      <c r="E3" s="43">
        <f>'数据-基础表'!AZ5</f>
        <v>195.03</v>
      </c>
      <c r="F3" s="2658"/>
      <c r="G3" s="1145"/>
      <c r="H3" s="1026" t="s">
        <v>1106</v>
      </c>
      <c r="I3" s="855" t="e">
        <f>ROUND('数据-基础表'!B3/'数据-基础表'!A3,2)</f>
        <v>#DIV/0!</v>
      </c>
      <c r="J3" s="2658"/>
      <c r="K3" s="2658"/>
      <c r="L3" s="2658"/>
      <c r="M3" s="2658"/>
      <c r="N3" s="2660"/>
      <c r="O3" s="2658"/>
      <c r="P3" s="2658"/>
    </row>
    <row r="4" spans="1:16" ht="14.4">
      <c r="A4" s="3532"/>
      <c r="B4" s="3533"/>
      <c r="C4" s="3534"/>
      <c r="D4" s="1641" t="s">
        <v>1107</v>
      </c>
      <c r="E4" s="1642" t="s">
        <v>1108</v>
      </c>
      <c r="F4" s="2658"/>
      <c r="G4" s="2651" t="s">
        <v>1133</v>
      </c>
      <c r="H4" s="1026" t="s">
        <v>1113</v>
      </c>
      <c r="I4" s="855" t="e">
        <f>ROUND(SUMIF('数据-基础表'!I9:AS9,"地上",'数据-基础表'!I5:AS5)/'数据-基础表'!A3,2)</f>
        <v>#DIV/0!</v>
      </c>
      <c r="J4" s="2658"/>
      <c r="K4" s="2658"/>
      <c r="L4" s="2658"/>
      <c r="M4" s="2658"/>
      <c r="N4" s="2660"/>
      <c r="O4" s="2658"/>
      <c r="P4" s="2658"/>
    </row>
    <row r="5" spans="1:16" ht="14.4">
      <c r="A5" s="44" t="s">
        <v>1109</v>
      </c>
      <c r="B5" s="3535" t="s">
        <v>1110</v>
      </c>
      <c r="C5" s="3535"/>
      <c r="D5" s="45">
        <f>ROUND($D$3*E5/$E$3,2)</f>
        <v>0</v>
      </c>
      <c r="E5" s="46">
        <f>SUMIF('数据-基础表'!$11:$11,"住宅",'数据-基础表'!$5:$5)</f>
        <v>0</v>
      </c>
      <c r="F5" s="2658"/>
      <c r="G5" s="1145"/>
      <c r="H5" s="1026" t="s">
        <v>1106</v>
      </c>
      <c r="I5" s="855" t="e">
        <f>ROUND(E31/D31,2)</f>
        <v>#DIV/0!</v>
      </c>
      <c r="J5" s="2658"/>
      <c r="K5" s="2658"/>
      <c r="L5" s="2658"/>
      <c r="M5" s="2658"/>
      <c r="N5" s="2658"/>
      <c r="O5" s="2658"/>
      <c r="P5" s="2658"/>
    </row>
    <row r="6" spans="1:16" ht="15" thickBot="1">
      <c r="A6" s="1644"/>
      <c r="B6" s="3535" t="s">
        <v>1111</v>
      </c>
      <c r="C6" s="3535"/>
      <c r="D6" s="45">
        <f>ROUND($D$3*E6/$E$3,2)</f>
        <v>0</v>
      </c>
      <c r="E6" s="46">
        <f>E3-E5</f>
        <v>195.03</v>
      </c>
      <c r="F6" s="2658"/>
      <c r="G6" s="2652" t="s">
        <v>1112</v>
      </c>
      <c r="H6" s="1146" t="s">
        <v>1113</v>
      </c>
      <c r="I6" s="2653" t="e">
        <f>ROUND(F31/D31,2)</f>
        <v>#DIV/0!</v>
      </c>
      <c r="J6" s="2658"/>
      <c r="K6" s="2658"/>
      <c r="L6" s="2658"/>
      <c r="M6" s="2658"/>
      <c r="N6" s="2658"/>
      <c r="O6" s="2658"/>
      <c r="P6" s="2658"/>
    </row>
    <row r="7" spans="1:16" ht="15" thickBot="1">
      <c r="A7" s="3527"/>
      <c r="B7" s="3528"/>
      <c r="C7" s="3529"/>
      <c r="D7" s="1641" t="s">
        <v>1107</v>
      </c>
      <c r="E7" s="1645" t="s">
        <v>1114</v>
      </c>
      <c r="F7" s="2658"/>
      <c r="G7" s="2654" t="s">
        <v>1115</v>
      </c>
      <c r="H7" s="2655"/>
      <c r="I7" s="2656"/>
      <c r="J7" s="2658"/>
      <c r="K7" s="2658"/>
      <c r="L7" s="2658"/>
      <c r="M7" s="2658"/>
      <c r="N7" s="2658"/>
      <c r="O7" s="2658"/>
      <c r="P7" s="2658"/>
    </row>
    <row r="8" spans="1:16" ht="14.4">
      <c r="A8" s="44" t="s">
        <v>1116</v>
      </c>
      <c r="B8" s="47" t="s">
        <v>1117</v>
      </c>
      <c r="C8" s="45" t="s">
        <v>1118</v>
      </c>
      <c r="D8" s="45">
        <f t="shared" ref="D8:D15" si="0">ROUND($D$3*E8/$E$3,2)</f>
        <v>0</v>
      </c>
      <c r="E8" s="48">
        <f>SUMIF('数据-基础表'!BB10:BK10,"地上",'数据-基础表'!BB5:BK5)</f>
        <v>195.03</v>
      </c>
      <c r="F8" s="2658"/>
      <c r="G8" s="2659"/>
      <c r="H8" s="2659"/>
      <c r="I8" s="2658"/>
      <c r="J8" s="2658"/>
      <c r="K8" s="2658"/>
      <c r="L8" s="2658"/>
      <c r="M8" s="2658"/>
      <c r="N8" s="2658"/>
      <c r="O8" s="2658"/>
      <c r="P8" s="2658"/>
    </row>
    <row r="9" spans="1:16" ht="14.4">
      <c r="A9" s="1646"/>
      <c r="B9" s="1647"/>
      <c r="C9" s="45" t="s">
        <v>1119</v>
      </c>
      <c r="D9" s="45">
        <f t="shared" si="0"/>
        <v>0</v>
      </c>
      <c r="E9" s="49">
        <v>0</v>
      </c>
      <c r="F9" s="2658"/>
      <c r="G9" s="2659"/>
      <c r="H9" s="2659"/>
      <c r="I9" s="2658"/>
      <c r="J9" s="2658"/>
      <c r="K9" s="2658"/>
      <c r="L9" s="2658"/>
      <c r="M9" s="2658"/>
      <c r="N9" s="2658"/>
      <c r="O9" s="2658"/>
      <c r="P9" s="2658"/>
    </row>
    <row r="10" spans="1:16" ht="14.4">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ht="14.4">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ht="14.4">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ht="14.4">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ht="14.4">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 thickBot="1">
      <c r="A16" s="1644"/>
      <c r="B16" s="1647"/>
      <c r="C16" s="47" t="s">
        <v>1123</v>
      </c>
      <c r="D16" s="47">
        <f>SUM(D8:D15)</f>
        <v>0</v>
      </c>
      <c r="E16" s="50">
        <f>SUM(E8:E15)</f>
        <v>195.03</v>
      </c>
      <c r="F16" s="2658"/>
      <c r="G16" s="2659"/>
      <c r="H16" s="1648" t="s">
        <v>1135</v>
      </c>
      <c r="I16" s="1649"/>
      <c r="J16" s="1139"/>
      <c r="K16" s="3524" t="s">
        <v>1135</v>
      </c>
      <c r="L16" s="3525"/>
      <c r="M16" s="3525"/>
      <c r="N16" s="3525"/>
      <c r="O16" s="3525"/>
      <c r="P16" s="3526"/>
    </row>
    <row r="17" spans="1:19" ht="14.4">
      <c r="A17" s="1650" t="s">
        <v>1136</v>
      </c>
      <c r="B17" s="1651" t="s">
        <v>1137</v>
      </c>
      <c r="C17" s="1652" t="s">
        <v>1138</v>
      </c>
      <c r="D17" s="1653" t="s">
        <v>1126</v>
      </c>
      <c r="E17" s="1654" t="s">
        <v>1127</v>
      </c>
      <c r="F17" s="1655"/>
      <c r="G17" s="1656"/>
      <c r="H17" s="1657" t="s">
        <v>1139</v>
      </c>
      <c r="I17" s="1658" t="s">
        <v>1124</v>
      </c>
      <c r="J17" s="1139"/>
      <c r="K17" s="3521" t="s">
        <v>1140</v>
      </c>
      <c r="L17" s="3522"/>
      <c r="M17" s="3523"/>
      <c r="N17" s="3521" t="s">
        <v>1141</v>
      </c>
      <c r="O17" s="3522"/>
      <c r="P17" s="3523"/>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6">
        <f>'数据-基础表'!C13</f>
        <v>51017</v>
      </c>
      <c r="D19" s="45">
        <f>ROUND($D$3*E19/$E$3,2)</f>
        <v>0</v>
      </c>
      <c r="E19" s="53">
        <f t="shared" ref="E19:E26" si="1">SUM(F19:G19)</f>
        <v>195.03</v>
      </c>
      <c r="F19" s="2794">
        <f>'数据-基础表'!G13</f>
        <v>195.03</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195.03</v>
      </c>
    </row>
    <row r="20" spans="1:19" ht="14.4">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195.03</v>
      </c>
      <c r="F27" s="1140">
        <f>IF(SUM(F19:F26)=E8,SUM(F19:F26),"地上面积有误")</f>
        <v>195.03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195.03</v>
      </c>
    </row>
    <row r="28" spans="1:19" ht="14.4">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ht="14.4">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4.4">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 thickBot="1">
      <c r="A31" s="1676"/>
      <c r="B31" s="1677"/>
      <c r="C31" s="835" t="s">
        <v>1158</v>
      </c>
      <c r="D31" s="676">
        <f>D27+D30</f>
        <v>0</v>
      </c>
      <c r="E31" s="676">
        <f>E27+E30</f>
        <v>195.03</v>
      </c>
      <c r="F31" s="677">
        <f>F27+F30</f>
        <v>195.03</v>
      </c>
      <c r="G31" s="678">
        <f>G27+G30</f>
        <v>0</v>
      </c>
      <c r="H31" s="2658"/>
      <c r="I31" s="2658"/>
      <c r="J31" s="2658"/>
      <c r="K31" s="2658"/>
      <c r="L31" s="2658"/>
      <c r="M31" s="2658"/>
      <c r="N31" s="2658"/>
      <c r="O31" s="2658"/>
      <c r="P31" s="2658"/>
    </row>
    <row r="32" spans="1:19" ht="14.4">
      <c r="A32" s="1643"/>
      <c r="B32" s="1643" t="s">
        <v>1159</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22" activePane="bottomRight" state="frozen"/>
      <selection activeCell="C50" sqref="C50"/>
      <selection pane="topRight" activeCell="C50" sqref="C50"/>
      <selection pane="bottomLeft" activeCell="C50" sqref="C50"/>
      <selection pane="bottomRight" activeCell="B55" sqref="B55"/>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 thickBot="1">
      <c r="A2" s="1683" t="s">
        <v>1161</v>
      </c>
      <c r="B2" s="1045">
        <f>项目基本情况!D3</f>
        <v>45539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f>'数据-汇总表'!C19</f>
        <v>51017</v>
      </c>
      <c r="B6" s="1713" t="str">
        <f>IF(A6=0,"","经营性")</f>
        <v>经营性</v>
      </c>
      <c r="C6" s="1714" t="s">
        <v>21</v>
      </c>
      <c r="D6" s="858">
        <f>SUMIF(项目基本情况!C$12:I$12,C6,项目基本情况!C$14:I$14)</f>
        <v>0</v>
      </c>
      <c r="E6" s="857">
        <f>IF(B6="","",SUMIF(项目基本情况!C$12:I$12,C6,项目基本情况!C$13:I$13))</f>
        <v>0</v>
      </c>
      <c r="F6" s="64">
        <f>SUMIF(项目基本情况!C$12:I$12,C6,项目基本情况!C$15:I$15)</f>
        <v>0</v>
      </c>
      <c r="G6" s="65">
        <f>IF(ISERROR(ROUND(POWER(1+H6,D6-F6)*(POWER(1+H6,F6)-1)/(POWER(1+H6,D6)-1),3)),0,ROUND(POWER(1+H6,D6-F6)*(POWER(1+H6,F6)-1)/(POWER(1+H6,D6)-1),3))</f>
        <v>0</v>
      </c>
      <c r="H6" s="732">
        <v>0.05</v>
      </c>
      <c r="I6" s="732">
        <v>5.5E-2</v>
      </c>
      <c r="J6" s="66">
        <v>7.0000000000000007E-2</v>
      </c>
      <c r="K6" s="1030">
        <f>SUMIF('数据-汇总表'!C$19:C$33,A6,'数据-汇总表'!E$19:E$33)</f>
        <v>195.03</v>
      </c>
      <c r="L6" s="733">
        <v>4500</v>
      </c>
      <c r="M6" s="67">
        <f t="shared" ref="M6:M14" si="0">ROUND(K6*L6/10000,0)</f>
        <v>88</v>
      </c>
      <c r="N6" s="731"/>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7"/>
      <c r="V6" s="70">
        <v>0.02</v>
      </c>
      <c r="W6" s="70">
        <v>0.1</v>
      </c>
      <c r="X6" s="1040"/>
      <c r="Y6" s="71">
        <f>N6</f>
        <v>0</v>
      </c>
      <c r="Z6" s="72"/>
      <c r="AA6" s="66"/>
      <c r="AB6" s="66"/>
      <c r="AC6" s="1040"/>
      <c r="AD6" s="73"/>
      <c r="AE6" s="1041">
        <f ca="1">IF(AN6="",0,SUMIF(INDIRECT("'"&amp;AN6&amp;"'"&amp;"!E:E"),$AE$5,INDIRECT("'"&amp;AN6&amp;"'"&amp;"!F:F")))</f>
        <v>0</v>
      </c>
      <c r="AF6" s="1348"/>
      <c r="AG6" s="138">
        <f>IF(AF6="",0,AE6-AF6)</f>
        <v>0</v>
      </c>
      <c r="AH6" s="74"/>
      <c r="AI6" s="76">
        <v>365</v>
      </c>
      <c r="AJ6" s="77"/>
      <c r="AK6" s="78">
        <v>5.0000000000000001E-3</v>
      </c>
      <c r="AL6" s="79">
        <v>1E-3</v>
      </c>
      <c r="AM6" s="80">
        <v>5.0000000000000001E-3</v>
      </c>
      <c r="AN6" s="1715" t="s">
        <v>3394</v>
      </c>
      <c r="AO6" s="52" t="e">
        <f ca="1">SUMIF(INDIRECT("'"&amp;AN6&amp;"'"&amp;"!A:A"),"总价",INDIRECT("'"&amp;AN6&amp;"'"&amp;"!B:B"))</f>
        <v>#DIV/0!</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f>ROUND(SUMPRODUCT(H6:H13,K6:K13)/SUMPRODUCT((H6:H13&gt;0)*(K6:K13)),3)</f>
        <v>0.05</v>
      </c>
      <c r="I16" s="91"/>
      <c r="J16" s="91"/>
      <c r="K16" s="92">
        <f>SUM(K6:K15)</f>
        <v>195.03</v>
      </c>
      <c r="L16" s="93">
        <f>ROUND(M16*10000/SUM(K6:K14),0)</f>
        <v>4512</v>
      </c>
      <c r="M16" s="93">
        <f>SUM(M6:M14)</f>
        <v>88</v>
      </c>
      <c r="N16" s="94">
        <f>ROUND(SUMPRODUCT(M6:M14,N6:N14)/M16,3)</f>
        <v>0</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4">
      <c r="A19" s="1722" t="s">
        <v>1211</v>
      </c>
      <c r="B19" s="103">
        <v>0</v>
      </c>
      <c r="C19" s="2798" t="s">
        <v>2303</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4">
      <c r="A20" s="1723" t="s">
        <v>1212</v>
      </c>
      <c r="B20" s="104">
        <v>2</v>
      </c>
      <c r="C20" s="2799" t="s">
        <v>2301</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4">
      <c r="A21" s="1724"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4">
      <c r="A22" s="1723"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4">
      <c r="A23" s="1724"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4.4"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8.8">
      <c r="A27" s="1727" t="s">
        <v>1220</v>
      </c>
      <c r="B27" s="107">
        <v>160</v>
      </c>
      <c r="C27" s="2800" t="s">
        <v>2305</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0.03</v>
      </c>
      <c r="C33" s="2802" t="s">
        <v>3383</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c r="C34" s="2802" t="s">
        <v>2295</v>
      </c>
      <c r="D34" s="2683" t="s">
        <v>2302</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2" t="s">
        <v>3384</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4">
      <c r="A37" s="1731" t="s">
        <v>1230</v>
      </c>
      <c r="B37" s="115">
        <v>0.02</v>
      </c>
      <c r="C37" s="2802" t="s">
        <v>2297</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4">
      <c r="A38" s="1729" t="s">
        <v>1231</v>
      </c>
      <c r="B38" s="113">
        <v>0.02</v>
      </c>
      <c r="C38" s="2802" t="s">
        <v>2297</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4">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4.4" thickBot="1">
      <c r="A40" s="2814" t="s">
        <v>2312</v>
      </c>
      <c r="B40" s="1078">
        <f ca="1">IF(A40="利息：取LPR",存贷款利率!G1,存贷款利率!G1+C40)</f>
        <v>3.3500000000000002E-2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4">
      <c r="A41" s="1727"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4">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4">
      <c r="A43" s="1733"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4">
      <c r="A44" s="1734" t="s">
        <v>1236</v>
      </c>
      <c r="B44" s="119">
        <v>7.0000000000000007E-2</v>
      </c>
      <c r="C44" s="2802" t="s">
        <v>2306</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4">
      <c r="A45" s="1734" t="s">
        <v>1237</v>
      </c>
      <c r="B45" s="117">
        <v>0.03</v>
      </c>
      <c r="C45" s="2801" t="s">
        <v>2298</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4">
      <c r="A46" s="1734" t="s">
        <v>1238</v>
      </c>
      <c r="B46" s="117">
        <v>0.02</v>
      </c>
      <c r="C46" s="2801" t="s">
        <v>2299</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2307</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4">
      <c r="A48" s="1736" t="s">
        <v>1240</v>
      </c>
      <c r="B48" s="121">
        <v>0.03</v>
      </c>
      <c r="C48" s="2801" t="s">
        <v>2298</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2300</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4">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4">
      <c r="A52" s="1737" t="s">
        <v>1244</v>
      </c>
      <c r="B52" s="124">
        <f>SUMIF(A54:A63,B53,B54:B63)</f>
        <v>30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8.8">
      <c r="A53" s="1729" t="s">
        <v>1245</v>
      </c>
      <c r="B53" s="1738" t="s">
        <v>144</v>
      </c>
      <c r="C53" s="2660" t="s">
        <v>1246</v>
      </c>
      <c r="D53" s="2803" t="s">
        <v>2304</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4">
      <c r="A54" s="1739" t="s">
        <v>1247</v>
      </c>
      <c r="B54" s="75">
        <f>C54</f>
        <v>30</v>
      </c>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4">
      <c r="A55" s="1739"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4">
      <c r="A56" s="1739"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4">
      <c r="A57" s="1739"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4">
      <c r="A58" s="1739"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4">
      <c r="A59" s="1739"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4">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4">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4">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09" customWidth="1"/>
    <col min="4" max="4" width="2.6640625" style="2509" customWidth="1"/>
    <col min="5" max="5" width="5.88671875" style="2509" customWidth="1"/>
    <col min="6" max="6" width="27" style="1572" customWidth="1"/>
    <col min="7" max="7" width="27" style="2510" customWidth="1"/>
    <col min="8" max="8" width="11.88671875" style="2490" customWidth="1"/>
    <col min="9" max="9" width="16.77734375" style="2491" customWidth="1"/>
    <col min="10" max="10" width="2.6640625" style="2490" customWidth="1"/>
    <col min="11" max="11" width="11.88671875" style="2490" customWidth="1"/>
    <col min="12" max="12" width="16.77734375" style="2491" customWidth="1"/>
    <col min="13" max="13" width="2.6640625" style="2490" customWidth="1"/>
    <col min="14" max="14" width="11.88671875" style="2490" customWidth="1"/>
    <col min="15" max="15" width="16.77734375" style="2491" customWidth="1"/>
    <col min="16" max="16" width="2.6640625" style="2490" customWidth="1"/>
    <col min="17" max="17" width="11.88671875" style="2490" customWidth="1"/>
    <col min="18" max="18" width="16.77734375" style="2492" customWidth="1"/>
    <col min="19" max="29" width="9" style="799"/>
    <col min="30" max="16384" width="9" style="1686"/>
  </cols>
  <sheetData>
    <row r="1" spans="1:29" s="2456" customFormat="1" ht="18" thickBot="1">
      <c r="A1" s="3536" t="s">
        <v>2286</v>
      </c>
      <c r="B1" s="3537"/>
      <c r="C1" s="3537"/>
      <c r="D1" s="3537"/>
      <c r="E1" s="3537"/>
      <c r="F1" s="3537"/>
      <c r="G1" s="3537"/>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4.4"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7.200000000000003">
      <c r="A4" s="2441"/>
      <c r="B4" s="323" t="s">
        <v>2254</v>
      </c>
      <c r="C4" s="2467" t="s">
        <v>2255</v>
      </c>
      <c r="D4" s="2464"/>
      <c r="E4" s="2468"/>
      <c r="F4" s="1373" t="s">
        <v>2256</v>
      </c>
      <c r="G4" s="2469" t="s">
        <v>2257</v>
      </c>
      <c r="H4" s="799"/>
      <c r="I4" s="799"/>
      <c r="J4" s="799"/>
      <c r="K4" s="799"/>
      <c r="L4" s="799"/>
      <c r="M4" s="799"/>
      <c r="N4" s="799"/>
      <c r="O4" s="799"/>
      <c r="P4" s="799"/>
      <c r="Q4" s="799"/>
      <c r="R4" s="799"/>
    </row>
    <row r="5" spans="1:29" ht="37.200000000000003">
      <c r="A5" s="2441"/>
      <c r="B5" s="323" t="s">
        <v>2258</v>
      </c>
      <c r="C5" s="2467" t="s">
        <v>2259</v>
      </c>
      <c r="D5" s="2464"/>
      <c r="E5" s="2468"/>
      <c r="F5" s="323" t="s">
        <v>2260</v>
      </c>
      <c r="G5" s="2469" t="s">
        <v>2261</v>
      </c>
      <c r="H5" s="799"/>
      <c r="I5" s="799"/>
      <c r="J5" s="799"/>
      <c r="K5" s="799"/>
      <c r="L5" s="799"/>
      <c r="M5" s="799"/>
      <c r="N5" s="799"/>
      <c r="O5" s="799"/>
      <c r="P5" s="799"/>
      <c r="Q5" s="799"/>
      <c r="R5" s="799"/>
    </row>
    <row r="6" spans="1:29" ht="48">
      <c r="A6" s="2441"/>
      <c r="B6" s="323" t="s">
        <v>2262</v>
      </c>
      <c r="C6" s="2469" t="s">
        <v>2257</v>
      </c>
      <c r="D6" s="2464"/>
      <c r="E6" s="2468"/>
      <c r="F6" s="323" t="s">
        <v>2263</v>
      </c>
      <c r="G6" s="2469" t="s">
        <v>2264</v>
      </c>
      <c r="H6" s="799"/>
      <c r="I6" s="799"/>
      <c r="J6" s="799"/>
      <c r="K6" s="799"/>
      <c r="L6" s="799"/>
      <c r="M6" s="799"/>
      <c r="N6" s="799"/>
      <c r="O6" s="799"/>
      <c r="P6" s="799"/>
      <c r="Q6" s="799"/>
      <c r="R6" s="799"/>
    </row>
    <row r="7" spans="1:29" ht="36.6"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ht="24">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4.4"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7.399999999999999">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 thickBot="1">
      <c r="A13" s="2489" t="s">
        <v>2287</v>
      </c>
      <c r="B13" s="2483"/>
      <c r="C13" s="2483"/>
      <c r="D13" s="2481"/>
      <c r="E13" s="2483"/>
      <c r="F13" s="2483"/>
      <c r="G13" s="2483"/>
    </row>
    <row r="14" spans="1:29" ht="14.4" thickBot="1">
      <c r="A14" s="2493"/>
      <c r="B14" s="2493"/>
      <c r="C14" s="2494" t="s">
        <v>2270</v>
      </c>
      <c r="D14" s="2464"/>
      <c r="E14" s="2495"/>
      <c r="F14" s="2495"/>
      <c r="G14" s="2459" t="s">
        <v>2271</v>
      </c>
    </row>
    <row r="15" spans="1:29" ht="52.8">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9.6">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9.6">
      <c r="A17" s="2445"/>
      <c r="B17" s="2499" t="s">
        <v>2258</v>
      </c>
      <c r="C17" s="2500" t="str">
        <f>C5</f>
        <v>估价对象位于XX商圈，周边办公楼项目较多，入驻率高，办公集聚程度较好</v>
      </c>
      <c r="D17" s="2470"/>
      <c r="E17" s="2446"/>
      <c r="F17" s="2501" t="s">
        <v>2275</v>
      </c>
      <c r="G17" s="2503"/>
    </row>
    <row r="18" spans="1:18" ht="52.8">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6.4">
      <c r="A19" s="2445"/>
      <c r="B19" s="2501" t="s">
        <v>2276</v>
      </c>
      <c r="C19" s="2503"/>
      <c r="D19" s="2464"/>
      <c r="E19" s="2446"/>
      <c r="F19" s="323" t="s">
        <v>2260</v>
      </c>
      <c r="G19" s="2502" t="str">
        <f>G5</f>
        <v>估价对象所在区域公共配套设施齐备情况</v>
      </c>
    </row>
    <row r="20" spans="1:18" ht="26.4">
      <c r="A20" s="2445"/>
      <c r="B20" s="2501" t="s">
        <v>2277</v>
      </c>
      <c r="C20" s="2500" t="str">
        <f>C9</f>
        <v>区域自然环境：；人文环境；综合评价环境状况一般</v>
      </c>
      <c r="D20" s="2470"/>
      <c r="E20" s="2446"/>
      <c r="F20" s="323" t="s">
        <v>2263</v>
      </c>
      <c r="G20" s="2502" t="str">
        <f>G6</f>
        <v>估价对象所在区域基础设施水平</v>
      </c>
    </row>
    <row r="21" spans="1:18" ht="26.4">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4.4" thickBot="1">
      <c r="A23" s="2445"/>
      <c r="B23" s="2501" t="s">
        <v>2278</v>
      </c>
      <c r="C23" s="2504"/>
      <c r="D23" s="1741"/>
      <c r="E23" s="2447"/>
      <c r="F23" s="2505" t="s">
        <v>2279</v>
      </c>
      <c r="G23" s="2506"/>
      <c r="H23" s="2490"/>
      <c r="I23" s="2491"/>
      <c r="J23" s="2490"/>
      <c r="K23" s="2490"/>
      <c r="L23" s="2491"/>
      <c r="M23" s="2490"/>
      <c r="N23" s="2490"/>
      <c r="O23" s="2491"/>
      <c r="P23" s="2490"/>
      <c r="Q23" s="2490"/>
      <c r="R23" s="2492"/>
    </row>
    <row r="24" spans="1:18" s="799" customFormat="1" ht="14.4" thickBot="1">
      <c r="A24" s="2448"/>
      <c r="B24" s="2505" t="s">
        <v>2280</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topLeftCell="A4" zoomScale="80" zoomScaleNormal="80" zoomScaleSheetLayoutView="80" workbookViewId="0">
      <selection activeCell="D15" sqref="D15"/>
    </sheetView>
  </sheetViews>
  <sheetFormatPr defaultColWidth="9" defaultRowHeight="14.4"/>
  <cols>
    <col min="1" max="1" width="25" style="2512" customWidth="1"/>
    <col min="2" max="9" width="15.77734375" style="2512" customWidth="1"/>
    <col min="10" max="16384" width="9" style="2512"/>
  </cols>
  <sheetData>
    <row r="1" spans="1:11" ht="16.2">
      <c r="A1" s="2511" t="s">
        <v>665</v>
      </c>
      <c r="B1" s="2511">
        <f>SUM(B14:B23)</f>
        <v>197.38</v>
      </c>
      <c r="C1" s="2685"/>
      <c r="D1" s="2685"/>
      <c r="E1" s="2685"/>
      <c r="F1" s="2685"/>
      <c r="G1" s="2686"/>
      <c r="H1" s="2687"/>
      <c r="I1" s="2687"/>
      <c r="J1" s="2687"/>
      <c r="K1" s="2687"/>
    </row>
    <row r="2" spans="1:11" ht="16.2">
      <c r="A2" s="2511" t="s">
        <v>653</v>
      </c>
      <c r="B2" s="2511">
        <f>SUM(C14:C23)</f>
        <v>0</v>
      </c>
      <c r="C2" s="2685"/>
      <c r="D2" s="2685"/>
      <c r="E2" s="2685"/>
      <c r="F2" s="2685"/>
      <c r="G2" s="2686"/>
      <c r="H2" s="2687"/>
      <c r="I2" s="2687"/>
      <c r="J2" s="2687"/>
      <c r="K2" s="2687"/>
    </row>
    <row r="3" spans="1:11" ht="15.6">
      <c r="A3" s="2511" t="s">
        <v>662</v>
      </c>
      <c r="B3" s="2513">
        <f>项目基本情况!D3</f>
        <v>45539</v>
      </c>
      <c r="C3" s="2685"/>
      <c r="D3" s="2685"/>
      <c r="E3" s="2685"/>
      <c r="F3" s="2685"/>
      <c r="G3" s="2686"/>
      <c r="H3" s="2687"/>
      <c r="I3" s="2687"/>
      <c r="J3" s="2687"/>
      <c r="K3" s="2687"/>
    </row>
    <row r="4" spans="1:11" ht="31.2">
      <c r="A4" s="2511" t="s">
        <v>661</v>
      </c>
      <c r="B4" s="2511" t="s">
        <v>660</v>
      </c>
      <c r="C4" s="2511" t="s">
        <v>659</v>
      </c>
      <c r="D4" s="2511" t="s">
        <v>658</v>
      </c>
      <c r="E4" s="2685"/>
      <c r="F4" s="2686"/>
      <c r="G4" s="2686"/>
      <c r="H4" s="2687"/>
      <c r="I4" s="2687"/>
      <c r="J4" s="2687"/>
      <c r="K4" s="2687"/>
    </row>
    <row r="5" spans="1:11" ht="15.6">
      <c r="A5" s="2511" t="s">
        <v>657</v>
      </c>
      <c r="B5" s="2511">
        <f>SUM(D14:D23)</f>
        <v>675</v>
      </c>
      <c r="C5" s="2511" t="e">
        <f ca="1">IF(B5=D14,结果表!H102,ROUND(B5*10000/$B$1,0))</f>
        <v>#REF!</v>
      </c>
      <c r="D5" s="2511" t="e">
        <f>ROUND(B5*10000/$B$2,0)</f>
        <v>#DIV/0!</v>
      </c>
      <c r="E5" s="2685"/>
      <c r="F5" s="2686"/>
      <c r="G5" s="2686"/>
      <c r="H5" s="2687"/>
      <c r="I5" s="2687"/>
      <c r="J5" s="2687"/>
      <c r="K5" s="2687"/>
    </row>
    <row r="6" spans="1:11" ht="15.6">
      <c r="A6" s="2511" t="s">
        <v>656</v>
      </c>
      <c r="B6" s="2511">
        <f>SUM(G14:G23)</f>
        <v>0</v>
      </c>
      <c r="C6" s="2511" t="e">
        <f ca="1">IF(B6=G14,结果表!H108,ROUND(B6*10000/$B$1,0))</f>
        <v>#REF!</v>
      </c>
      <c r="D6" s="2511" t="e">
        <f>ROUND(B6*10000/$B$2,0)</f>
        <v>#DIV/0!</v>
      </c>
      <c r="E6" s="2685"/>
      <c r="F6" s="2686"/>
      <c r="G6" s="2686"/>
      <c r="H6" s="2687"/>
      <c r="I6" s="2687"/>
      <c r="J6" s="2687"/>
      <c r="K6" s="2687"/>
    </row>
    <row r="7" spans="1:11" ht="15.6">
      <c r="A7" s="2511" t="s">
        <v>664</v>
      </c>
      <c r="B7" s="2511">
        <f>SUM(H14:H23)</f>
        <v>0</v>
      </c>
      <c r="C7" s="2511" t="str">
        <f>IF(B7=H14,结果表!H110,ROUND(B7*10000/$B$1,0))</f>
        <v>——</v>
      </c>
      <c r="D7" s="2511" t="e">
        <f>ROUND(B7*10000/$B$2,0)</f>
        <v>#DIV/0!</v>
      </c>
      <c r="E7" s="2685"/>
      <c r="F7" s="2686"/>
      <c r="G7" s="2686"/>
      <c r="H7" s="2687"/>
      <c r="I7" s="2687"/>
      <c r="J7" s="2687"/>
      <c r="K7" s="2687"/>
    </row>
    <row r="8" spans="1:11" ht="15.6">
      <c r="A8" s="2511" t="s">
        <v>587</v>
      </c>
      <c r="B8" s="2511">
        <f>SUM(I14:I23)</f>
        <v>0</v>
      </c>
      <c r="C8" s="2511" t="str">
        <f>IF(B8=I14,结果表!H112,ROUND(B8*10000/$B$1,0))</f>
        <v>——</v>
      </c>
      <c r="D8" s="2511" t="e">
        <f>ROUND(B8*10000/$B$2,0)</f>
        <v>#DIV/0!</v>
      </c>
      <c r="E8" s="2685"/>
      <c r="F8" s="2686"/>
      <c r="G8" s="2686"/>
      <c r="H8" s="2687"/>
      <c r="I8" s="2687"/>
      <c r="J8" s="2687"/>
      <c r="K8" s="2687"/>
    </row>
    <row r="9" spans="1:11" ht="15.6">
      <c r="A9" s="2511" t="s">
        <v>655</v>
      </c>
      <c r="B9" s="2519"/>
      <c r="C9" s="2685"/>
      <c r="D9" s="2685"/>
      <c r="E9" s="2685"/>
      <c r="F9" s="2686"/>
      <c r="G9" s="2686"/>
      <c r="H9" s="2687"/>
      <c r="I9" s="2687"/>
      <c r="J9" s="2687"/>
      <c r="K9" s="2687"/>
    </row>
    <row r="10" spans="1:11" ht="15.6">
      <c r="A10" s="2511" t="s">
        <v>654</v>
      </c>
      <c r="B10" s="2511">
        <f>IF(E10="",0,ROUND(B1*(E10*365/G10)/10000,0))</f>
        <v>0</v>
      </c>
      <c r="C10" s="2511" t="s">
        <v>3358</v>
      </c>
      <c r="D10" s="2511" t="s">
        <v>3359</v>
      </c>
      <c r="E10" s="3440"/>
      <c r="F10" s="3444" t="s">
        <v>3360</v>
      </c>
      <c r="G10" s="3441"/>
      <c r="H10" s="2687"/>
      <c r="I10" s="2687"/>
      <c r="J10" s="2687"/>
      <c r="K10" s="2687"/>
    </row>
    <row r="11" spans="1:11" ht="15.6">
      <c r="A11" s="2511" t="s">
        <v>670</v>
      </c>
      <c r="B11" s="2519"/>
      <c r="C11" s="2685"/>
      <c r="D11" s="2685"/>
      <c r="E11" s="2685"/>
      <c r="F11" s="2686"/>
      <c r="G11" s="2686"/>
      <c r="H11" s="2687"/>
      <c r="I11" s="2687"/>
      <c r="J11" s="2687"/>
      <c r="K11" s="2687"/>
    </row>
    <row r="12" spans="1:11" ht="15.6">
      <c r="A12" s="2685"/>
      <c r="B12" s="2685"/>
      <c r="C12" s="2685"/>
      <c r="D12" s="2685"/>
      <c r="E12" s="2685"/>
      <c r="F12" s="2686"/>
      <c r="G12" s="2686"/>
      <c r="H12" s="2687"/>
      <c r="I12" s="2687"/>
      <c r="J12" s="2687"/>
      <c r="K12" s="2687"/>
    </row>
    <row r="13" spans="1:11" ht="31.8">
      <c r="A13" s="2514" t="s">
        <v>669</v>
      </c>
      <c r="B13" s="2515" t="s">
        <v>666</v>
      </c>
      <c r="C13" s="2515" t="s">
        <v>668</v>
      </c>
      <c r="D13" s="2515" t="s">
        <v>667</v>
      </c>
      <c r="E13" s="2511" t="s">
        <v>659</v>
      </c>
      <c r="F13" s="2511" t="s">
        <v>658</v>
      </c>
      <c r="G13" s="2515" t="s">
        <v>652</v>
      </c>
      <c r="H13" s="2515" t="s">
        <v>663</v>
      </c>
      <c r="I13" s="2515" t="s">
        <v>651</v>
      </c>
      <c r="J13" s="2686"/>
      <c r="K13" s="2687"/>
    </row>
    <row r="14" spans="1:11" ht="15.6">
      <c r="A14" s="2516" t="s">
        <v>650</v>
      </c>
      <c r="B14" s="2517">
        <f>'数据-基础表'!G15</f>
        <v>197.38</v>
      </c>
      <c r="C14" s="2517"/>
      <c r="D14" s="2517">
        <f>ROUND(E14*B14/10000,0)</f>
        <v>675</v>
      </c>
      <c r="E14" s="2517">
        <v>34189</v>
      </c>
      <c r="F14" s="2517" t="e">
        <f>ROUND(D14*10000/C14,0)</f>
        <v>#DIV/0!</v>
      </c>
      <c r="G14" s="2517"/>
      <c r="H14" s="2517"/>
      <c r="I14" s="2517"/>
      <c r="J14" s="2686">
        <v>35072</v>
      </c>
      <c r="K14" s="2687">
        <v>684.01</v>
      </c>
    </row>
    <row r="15" spans="1:11" ht="15.6">
      <c r="A15" s="2516" t="s">
        <v>649</v>
      </c>
      <c r="B15" s="2518"/>
      <c r="C15" s="2518"/>
      <c r="D15" s="2518"/>
      <c r="E15" s="2517" t="e">
        <f t="shared" ref="E15:E23" si="0">ROUND(D15*10000/B15,0)</f>
        <v>#DIV/0!</v>
      </c>
      <c r="F15" s="2517" t="e">
        <f t="shared" ref="F15:F23" si="1">ROUND(D15*10000/C15,0)</f>
        <v>#DIV/0!</v>
      </c>
      <c r="G15" s="1331"/>
      <c r="H15" s="1331"/>
      <c r="I15" s="2518"/>
      <c r="J15" s="2686"/>
      <c r="K15" s="2687">
        <v>693.3</v>
      </c>
    </row>
    <row r="16" spans="1:11" ht="15.6">
      <c r="A16" s="2516" t="s">
        <v>648</v>
      </c>
      <c r="B16" s="2518"/>
      <c r="C16" s="2518"/>
      <c r="D16" s="2518"/>
      <c r="E16" s="2517" t="e">
        <f t="shared" si="0"/>
        <v>#DIV/0!</v>
      </c>
      <c r="F16" s="2517" t="e">
        <f t="shared" si="1"/>
        <v>#DIV/0!</v>
      </c>
      <c r="G16" s="1331"/>
      <c r="H16" s="1331"/>
      <c r="I16" s="2518"/>
      <c r="J16" s="2687"/>
      <c r="K16" s="2687">
        <v>692.25</v>
      </c>
    </row>
    <row r="17" spans="1:11" ht="15.6">
      <c r="A17" s="2516" t="s">
        <v>647</v>
      </c>
      <c r="B17" s="2518"/>
      <c r="C17" s="2518"/>
      <c r="D17" s="2518"/>
      <c r="E17" s="2517" t="e">
        <f t="shared" si="0"/>
        <v>#DIV/0!</v>
      </c>
      <c r="F17" s="2517" t="e">
        <f t="shared" si="1"/>
        <v>#DIV/0!</v>
      </c>
      <c r="G17" s="1331"/>
      <c r="H17" s="1331"/>
      <c r="I17" s="2518"/>
      <c r="J17" s="2687"/>
      <c r="K17" s="2687">
        <v>689.13</v>
      </c>
    </row>
    <row r="18" spans="1:11" ht="15.6">
      <c r="A18" s="2516" t="s">
        <v>646</v>
      </c>
      <c r="B18" s="2518"/>
      <c r="C18" s="2518"/>
      <c r="D18" s="2518"/>
      <c r="E18" s="2517" t="e">
        <f t="shared" si="0"/>
        <v>#DIV/0!</v>
      </c>
      <c r="F18" s="2517" t="e">
        <f t="shared" si="1"/>
        <v>#DIV/0!</v>
      </c>
      <c r="G18" s="2518"/>
      <c r="H18" s="2518"/>
      <c r="I18" s="2518"/>
      <c r="J18" s="2687"/>
      <c r="K18" s="2687"/>
    </row>
    <row r="19" spans="1:11" ht="15.6">
      <c r="A19" s="2516" t="s">
        <v>645</v>
      </c>
      <c r="B19" s="2518"/>
      <c r="C19" s="2518"/>
      <c r="D19" s="2518"/>
      <c r="E19" s="2517" t="e">
        <f t="shared" si="0"/>
        <v>#DIV/0!</v>
      </c>
      <c r="F19" s="2517" t="e">
        <f t="shared" si="1"/>
        <v>#DIV/0!</v>
      </c>
      <c r="G19" s="2518"/>
      <c r="H19" s="2518"/>
      <c r="I19" s="2518"/>
      <c r="J19" s="2687"/>
      <c r="K19" s="2687"/>
    </row>
    <row r="20" spans="1:11" ht="15.6">
      <c r="A20" s="2516" t="s">
        <v>644</v>
      </c>
      <c r="B20" s="2518"/>
      <c r="C20" s="2518"/>
      <c r="D20" s="2518"/>
      <c r="E20" s="2517" t="e">
        <f t="shared" si="0"/>
        <v>#DIV/0!</v>
      </c>
      <c r="F20" s="2517" t="e">
        <f t="shared" si="1"/>
        <v>#DIV/0!</v>
      </c>
      <c r="G20" s="2518"/>
      <c r="H20" s="2518"/>
      <c r="I20" s="2518"/>
      <c r="J20" s="2687"/>
      <c r="K20" s="2687"/>
    </row>
    <row r="21" spans="1:11" ht="15.6">
      <c r="A21" s="2516" t="s">
        <v>643</v>
      </c>
      <c r="B21" s="2518"/>
      <c r="C21" s="2518"/>
      <c r="D21" s="2518"/>
      <c r="E21" s="2517" t="e">
        <f t="shared" si="0"/>
        <v>#DIV/0!</v>
      </c>
      <c r="F21" s="2517" t="e">
        <f t="shared" si="1"/>
        <v>#DIV/0!</v>
      </c>
      <c r="G21" s="2518"/>
      <c r="H21" s="2518"/>
      <c r="I21" s="2518"/>
      <c r="J21" s="2687"/>
      <c r="K21" s="2687"/>
    </row>
    <row r="22" spans="1:11" ht="15.6">
      <c r="A22" s="2516" t="s">
        <v>642</v>
      </c>
      <c r="B22" s="2518"/>
      <c r="C22" s="2518"/>
      <c r="D22" s="2518"/>
      <c r="E22" s="2517" t="e">
        <f t="shared" si="0"/>
        <v>#DIV/0!</v>
      </c>
      <c r="F22" s="2517" t="e">
        <f t="shared" si="1"/>
        <v>#DIV/0!</v>
      </c>
      <c r="G22" s="2518"/>
      <c r="H22" s="2518"/>
      <c r="I22" s="2518"/>
      <c r="J22" s="2687"/>
      <c r="K22" s="2687"/>
    </row>
    <row r="23" spans="1:11" ht="15.6">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37" zoomScale="70" zoomScaleNormal="100" zoomScaleSheetLayoutView="70" zoomScalePageLayoutView="80" workbookViewId="0">
      <selection activeCell="I37" sqref="I37"/>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2" t="str">
        <f>项目基本情况!S2</f>
        <v>北京市东城区南竹杆胡同2号房地产</v>
      </c>
      <c r="B2" s="3573"/>
      <c r="C2" s="3573"/>
      <c r="D2" s="3573"/>
      <c r="E2" s="3573"/>
      <c r="F2" s="3573"/>
      <c r="G2" s="3573"/>
      <c r="H2" s="3573"/>
      <c r="I2" s="3574"/>
    </row>
    <row r="3" spans="1:12" ht="13.2">
      <c r="A3" s="3576" t="s">
        <v>1264</v>
      </c>
      <c r="B3" s="3577"/>
      <c r="C3" s="3577"/>
      <c r="D3" s="3577"/>
      <c r="E3" s="3577"/>
      <c r="F3" s="3577"/>
      <c r="G3" s="3577"/>
      <c r="H3" s="3577"/>
      <c r="I3" s="3577"/>
    </row>
    <row r="4" spans="1:12" ht="14.4">
      <c r="A4" s="1754" t="s">
        <v>1265</v>
      </c>
      <c r="B4" s="1755" t="s">
        <v>1266</v>
      </c>
      <c r="C4" s="1756"/>
      <c r="D4" s="1756"/>
      <c r="E4" s="3578" t="s">
        <v>1267</v>
      </c>
      <c r="F4" s="3579"/>
      <c r="G4" s="3579"/>
      <c r="H4" s="3579"/>
      <c r="I4" s="3580"/>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552" t="s">
        <v>1268</v>
      </c>
      <c r="B5" s="3539">
        <v>25</v>
      </c>
      <c r="C5" s="3555"/>
      <c r="D5" s="3575"/>
      <c r="E5" s="131" t="s">
        <v>1269</v>
      </c>
      <c r="F5" s="1757"/>
      <c r="G5" s="1757"/>
      <c r="H5" s="1757"/>
      <c r="I5" s="1373"/>
    </row>
    <row r="6" spans="1:12" ht="13.2">
      <c r="A6" s="3552"/>
      <c r="B6" s="3539"/>
      <c r="C6" s="3556"/>
      <c r="D6" s="3575"/>
      <c r="E6" s="131" t="s">
        <v>1270</v>
      </c>
      <c r="F6" s="1757"/>
      <c r="G6" s="1757"/>
      <c r="H6" s="1757"/>
      <c r="I6" s="1373"/>
    </row>
    <row r="7" spans="1:12" ht="13.2">
      <c r="A7" s="3552"/>
      <c r="B7" s="3539"/>
      <c r="C7" s="3557"/>
      <c r="D7" s="3575"/>
      <c r="E7" s="131" t="s">
        <v>1271</v>
      </c>
      <c r="F7" s="1757"/>
      <c r="G7" s="1757"/>
      <c r="H7" s="1757"/>
      <c r="I7" s="1373"/>
    </row>
    <row r="8" spans="1:12" ht="13.2">
      <c r="A8" s="3552" t="s">
        <v>1272</v>
      </c>
      <c r="B8" s="3539">
        <v>15</v>
      </c>
      <c r="C8" s="3555"/>
      <c r="D8" s="3575"/>
      <c r="E8" s="131" t="s">
        <v>1273</v>
      </c>
      <c r="F8" s="1757"/>
      <c r="G8" s="1757"/>
      <c r="H8" s="1757"/>
      <c r="I8" s="1373"/>
    </row>
    <row r="9" spans="1:12" ht="13.2">
      <c r="A9" s="3552"/>
      <c r="B9" s="3539"/>
      <c r="C9" s="3557"/>
      <c r="D9" s="3575"/>
      <c r="E9" s="131" t="s">
        <v>1274</v>
      </c>
      <c r="F9" s="1757"/>
      <c r="G9" s="1757"/>
      <c r="H9" s="1757"/>
      <c r="I9" s="1373"/>
    </row>
    <row r="10" spans="1:12" ht="13.2">
      <c r="A10" s="3552" t="s">
        <v>1275</v>
      </c>
      <c r="B10" s="3539">
        <v>15</v>
      </c>
      <c r="C10" s="3555"/>
      <c r="D10" s="3575"/>
      <c r="E10" s="131" t="s">
        <v>1276</v>
      </c>
      <c r="F10" s="1757"/>
      <c r="G10" s="1757"/>
      <c r="H10" s="1757"/>
      <c r="I10" s="1373"/>
    </row>
    <row r="11" spans="1:12" ht="13.2">
      <c r="A11" s="3552"/>
      <c r="B11" s="3539"/>
      <c r="C11" s="3557"/>
      <c r="D11" s="3575"/>
      <c r="E11" s="131" t="s">
        <v>1277</v>
      </c>
      <c r="F11" s="1757"/>
      <c r="G11" s="1757"/>
      <c r="H11" s="1757"/>
      <c r="I11" s="1373"/>
    </row>
    <row r="12" spans="1:12" ht="13.2">
      <c r="A12" s="3552" t="s">
        <v>1278</v>
      </c>
      <c r="B12" s="3539">
        <v>15</v>
      </c>
      <c r="C12" s="3555"/>
      <c r="D12" s="3575"/>
      <c r="E12" s="131" t="s">
        <v>1279</v>
      </c>
      <c r="F12" s="1757"/>
      <c r="G12" s="1757"/>
      <c r="H12" s="1757"/>
      <c r="I12" s="1373"/>
    </row>
    <row r="13" spans="1:12" ht="13.2">
      <c r="A13" s="3552"/>
      <c r="B13" s="3539"/>
      <c r="C13" s="3557"/>
      <c r="D13" s="3575"/>
      <c r="E13" s="131" t="s">
        <v>1280</v>
      </c>
      <c r="F13" s="1757"/>
      <c r="G13" s="1757"/>
      <c r="H13" s="1757"/>
      <c r="I13" s="1373"/>
    </row>
    <row r="14" spans="1:12" ht="13.2">
      <c r="A14" s="3552" t="s">
        <v>1281</v>
      </c>
      <c r="B14" s="3539">
        <v>30</v>
      </c>
      <c r="C14" s="3555"/>
      <c r="D14" s="3575"/>
      <c r="E14" s="131" t="s">
        <v>1282</v>
      </c>
      <c r="F14" s="1757"/>
      <c r="G14" s="1757"/>
      <c r="H14" s="1757"/>
      <c r="I14" s="1373"/>
    </row>
    <row r="15" spans="1:12" ht="13.2">
      <c r="A15" s="3552"/>
      <c r="B15" s="3539"/>
      <c r="C15" s="3556"/>
      <c r="D15" s="3575"/>
      <c r="E15" s="131" t="s">
        <v>1283</v>
      </c>
      <c r="F15" s="1757"/>
      <c r="G15" s="1757"/>
      <c r="H15" s="1757"/>
      <c r="I15" s="1373"/>
    </row>
    <row r="16" spans="1:12" ht="13.2">
      <c r="A16" s="3552"/>
      <c r="B16" s="3539"/>
      <c r="C16" s="3557"/>
      <c r="D16" s="3575"/>
      <c r="E16" s="131" t="s">
        <v>1284</v>
      </c>
      <c r="F16" s="1757"/>
      <c r="G16" s="1757"/>
      <c r="H16" s="1757"/>
      <c r="I16" s="1373"/>
    </row>
    <row r="17" spans="1:36" ht="14.4">
      <c r="A17" s="1758" t="s">
        <v>1285</v>
      </c>
      <c r="B17" s="56"/>
      <c r="C17" s="132">
        <f>SUM(C5:C16)</f>
        <v>0</v>
      </c>
      <c r="D17" s="132">
        <f>SUM(D5:D16)</f>
        <v>0</v>
      </c>
      <c r="E17" s="129"/>
      <c r="F17" s="129"/>
      <c r="G17" s="129"/>
      <c r="H17" s="129"/>
      <c r="I17" s="129"/>
      <c r="K17" s="302"/>
      <c r="L17" s="302" t="s">
        <v>1286</v>
      </c>
      <c r="M17" s="302" t="s">
        <v>1287</v>
      </c>
    </row>
    <row r="18" spans="1:36" ht="31.95" customHeight="1" thickBot="1">
      <c r="A18" s="1759" t="s">
        <v>1288</v>
      </c>
      <c r="B18" s="1760"/>
      <c r="C18" s="133" t="e">
        <f>ROUND(C17/SUM(C17:D17),2)</f>
        <v>#DIV/0!</v>
      </c>
      <c r="D18" s="133" t="e">
        <f>1-C18</f>
        <v>#DIV/0!</v>
      </c>
      <c r="E18" s="3562" t="s">
        <v>2131</v>
      </c>
      <c r="F18" s="3563"/>
      <c r="G18" s="3563"/>
      <c r="H18" s="3563"/>
      <c r="I18" s="3563"/>
      <c r="K18" s="302" t="s">
        <v>1289</v>
      </c>
      <c r="L18" s="302">
        <f>IF(C1="",'数据-汇总表'!E3,SUMIF(项目类型,C1,'数据-汇总表'!E17:E26)+SUMIF(项目类型,C1,'数据-汇总表'!I17:I26))</f>
        <v>195.03</v>
      </c>
      <c r="M18" s="302">
        <f>IF(C1="",'数据-汇总表'!E3,SUMIF(项目类型,C1,'数据-汇总表'!E17:E26))</f>
        <v>195.03</v>
      </c>
    </row>
    <row r="19" spans="1:36" ht="14.4">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8" thickBot="1">
      <c r="A23" s="1747"/>
      <c r="B23" s="1747"/>
      <c r="C23" s="1747"/>
      <c r="D23" s="1747"/>
      <c r="E23" s="129"/>
      <c r="F23" s="129"/>
      <c r="G23" s="129"/>
      <c r="H23" s="129"/>
      <c r="I23" s="129"/>
    </row>
    <row r="24" spans="1:36" ht="14.4">
      <c r="A24" s="3546" t="s">
        <v>1299</v>
      </c>
      <c r="B24" s="1762" t="s">
        <v>1291</v>
      </c>
      <c r="C24" s="136">
        <f>IF(B30=0,0,D30)</f>
        <v>0</v>
      </c>
      <c r="D24" s="1769"/>
      <c r="E24" s="129"/>
      <c r="F24" s="129"/>
      <c r="G24" s="129"/>
      <c r="H24" s="129"/>
      <c r="I24" s="129"/>
    </row>
    <row r="25" spans="1:36" ht="14.4">
      <c r="A25" s="354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t="e">
        <f ca="1">IF(D32="总价",G19-C24,G20-C25)</f>
        <v>#REF!</v>
      </c>
      <c r="D32" s="1775" t="s">
        <v>3397</v>
      </c>
      <c r="E32" s="129"/>
      <c r="F32" s="129"/>
      <c r="G32" s="129"/>
      <c r="H32" s="129"/>
      <c r="I32" s="129"/>
    </row>
    <row r="33" spans="1:15" ht="14.4">
      <c r="A33" s="786" t="s">
        <v>1306</v>
      </c>
      <c r="B33" s="1776"/>
      <c r="C33" s="1777" t="s">
        <v>3398</v>
      </c>
      <c r="D33" s="1778"/>
      <c r="E33" s="1779" t="s">
        <v>1307</v>
      </c>
      <c r="F33" s="1780" t="str">
        <f>IF(D32="楼面单价","取值（单价）","取值（总价）")</f>
        <v>取值（单价）</v>
      </c>
      <c r="G33" s="129"/>
      <c r="H33" s="129"/>
      <c r="I33" s="129"/>
    </row>
    <row r="34" spans="1:15" ht="14.4">
      <c r="A34" s="1781"/>
      <c r="B34" s="1782" t="s">
        <v>1308</v>
      </c>
      <c r="C34" s="148">
        <f>IF(C33="自定义",F34,C32-C35)</f>
        <v>0</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f>IF(C33="自定义",F35,ROUND(C32*D35,0))</f>
        <v>0</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566" t="s">
        <v>1312</v>
      </c>
      <c r="B36" s="1787" t="s">
        <v>1313</v>
      </c>
      <c r="C36" s="145"/>
      <c r="D36" s="1788"/>
      <c r="E36" s="1789"/>
      <c r="F36" s="1790"/>
      <c r="G36" s="129"/>
      <c r="H36" s="129"/>
      <c r="I36" s="129"/>
    </row>
    <row r="37" spans="1:15" ht="15" thickBot="1">
      <c r="A37" s="3567"/>
      <c r="B37" s="1674" t="s">
        <v>1314</v>
      </c>
      <c r="C37" s="147"/>
      <c r="D37" s="1139"/>
      <c r="E37" s="1139"/>
      <c r="F37" s="1790"/>
      <c r="G37" s="129"/>
      <c r="H37" s="129"/>
      <c r="I37" s="129"/>
    </row>
    <row r="38" spans="1:15" ht="15" thickBot="1">
      <c r="A38" s="3568"/>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3" t="s">
        <v>1326</v>
      </c>
      <c r="B45" s="3544"/>
      <c r="C45" s="3545"/>
      <c r="D45" s="155" t="e">
        <f ca="1">ROUND(H101*F45,0)</f>
        <v>#REF!</v>
      </c>
      <c r="E45" s="156" t="s">
        <v>1327</v>
      </c>
      <c r="F45" s="157">
        <v>1</v>
      </c>
      <c r="G45" s="158" t="s">
        <v>1328</v>
      </c>
      <c r="H45" s="129"/>
      <c r="I45" s="129"/>
      <c r="J45" s="3621" t="s">
        <v>1329</v>
      </c>
      <c r="K45" s="3621"/>
      <c r="L45" s="3621"/>
      <c r="M45" s="3621"/>
      <c r="N45" s="3621"/>
      <c r="O45" s="3621"/>
    </row>
    <row r="46" spans="1:15" ht="14.25" customHeight="1">
      <c r="A46" s="3540" t="s">
        <v>1330</v>
      </c>
      <c r="B46" s="3541"/>
      <c r="C46" s="3541"/>
      <c r="D46" s="3541"/>
      <c r="E46" s="3541"/>
      <c r="F46" s="3541"/>
      <c r="G46" s="3542"/>
      <c r="H46" s="1806"/>
      <c r="I46" s="159"/>
      <c r="J46" s="2522">
        <v>1</v>
      </c>
      <c r="K46" s="3602" t="s">
        <v>1331</v>
      </c>
      <c r="L46" s="3602"/>
      <c r="M46" s="3622"/>
      <c r="N46" s="3622"/>
      <c r="O46" s="3622"/>
    </row>
    <row r="47" spans="1:15" ht="12" customHeight="1">
      <c r="A47" s="160" t="s">
        <v>1332</v>
      </c>
      <c r="B47" s="161"/>
      <c r="C47" s="162"/>
      <c r="D47" s="1087" t="s">
        <v>1333</v>
      </c>
      <c r="E47" s="302" t="s">
        <v>1334</v>
      </c>
      <c r="F47" s="163" t="s">
        <v>1335</v>
      </c>
      <c r="G47" s="2545" t="s">
        <v>1336</v>
      </c>
      <c r="H47" s="2546"/>
      <c r="I47" s="159"/>
      <c r="J47" s="2522">
        <v>2</v>
      </c>
      <c r="K47" s="3602" t="s">
        <v>1337</v>
      </c>
      <c r="L47" s="3602"/>
      <c r="M47" s="3623">
        <f>'数据-取费表'!B2</f>
        <v>45539</v>
      </c>
      <c r="N47" s="3623"/>
      <c r="O47" s="3623"/>
    </row>
    <row r="48" spans="1:15" ht="26.4">
      <c r="A48" s="3571" t="s">
        <v>1338</v>
      </c>
      <c r="B48" s="3554"/>
      <c r="C48" s="3554"/>
      <c r="D48" s="2324" t="b">
        <f>IF(H48="情况1",0,IF(H48="情况2",D52,IF(H48="情况3",D53,IF(H48="情况4",D54))))</f>
        <v>0</v>
      </c>
      <c r="E48" s="2334" t="str">
        <f>IF(H48="情况4","(销售额-原购置价)×税（费）率","销售额×税（费）率")</f>
        <v>销售额×税（费）率</v>
      </c>
      <c r="F48" s="2547">
        <f>IF(H48="情况1","免征",'数据-取费表'!B41)</f>
        <v>5.6000000000000001E-2</v>
      </c>
      <c r="G48" s="2548" t="s">
        <v>1339</v>
      </c>
      <c r="H48" s="2549"/>
      <c r="I48" s="1806"/>
      <c r="J48" s="2522">
        <v>3</v>
      </c>
      <c r="K48" s="3602" t="s">
        <v>1340</v>
      </c>
      <c r="L48" s="3602"/>
      <c r="M48" s="3624" t="e">
        <f ca="1">H101</f>
        <v>#REF!</v>
      </c>
      <c r="N48" s="3624"/>
      <c r="O48" s="3624"/>
    </row>
    <row r="49" spans="1:35" ht="25.5" customHeight="1">
      <c r="A49" s="2333" t="s">
        <v>1341</v>
      </c>
      <c r="B49" s="3538" t="s">
        <v>1342</v>
      </c>
      <c r="C49" s="3538"/>
      <c r="D49" s="1590">
        <v>0</v>
      </c>
      <c r="E49" s="324" t="s">
        <v>1343</v>
      </c>
      <c r="F49" s="2423" t="s">
        <v>28</v>
      </c>
      <c r="G49" s="3608"/>
      <c r="H49" s="2310" t="s">
        <v>2134</v>
      </c>
      <c r="I49" s="2311"/>
      <c r="J49" s="2522">
        <v>4</v>
      </c>
      <c r="K49" s="3602" t="str">
        <f>IF(项目基本情况!E8="房地产抵押价值","房地产抵押价值","抵押担保权已注销时的房地产抵押价值")</f>
        <v>房地产抵押价值</v>
      </c>
      <c r="L49" s="3602"/>
      <c r="M49" s="3624" t="e">
        <f ca="1">IF(项目基本情况!E8="房地产抵押价值",H107,H109)</f>
        <v>#REF!</v>
      </c>
      <c r="N49" s="3624"/>
      <c r="O49" s="3624"/>
    </row>
    <row r="50" spans="1:35" ht="25.5" customHeight="1">
      <c r="A50" s="2550"/>
      <c r="B50" s="3538" t="s">
        <v>1344</v>
      </c>
      <c r="C50" s="3538"/>
      <c r="D50" s="2551"/>
      <c r="E50" s="332"/>
      <c r="F50" s="2423"/>
      <c r="G50" s="3609"/>
      <c r="H50" s="2312" t="s">
        <v>2135</v>
      </c>
      <c r="I50" s="2311"/>
      <c r="J50" s="3621" t="s">
        <v>1345</v>
      </c>
      <c r="K50" s="3621"/>
      <c r="L50" s="3621"/>
      <c r="M50" s="3621"/>
      <c r="N50" s="3621"/>
      <c r="O50" s="3621"/>
    </row>
    <row r="51" spans="1:35" ht="20.399999999999999" customHeight="1">
      <c r="A51" s="2552"/>
      <c r="B51" s="3538" t="s">
        <v>1346</v>
      </c>
      <c r="C51" s="3538"/>
      <c r="D51" s="1087"/>
      <c r="E51" s="327"/>
      <c r="F51" s="2423"/>
      <c r="G51" s="3610"/>
      <c r="H51" s="2312" t="s">
        <v>2136</v>
      </c>
      <c r="I51" s="2311"/>
      <c r="J51" s="2523" t="s">
        <v>1347</v>
      </c>
      <c r="K51" s="3602" t="s">
        <v>1348</v>
      </c>
      <c r="L51" s="3602"/>
      <c r="M51" s="2523" t="s">
        <v>1349</v>
      </c>
      <c r="N51" s="2523" t="s">
        <v>1350</v>
      </c>
      <c r="O51" s="2523" t="s">
        <v>1351</v>
      </c>
    </row>
    <row r="52" spans="1:35" ht="24" customHeight="1">
      <c r="A52" s="2335" t="s">
        <v>1352</v>
      </c>
      <c r="B52" s="3538" t="s">
        <v>1353</v>
      </c>
      <c r="C52" s="3538"/>
      <c r="D52" s="1087" t="e">
        <f ca="1">ROUND(D45*'数据-取费表'!B41/(1+'数据-取费表'!C42),0)</f>
        <v>#REF!</v>
      </c>
      <c r="E52" s="2334" t="s">
        <v>1354</v>
      </c>
      <c r="F52" s="2553">
        <f>'数据-取费表'!B41</f>
        <v>5.6000000000000001E-2</v>
      </c>
      <c r="G52" s="2554"/>
      <c r="H52" s="2543"/>
      <c r="I52" s="1807"/>
      <c r="J52" s="2522">
        <v>1</v>
      </c>
      <c r="K52" s="3603" t="s">
        <v>1355</v>
      </c>
      <c r="L52" s="3603"/>
      <c r="M52" s="2524" t="b">
        <f>D48</f>
        <v>0</v>
      </c>
      <c r="N52" s="2522" t="str">
        <f>E48</f>
        <v>销售额×税（费）率</v>
      </c>
      <c r="O52" s="2525">
        <f>F48</f>
        <v>5.6000000000000001E-2</v>
      </c>
    </row>
    <row r="53" spans="1:35" ht="12" customHeight="1">
      <c r="A53" s="2335" t="s">
        <v>1356</v>
      </c>
      <c r="B53" s="3564" t="s">
        <v>2291</v>
      </c>
      <c r="C53" s="3565"/>
      <c r="D53" s="1087" t="e">
        <f ca="1">ROUND(D45*'数据-取费表'!B41/(1+'数据-取费表'!C42),0)</f>
        <v>#REF!</v>
      </c>
      <c r="E53" s="2334" t="s">
        <v>1354</v>
      </c>
      <c r="F53" s="2553">
        <f>'数据-取费表'!B41</f>
        <v>5.6000000000000001E-2</v>
      </c>
      <c r="G53" s="2554"/>
      <c r="H53" s="2543"/>
      <c r="I53" s="1807"/>
      <c r="J53" s="2522">
        <v>2</v>
      </c>
      <c r="K53" s="3603" t="s">
        <v>1357</v>
      </c>
      <c r="L53" s="3603"/>
      <c r="M53" s="2524" t="e">
        <f t="shared" ref="M53:O54" ca="1" si="0">D55</f>
        <v>#REF!</v>
      </c>
      <c r="N53" s="2522" t="str">
        <f t="shared" si="0"/>
        <v>销售额×税（费）率</v>
      </c>
      <c r="O53" s="2525" t="str">
        <f t="shared" si="0"/>
        <v>免征</v>
      </c>
    </row>
    <row r="54" spans="1:35" ht="12" customHeight="1">
      <c r="A54" s="2335" t="s">
        <v>1358</v>
      </c>
      <c r="B54" s="3564" t="s">
        <v>2292</v>
      </c>
      <c r="C54" s="3565"/>
      <c r="D54" s="1087" t="e">
        <f ca="1">C68</f>
        <v>#REF!</v>
      </c>
      <c r="E54" s="327" t="s">
        <v>1359</v>
      </c>
      <c r="F54" s="2553">
        <f>'数据-取费表'!B41</f>
        <v>5.6000000000000001E-2</v>
      </c>
      <c r="G54" s="2554"/>
      <c r="H54" s="2555"/>
      <c r="I54" s="1807"/>
      <c r="J54" s="2522">
        <v>3</v>
      </c>
      <c r="K54" s="3603" t="s">
        <v>1360</v>
      </c>
      <c r="L54" s="3603"/>
      <c r="M54" s="2524" t="e">
        <f t="shared" ca="1" si="0"/>
        <v>#REF!</v>
      </c>
      <c r="N54" s="2522" t="str">
        <f t="shared" si="0"/>
        <v>增值额×税（费）率</v>
      </c>
      <c r="O54" s="2526" t="str">
        <f t="shared" si="0"/>
        <v>免征</v>
      </c>
    </row>
    <row r="55" spans="1:35" ht="24" customHeight="1">
      <c r="A55" s="3553" t="s">
        <v>1361</v>
      </c>
      <c r="B55" s="3554"/>
      <c r="C55" s="3554"/>
      <c r="D55" s="2324" t="e">
        <f ca="1">IF(H55="个人住宅",0,ROUND(D45*I55,0))</f>
        <v>#REF!</v>
      </c>
      <c r="E55" s="2334" t="s">
        <v>1362</v>
      </c>
      <c r="F55" s="2553" t="str">
        <f>IF(H55="正常",I55,"免征")</f>
        <v>免征</v>
      </c>
      <c r="G55" s="2554"/>
      <c r="H55" s="2549"/>
      <c r="I55" s="165">
        <f>'数据-取费表'!B49</f>
        <v>5.0000000000000001E-4</v>
      </c>
      <c r="J55" s="2522">
        <f>IF(H59="非个人房产","",4)</f>
        <v>4</v>
      </c>
      <c r="K55" s="3603" t="str">
        <f>IF(H59="非个人房产","——","个人所得税")</f>
        <v>个人所得税</v>
      </c>
      <c r="L55" s="3603"/>
      <c r="M55" s="2527" t="e">
        <f ca="1">D59</f>
        <v>#REF!</v>
      </c>
      <c r="N55" s="2040" t="str">
        <f>E59</f>
        <v>差额计税</v>
      </c>
      <c r="O55" s="2528">
        <f>F59</f>
        <v>0.01</v>
      </c>
    </row>
    <row r="56" spans="1:35" ht="25.2">
      <c r="A56" s="3553" t="s">
        <v>1363</v>
      </c>
      <c r="B56" s="3554"/>
      <c r="C56" s="3554"/>
      <c r="D56" s="2324" t="e">
        <f ca="1">IF(H56="个人住宅",D57,D58)</f>
        <v>#REF!</v>
      </c>
      <c r="E56" s="2334" t="s">
        <v>1364</v>
      </c>
      <c r="F56" s="2553" t="str">
        <f>IF(H56="正常",F58,"免征")</f>
        <v>免征</v>
      </c>
      <c r="G56" s="2556" t="s">
        <v>1365</v>
      </c>
      <c r="H56" s="2557"/>
      <c r="I56" s="1808"/>
      <c r="J56" s="2522" t="str">
        <f>IF(项目基本情况!K6="上海银行",IF(J55="",4,J55+1),"")</f>
        <v/>
      </c>
      <c r="K56" s="3626" t="str">
        <f>IF(项目基本情况!K6="上海银行","其他处置费用","")</f>
        <v/>
      </c>
      <c r="L56" s="3627"/>
      <c r="M56" s="2524" t="str">
        <f>IF(项目基本情况!K6="上海银行",M69,"")</f>
        <v/>
      </c>
      <c r="N56" s="3626" t="str">
        <f>IF(项目基本情况!K6="上海银行","包含处置中涉及的律师、诉讼、拍卖、评估等费用","")</f>
        <v/>
      </c>
      <c r="O56" s="3629"/>
    </row>
    <row r="57" spans="1:35" ht="13.2">
      <c r="A57" s="2335" t="s">
        <v>1341</v>
      </c>
      <c r="B57" s="3564" t="s">
        <v>1366</v>
      </c>
      <c r="C57" s="3565"/>
      <c r="D57" s="1590">
        <v>0</v>
      </c>
      <c r="E57" s="324" t="s">
        <v>1343</v>
      </c>
      <c r="F57" s="302"/>
      <c r="G57" s="2554"/>
      <c r="H57" s="2558"/>
      <c r="I57" s="1808"/>
      <c r="J57" s="3603">
        <f>IF(AND(J55="",J56=""),4,IF(项目基本情况!K6="上海银行",结果表!J56+1,结果表!J55+1))</f>
        <v>5</v>
      </c>
      <c r="K57" s="3603" t="s">
        <v>1367</v>
      </c>
      <c r="L57" s="2529" t="s">
        <v>1368</v>
      </c>
      <c r="M57" s="2530"/>
      <c r="N57" s="2531">
        <f ca="1">SUMIF(M52:M56,"&lt;9e307")</f>
        <v>0</v>
      </c>
      <c r="O57" s="2532"/>
      <c r="P57" s="2689" t="e">
        <f ca="1">N57/M49</f>
        <v>#REF!</v>
      </c>
    </row>
    <row r="58" spans="1:35" ht="25.2">
      <c r="A58" s="2335" t="s">
        <v>1352</v>
      </c>
      <c r="B58" s="3564" t="s">
        <v>1369</v>
      </c>
      <c r="C58" s="3538"/>
      <c r="D58" s="2324" t="e">
        <f ca="1">IF(H58="转让取得",C81,C97)</f>
        <v>#REF!</v>
      </c>
      <c r="E58" s="2334" t="s">
        <v>1364</v>
      </c>
      <c r="F58" s="302" t="s">
        <v>28</v>
      </c>
      <c r="G58" s="2554"/>
      <c r="H58" s="2557"/>
      <c r="I58" s="1808"/>
      <c r="J58" s="3603"/>
      <c r="K58" s="3603"/>
      <c r="L58" s="2529" t="s">
        <v>1370</v>
      </c>
      <c r="M58" s="2533"/>
      <c r="N58" s="2534" t="str">
        <f ca="1">NUMBERSTRING(INT(N57*10000),2)&amp;"元整"</f>
        <v>零元整</v>
      </c>
      <c r="O58" s="2535"/>
    </row>
    <row r="59" spans="1:35" ht="24.6" thickBot="1">
      <c r="A59" s="3606" t="s">
        <v>1371</v>
      </c>
      <c r="B59" s="3607"/>
      <c r="C59" s="3607"/>
      <c r="D59" s="2559" t="e">
        <f ca="1">IF(H59="非个人房产","——",IF(H59="个人住宅（满五唯一有凭证）",0,IF(H59="个人其他（无凭证）",ROUND(D45*F59,0),ROUND(C67*F59,0))))</f>
        <v>#REF!</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4"/>
      <c r="I59" s="2313" t="s">
        <v>2137</v>
      </c>
      <c r="J59" s="3604">
        <f>J57+1</f>
        <v>6</v>
      </c>
      <c r="K59" s="3603" t="s">
        <v>1372</v>
      </c>
      <c r="L59" s="2522" t="s">
        <v>1368</v>
      </c>
      <c r="M59" s="2536"/>
      <c r="N59" s="2537" t="e">
        <f ca="1">M49-N57</f>
        <v>#REF!</v>
      </c>
      <c r="O59" s="2538"/>
    </row>
    <row r="60" spans="1:35" ht="12" customHeight="1">
      <c r="A60" s="1809"/>
      <c r="B60" s="1747"/>
      <c r="C60" s="1747"/>
      <c r="D60" s="1747"/>
      <c r="E60" s="1578"/>
      <c r="F60" s="1808"/>
      <c r="G60" s="1808"/>
      <c r="H60" s="1810"/>
      <c r="I60" s="129"/>
      <c r="J60" s="3605"/>
      <c r="K60" s="3603"/>
      <c r="L60" s="2529" t="s">
        <v>1370</v>
      </c>
      <c r="M60" s="2533"/>
      <c r="N60" s="2534" t="e">
        <f ca="1">NUMBERSTRING(INT(N59*10000),2)&amp;"元整"</f>
        <v>#REF!</v>
      </c>
      <c r="O60" s="2535"/>
    </row>
    <row r="61" spans="1:35" ht="13.8" thickBot="1">
      <c r="A61" s="3551" t="s">
        <v>1373</v>
      </c>
      <c r="B61" s="3551"/>
      <c r="C61" s="3551"/>
      <c r="D61" s="3551"/>
      <c r="E61" s="3551"/>
      <c r="F61" s="1808"/>
      <c r="G61" s="1808"/>
      <c r="H61" s="1810"/>
      <c r="I61" s="129"/>
      <c r="J61" s="2522">
        <f>J59+1</f>
        <v>7</v>
      </c>
      <c r="K61" s="3603" t="s">
        <v>1374</v>
      </c>
      <c r="L61" s="3603"/>
      <c r="M61" s="2539"/>
      <c r="N61" s="2540" t="e">
        <f ca="1">ROUND(N59*10000/'数据-汇总表'!E3,0)</f>
        <v>#REF!</v>
      </c>
      <c r="O61" s="2541"/>
    </row>
    <row r="62" spans="1:35" ht="13.2">
      <c r="A62" s="3569" t="s">
        <v>1375</v>
      </c>
      <c r="B62" s="3570"/>
      <c r="C62" s="2021"/>
      <c r="D62" s="2021" t="s">
        <v>1376</v>
      </c>
      <c r="E62" s="166" t="s">
        <v>1377</v>
      </c>
      <c r="F62" s="1808"/>
      <c r="G62" s="1808"/>
      <c r="H62" s="1810"/>
      <c r="I62" s="129"/>
    </row>
    <row r="63" spans="1:35" ht="13.2">
      <c r="A63" s="173" t="s">
        <v>330</v>
      </c>
      <c r="B63" s="167" t="s">
        <v>1378</v>
      </c>
      <c r="C63" s="2563" t="e">
        <f ca="1">ROUND((C64+C65)/(1+'数据-取费表'!C42),0)</f>
        <v>#REF!</v>
      </c>
      <c r="D63" s="167"/>
      <c r="E63" s="168"/>
      <c r="F63" s="1808"/>
      <c r="G63" s="1808"/>
      <c r="H63" s="1810"/>
      <c r="I63" s="129"/>
      <c r="J63" s="3628" t="s">
        <v>1379</v>
      </c>
      <c r="K63" s="1332" t="s">
        <v>1380</v>
      </c>
      <c r="L63" s="1332" t="e">
        <f ca="1">IF(M49&gt;10000,M49*0.5%,IF(AND(M49&gt;1000,M49&lt;=10000),M49*1%,IF(AND(M49&gt;100,M49&lt;=1000),M49*3%,IF(AND(M49&gt;10,M49&lt;=100),M49*5%,M49*8%))))</f>
        <v>#REF!</v>
      </c>
      <c r="M63" s="302" t="e">
        <f ca="1">ROUND(L63,1)</f>
        <v>#REF!</v>
      </c>
      <c r="N63" s="2542"/>
      <c r="Z63" s="1752"/>
      <c r="AI63" s="1753"/>
    </row>
    <row r="64" spans="1:35" ht="14.25" customHeight="1">
      <c r="A64" s="169" t="s">
        <v>325</v>
      </c>
      <c r="B64" s="170" t="s">
        <v>1381</v>
      </c>
      <c r="C64" s="2564" t="e">
        <f ca="1">D45</f>
        <v>#REF!</v>
      </c>
      <c r="D64" s="170" t="s">
        <v>26</v>
      </c>
      <c r="E64" s="172"/>
      <c r="F64" s="1808"/>
      <c r="G64" s="1808"/>
      <c r="H64" s="1810"/>
      <c r="I64" s="129"/>
      <c r="J64" s="3628"/>
      <c r="K64" s="1332" t="s">
        <v>1382</v>
      </c>
      <c r="L64" s="1332" t="e">
        <f ca="1">IF(M49&gt;2000,M49*0.5%,IF(AND(M49&gt;1000,M49&lt;=2000),M49*0.6%,IF(AND(M49&gt;500,M49&lt;=1000),M49*0.7%,IF(AND(M49&gt;200,M49&lt;=500),M49*0.8%,IF(AND(M49&gt;100,M49&lt;=200),M49*0.9%,IF(AND(M49&gt;50,M49&lt;=100),M49*1%,IF(AND(M49&gt;20,M49&lt;=50),M49*1.5%,IF(AND(M49&gt;10,M49&lt;=20),M49*2%,IF(AND(M49&gt;1,M49&lt;=10),M49*2.5%)))))))))</f>
        <v>#REF!</v>
      </c>
      <c r="M64" s="302" t="e">
        <f t="shared" ref="M64:M65" ca="1" si="1">ROUND(L64,1)</f>
        <v>#REF!</v>
      </c>
      <c r="N64" s="2543" t="s">
        <v>1383</v>
      </c>
      <c r="Z64" s="1752"/>
      <c r="AI64" s="1753"/>
    </row>
    <row r="65" spans="1:35" ht="14.25" customHeight="1">
      <c r="A65" s="169" t="s">
        <v>326</v>
      </c>
      <c r="B65" s="170" t="s">
        <v>1384</v>
      </c>
      <c r="C65" s="2565"/>
      <c r="D65" s="170"/>
      <c r="E65" s="172"/>
      <c r="F65" s="1808"/>
      <c r="G65" s="1808"/>
      <c r="H65" s="1810"/>
      <c r="I65" s="129"/>
      <c r="J65" s="3628"/>
      <c r="K65" s="1332" t="s">
        <v>1385</v>
      </c>
      <c r="L65" s="1332" t="e">
        <f ca="1">IF(M49&gt;1000,M49*0.1%,IF(AND(M49&gt;500,M49&lt;=1000),M49*0.5%,IF(AND(M49&gt;50,M49&lt;=500),M49*1%,IF(AND(M49&gt;1,M49&lt;=50),M49*1.5%))))</f>
        <v>#REF!</v>
      </c>
      <c r="M65" s="302" t="e">
        <f t="shared" ca="1" si="1"/>
        <v>#REF!</v>
      </c>
      <c r="N65" s="2543" t="s">
        <v>1383</v>
      </c>
      <c r="Z65" s="1752"/>
      <c r="AI65" s="1753"/>
    </row>
    <row r="66" spans="1:35" ht="14.25" customHeight="1">
      <c r="A66" s="173" t="s">
        <v>327</v>
      </c>
      <c r="B66" s="174" t="s">
        <v>1386</v>
      </c>
      <c r="C66" s="2566"/>
      <c r="D66" s="174" t="s">
        <v>26</v>
      </c>
      <c r="E66" s="1338" t="s">
        <v>671</v>
      </c>
      <c r="F66" s="1808"/>
      <c r="G66" s="1808"/>
      <c r="H66" s="1810"/>
      <c r="I66" s="129"/>
      <c r="J66" s="3628"/>
      <c r="K66" s="1332" t="s">
        <v>1387</v>
      </c>
      <c r="L66" s="1332" t="e">
        <f ca="1">M49*0.5%</f>
        <v>#REF!</v>
      </c>
      <c r="M66" s="302" t="e">
        <f ca="1">IF(L66&gt;0.5,0.5,ROUND(L66,0))</f>
        <v>#REF!</v>
      </c>
      <c r="N66" s="2543" t="s">
        <v>1388</v>
      </c>
      <c r="Z66" s="1752"/>
      <c r="AI66" s="1753"/>
    </row>
    <row r="67" spans="1:35" ht="14.25" customHeight="1">
      <c r="A67" s="173" t="s">
        <v>328</v>
      </c>
      <c r="B67" s="174" t="s">
        <v>1389</v>
      </c>
      <c r="C67" s="2567" t="e">
        <f ca="1">C63-C66</f>
        <v>#REF!</v>
      </c>
      <c r="D67" s="170" t="s">
        <v>26</v>
      </c>
      <c r="E67" s="172"/>
      <c r="F67" s="1808"/>
      <c r="G67" s="1808"/>
      <c r="H67" s="1810"/>
      <c r="I67" s="129"/>
      <c r="J67" s="3628"/>
      <c r="K67" s="1332" t="s">
        <v>1390</v>
      </c>
      <c r="L67" s="1332" t="e">
        <f ca="1">IF(M49&gt;=10000,(8.25+(M49-10000)*0.01%),IF(AND(M49&gt;=8000,M49&lt;10000),(7.85+(M49-8000)*0.02%),IF(AND(M49&gt;=5000,M49&lt;8000),(6.65+(M49-5000)*0.04%),IF(AND(M49&gt;=2000,M49&lt;5000),(4.25+(PM49-2000)*0.08%),IF(AND(M49&gt;=1000,M49&lt;2000),(2.75+(M49-1000)*0.15%),IF(AND(M49&gt;=100,M49&lt;1000),(0.5+(M49-100)*0.25%),IF(AND(M49&gt;0,M49&lt;100),M49*0.5%)))))))</f>
        <v>#REF!</v>
      </c>
      <c r="M67" s="302" t="e">
        <f ca="1">ROUND(L67*0.9,1)</f>
        <v>#REF!</v>
      </c>
      <c r="N67" s="2542"/>
      <c r="Z67" s="1752"/>
      <c r="AI67" s="1753"/>
    </row>
    <row r="68" spans="1:35" ht="14.25" customHeight="1" thickBot="1">
      <c r="A68" s="176" t="s">
        <v>329</v>
      </c>
      <c r="B68" s="177" t="s">
        <v>1391</v>
      </c>
      <c r="C68" s="2568" t="e">
        <f ca="1">IF(C67&lt;=0,0,ROUND(C67*D68,0))</f>
        <v>#REF!</v>
      </c>
      <c r="D68" s="2569">
        <f>'数据-取费表'!B41</f>
        <v>5.6000000000000001E-2</v>
      </c>
      <c r="E68" s="178"/>
      <c r="F68" s="1808"/>
      <c r="G68" s="1808"/>
      <c r="H68" s="1810"/>
      <c r="I68" s="129"/>
      <c r="J68" s="3628"/>
      <c r="K68" s="1332" t="s">
        <v>1392</v>
      </c>
      <c r="L68" s="1332" t="e">
        <f ca="1">IF(M49&gt;10000,M49*0.5%,IF(AND(M49&gt;5000,M49&lt;=10000),M49*1%,IF(AND(M49&gt;1000,M49&lt;=5000),M49*2%,IF(AND(M49&gt;200,M49&lt;=1000),M49*3%,M49*5%))))</f>
        <v>#REF!</v>
      </c>
      <c r="M68" s="302" t="e">
        <f ca="1">ROUND(L68,1)</f>
        <v>#REF!</v>
      </c>
      <c r="N68" s="2542"/>
      <c r="Z68" s="1752"/>
      <c r="AI68" s="1753"/>
    </row>
    <row r="69" spans="1:35" s="1772" customFormat="1" ht="16.5" customHeight="1">
      <c r="A69" s="1811"/>
      <c r="B69" s="1812"/>
      <c r="C69" s="1813"/>
      <c r="D69" s="1814"/>
      <c r="E69" s="1815"/>
      <c r="F69" s="1578"/>
      <c r="G69" s="1578"/>
      <c r="H69" s="1577"/>
      <c r="I69" s="1747"/>
      <c r="J69" s="3628"/>
      <c r="K69" s="1332" t="s">
        <v>1393</v>
      </c>
      <c r="L69" s="1332"/>
      <c r="M69" s="302" t="e">
        <f ca="1">ROUND(SUM(M63:M68),0)</f>
        <v>#REF!</v>
      </c>
      <c r="N69" s="2544" t="e">
        <f ca="1">M69/M49</f>
        <v>#REF!</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590" t="s">
        <v>1394</v>
      </c>
      <c r="B70" s="3591"/>
      <c r="C70" s="3591"/>
      <c r="D70" s="3591"/>
      <c r="E70" s="3591"/>
      <c r="F70" s="3591"/>
      <c r="G70" s="3591"/>
      <c r="H70" s="3591"/>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569" t="s">
        <v>1375</v>
      </c>
      <c r="B71" s="3570"/>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7" t="e">
        <f ca="1">ROUND(D45/(1+'数据-取费表'!C42),0)</f>
        <v>#REF!</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7"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0"/>
      <c r="D75" s="170" t="s">
        <v>26</v>
      </c>
      <c r="E75" s="184" t="s">
        <v>1399</v>
      </c>
      <c r="F75" s="2571"/>
      <c r="G75" s="184" t="s">
        <v>1400</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564" t="s">
        <v>1402</v>
      </c>
      <c r="F76" s="3538"/>
      <c r="G76" s="3538"/>
      <c r="H76" s="358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t="e">
        <f ca="1">ROUND(D45*D78/(1+'数据-取费表'!C42),0)</f>
        <v>#REF!</v>
      </c>
      <c r="D78" s="2576">
        <f>'数据-取费表'!B43</f>
        <v>6.000000000000001E-3</v>
      </c>
      <c r="E78" s="3548" t="s">
        <v>1406</v>
      </c>
      <c r="F78" s="3549"/>
      <c r="G78" s="3549"/>
      <c r="H78" s="355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7"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8" t="e">
        <f ca="1">ROUND(IF(C79&lt;=0,0,IF(C80&gt;=200%,C79*60%-C73*35%,IF(C80&gt;=100%,C79*50%-C73*15%,IF(C80&gt;=50%,C79*40%-C73*5%,IF(C80&lt;50%,C79*30%,0))))),0)</f>
        <v>#REF!</v>
      </c>
      <c r="D81" s="2579"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590" t="s">
        <v>1410</v>
      </c>
      <c r="B83" s="3591"/>
      <c r="C83" s="3591"/>
      <c r="D83" s="3591"/>
      <c r="E83" s="3591"/>
      <c r="F83" s="3591"/>
      <c r="G83" s="3591"/>
      <c r="H83" s="359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569" t="s">
        <v>1375</v>
      </c>
      <c r="B84" s="357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7"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7" t="e">
        <f ca="1">IF(H88="仅含出让金",C87+C90+C91+C92+C93+C94,C87+C91+C92+C93+C94)</f>
        <v>#REF!</v>
      </c>
      <c r="D86" s="258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5">
        <f>C88+C89</f>
        <v>0</v>
      </c>
      <c r="D87" s="257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1"/>
      <c r="D88" s="2576"/>
      <c r="E88" s="193" t="s">
        <v>1413</v>
      </c>
      <c r="F88" s="2327"/>
      <c r="G88" s="194" t="s">
        <v>1414</v>
      </c>
      <c r="H88" s="1824"/>
      <c r="I88" s="1821"/>
      <c r="J88" s="2520"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5">
        <f>ROUND(C88*D89,0)</f>
        <v>0</v>
      </c>
      <c r="D89" s="2576">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1"/>
      <c r="D90" s="2576"/>
      <c r="E90" s="193" t="str">
        <f>IF(H88="-","土地取得成本中已包含该笔费用"," ")</f>
        <v xml:space="preserve"> </v>
      </c>
      <c r="F90" s="2327"/>
      <c r="G90" s="3630" t="s">
        <v>2129</v>
      </c>
      <c r="H90" s="3631"/>
      <c r="I90" s="1821"/>
      <c r="J90" s="2520"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548" t="s">
        <v>1419</v>
      </c>
      <c r="F91" s="3549"/>
      <c r="G91" s="354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548" t="s">
        <v>1422</v>
      </c>
      <c r="F92" s="3549"/>
      <c r="G92" s="3549"/>
      <c r="H92" s="3558"/>
      <c r="I92" s="1821"/>
      <c r="J92" s="2521"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t="e">
        <f ca="1">ROUND(D45*D93/(1+'数据-取费表'!C42),0)</f>
        <v>#REF!</v>
      </c>
      <c r="D93" s="2576">
        <f>'数据-取费表'!B43</f>
        <v>6.000000000000001E-3</v>
      </c>
      <c r="E93" s="3548" t="s">
        <v>1406</v>
      </c>
      <c r="F93" s="3549"/>
      <c r="G93" s="3549"/>
      <c r="H93" s="355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559" t="s">
        <v>1426</v>
      </c>
      <c r="F94" s="3560"/>
      <c r="G94" s="3560"/>
      <c r="H94" s="356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7"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8" t="e">
        <f ca="1">ROUND(IF(C95&lt;=0,0,IF(C96&gt;=200%,C95*60%-C86*35%,IF(C96&gt;=100%,C95*50%-C86*15%,IF(C96&gt;=50%,C95*40%-C86*5%,IF(C96&lt;50%,C95*30%,0))))),0)</f>
        <v>#REF!</v>
      </c>
      <c r="D97" s="2579"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2" t="s">
        <v>1428</v>
      </c>
      <c r="B100" s="3533"/>
      <c r="C100" s="3533"/>
      <c r="D100" s="3550"/>
      <c r="E100" s="3533" t="s">
        <v>1429</v>
      </c>
      <c r="F100" s="3533"/>
      <c r="G100" s="3533"/>
      <c r="H100" s="3550"/>
      <c r="I100" s="129"/>
    </row>
    <row r="101" spans="1:35" ht="18.75" customHeight="1">
      <c r="A101" s="3611" t="s">
        <v>1430</v>
      </c>
      <c r="B101" s="3612"/>
      <c r="C101" s="2584">
        <f>C4</f>
        <v>0</v>
      </c>
      <c r="D101" s="2585">
        <f>D4</f>
        <v>0</v>
      </c>
      <c r="E101" s="3625" t="s">
        <v>1431</v>
      </c>
      <c r="F101" s="3582"/>
      <c r="G101" s="1827" t="s">
        <v>1432</v>
      </c>
      <c r="H101" s="2594" t="e">
        <f ca="1">H118</f>
        <v>#REF!</v>
      </c>
      <c r="I101" s="129"/>
    </row>
    <row r="102" spans="1:35" ht="18.75" customHeight="1">
      <c r="A102" s="3584" t="s">
        <v>1433</v>
      </c>
      <c r="B102" s="2583" t="s">
        <v>1432</v>
      </c>
      <c r="C102" s="2584" t="e">
        <f ca="1">IF(D32="楼面单价",ROUND(C19,0),C19)</f>
        <v>#REF!</v>
      </c>
      <c r="D102" s="2585" t="e">
        <f ca="1">IF(D32="楼面单价",ROUND(D19,0),D19)</f>
        <v>#REF!</v>
      </c>
      <c r="E102" s="3625"/>
      <c r="F102" s="3582"/>
      <c r="G102" s="1827" t="s">
        <v>1434</v>
      </c>
      <c r="H102" s="2554" t="e">
        <f ca="1">I118</f>
        <v>#REF!</v>
      </c>
      <c r="I102" s="129"/>
    </row>
    <row r="103" spans="1:35" ht="42.75" customHeight="1">
      <c r="A103" s="3584"/>
      <c r="B103" s="2583" t="s">
        <v>1434</v>
      </c>
      <c r="C103" s="2586" t="e">
        <f ca="1">C20</f>
        <v>#REF!</v>
      </c>
      <c r="D103" s="2587" t="e">
        <f ca="1">D20</f>
        <v>#REF!</v>
      </c>
      <c r="E103" s="3619" t="s">
        <v>1435</v>
      </c>
      <c r="F103" s="3620"/>
      <c r="G103" s="1828" t="s">
        <v>1436</v>
      </c>
      <c r="H103" s="2594">
        <f>IF(D36="正常操作",H104+H105+H106,H105+H106)</f>
        <v>0</v>
      </c>
      <c r="I103" s="129"/>
    </row>
    <row r="104" spans="1:35" ht="18.75" customHeight="1">
      <c r="A104" s="3584" t="s">
        <v>1437</v>
      </c>
      <c r="B104" s="2588" t="s">
        <v>1432</v>
      </c>
      <c r="C104" s="2589" t="e">
        <f ca="1">H118</f>
        <v>#REF!</v>
      </c>
      <c r="D104" s="2590"/>
      <c r="E104" s="1674" t="s">
        <v>1438</v>
      </c>
      <c r="F104" s="1666"/>
      <c r="G104" s="1828" t="s">
        <v>1436</v>
      </c>
      <c r="H104" s="2595">
        <f>IF(D36="同一抵押权人同一抵押物续贷",C36&amp;"（续贷，未扣减，详见特别提示）",C36)</f>
        <v>0</v>
      </c>
      <c r="I104" s="129"/>
    </row>
    <row r="105" spans="1:35" ht="18.75" customHeight="1" thickBot="1">
      <c r="A105" s="3585"/>
      <c r="B105" s="2591" t="s">
        <v>1434</v>
      </c>
      <c r="C105" s="2592" t="e">
        <f ca="1">I118</f>
        <v>#REF!</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581" t="str">
        <f>IF(项目基本情况!E8="已注销","——","3.房地产抵押价值")</f>
        <v>3.房地产抵押价值</v>
      </c>
      <c r="F107" s="3582"/>
      <c r="G107" s="1827" t="s">
        <v>1432</v>
      </c>
      <c r="H107" s="2594" t="e">
        <f ca="1">IF(E107="——","——",H101-H103)</f>
        <v>#REF!</v>
      </c>
      <c r="I107" s="129"/>
    </row>
    <row r="108" spans="1:35" ht="18.75" customHeight="1">
      <c r="A108" s="129"/>
      <c r="B108" s="129"/>
      <c r="C108" s="129"/>
      <c r="D108" s="129"/>
      <c r="E108" s="3581"/>
      <c r="F108" s="3582"/>
      <c r="G108" s="1827" t="s">
        <v>1434</v>
      </c>
      <c r="H108" s="2554" t="e">
        <f ca="1">IF(H107=H101,H102,ROUND(H107*10000/'数据-汇总表'!E3,0))</f>
        <v>#REF!</v>
      </c>
      <c r="I108" s="129"/>
    </row>
    <row r="109" spans="1:35" ht="18.75" customHeight="1">
      <c r="A109" s="129"/>
      <c r="B109" s="129"/>
      <c r="C109" s="129"/>
      <c r="D109" s="129"/>
      <c r="E109" s="3581" t="str">
        <f>IF(项目基本情况!E8="已注销及未注销","4.抵押担保权已注销时的房地产抵押价值",IF(项目基本情况!E8="已注销","3.抵押担保权已注销时的房地产抵押价值","——"))</f>
        <v>——</v>
      </c>
      <c r="F109" s="3582"/>
      <c r="G109" s="1827" t="s">
        <v>1432</v>
      </c>
      <c r="H109" s="2597" t="str">
        <f>IF(E109="——","——",H101-H105-H106)</f>
        <v>——</v>
      </c>
      <c r="I109" s="129"/>
    </row>
    <row r="110" spans="1:35" ht="18.75" customHeight="1">
      <c r="A110" s="129"/>
      <c r="B110" s="129"/>
      <c r="C110" s="129"/>
      <c r="D110" s="129"/>
      <c r="E110" s="3581"/>
      <c r="F110" s="3582"/>
      <c r="G110" s="1827" t="s">
        <v>1434</v>
      </c>
      <c r="H110" s="2554" t="str">
        <f>IF(H109="——","——",ROUND(H109*10000/'数据-汇总表'!E3,0))</f>
        <v>——</v>
      </c>
      <c r="I110" s="129"/>
    </row>
    <row r="111" spans="1:35" ht="18.75" customHeight="1">
      <c r="A111" s="129"/>
      <c r="B111" s="129"/>
      <c r="C111" s="129"/>
      <c r="D111" s="129"/>
      <c r="E111" s="3613" t="str">
        <f>IF(项目基本情况!E9="抵押净值",IF(OR(项目基本情况!E8="已注销",项目基本情况!E8="房地产抵押价值"),"4.抵押净值","5.抵押净值"),"——")</f>
        <v>——</v>
      </c>
      <c r="F111" s="3583"/>
      <c r="G111" s="1827" t="s">
        <v>1432</v>
      </c>
      <c r="H111" s="2594" t="str">
        <f>IF(E111="——","——",N59)</f>
        <v>——</v>
      </c>
      <c r="I111" s="129"/>
    </row>
    <row r="112" spans="1:35" ht="18.75" customHeight="1" thickBot="1">
      <c r="A112" s="129"/>
      <c r="B112" s="129"/>
      <c r="C112" s="129"/>
      <c r="D112" s="129"/>
      <c r="E112" s="3614"/>
      <c r="F112" s="3615"/>
      <c r="G112" s="1830" t="s">
        <v>1434</v>
      </c>
      <c r="H112" s="2598" t="str">
        <f>IF(E111="——","——",N61)</f>
        <v>——</v>
      </c>
      <c r="I112" s="129"/>
    </row>
    <row r="113" spans="1:27" ht="18.75" customHeight="1">
      <c r="A113" s="129"/>
      <c r="B113" s="129"/>
      <c r="C113" s="129"/>
      <c r="D113" s="129"/>
      <c r="E113" s="3586" t="s">
        <v>1440</v>
      </c>
      <c r="F113" s="3586"/>
      <c r="G113" s="3586"/>
      <c r="H113" s="3586"/>
      <c r="I113" s="129"/>
    </row>
    <row r="114" spans="1:27" ht="3.75" customHeight="1">
      <c r="A114" s="1747"/>
      <c r="B114" s="1747"/>
      <c r="C114" s="1747"/>
      <c r="D114" s="1747"/>
      <c r="E114" s="1809"/>
      <c r="F114" s="1809"/>
      <c r="G114" s="1809"/>
      <c r="H114" s="1809"/>
      <c r="I114" s="1747"/>
    </row>
    <row r="115" spans="1:27" ht="18.75" customHeight="1">
      <c r="A115" s="3596" t="s">
        <v>1442</v>
      </c>
      <c r="B115" s="3597"/>
      <c r="C115" s="3597"/>
      <c r="D115" s="3597"/>
      <c r="E115" s="3597"/>
      <c r="F115" s="3597"/>
      <c r="G115" s="3597"/>
      <c r="H115" s="3597"/>
      <c r="I115" s="3598"/>
    </row>
    <row r="116" spans="1:27" ht="27" customHeight="1">
      <c r="A116" s="3552" t="s">
        <v>1443</v>
      </c>
      <c r="B116" s="3587" t="s">
        <v>1444</v>
      </c>
      <c r="C116" s="3587" t="s">
        <v>1445</v>
      </c>
      <c r="D116" s="3600" t="s">
        <v>1446</v>
      </c>
      <c r="E116" s="3601"/>
      <c r="F116" s="3595" t="s">
        <v>1447</v>
      </c>
      <c r="G116" s="3595"/>
      <c r="H116" s="3552" t="s">
        <v>1448</v>
      </c>
      <c r="I116" s="3552"/>
    </row>
    <row r="117" spans="1:27" ht="18.75" customHeight="1">
      <c r="A117" s="3552"/>
      <c r="B117" s="3588"/>
      <c r="C117" s="3588"/>
      <c r="D117" s="2329" t="s">
        <v>1449</v>
      </c>
      <c r="E117" s="2329" t="s">
        <v>1450</v>
      </c>
      <c r="F117" s="2329" t="s">
        <v>1449</v>
      </c>
      <c r="G117" s="2329" t="s">
        <v>1451</v>
      </c>
      <c r="H117" s="2329" t="s">
        <v>1449</v>
      </c>
      <c r="I117" s="2329" t="s">
        <v>1451</v>
      </c>
    </row>
    <row r="118" spans="1:27" ht="24.75" customHeight="1">
      <c r="A118" s="2599" t="str">
        <f>项目基本情况!S2</f>
        <v>北京市东城区南竹杆胡同2号房地产</v>
      </c>
      <c r="B118" s="2329">
        <f>M18</f>
        <v>195.03</v>
      </c>
      <c r="C118" s="2329">
        <f>M19</f>
        <v>0</v>
      </c>
      <c r="D118" s="2329">
        <f>ROUND(IF(D32="总价",C34,E118*B118/10000),0)</f>
        <v>0</v>
      </c>
      <c r="E118" s="2329">
        <f>ROUND(IF(C33="自定义",IF(D32="楼面单价",C34,D118*10000/B118),I118-G118),0)</f>
        <v>0</v>
      </c>
      <c r="F118" s="2329">
        <f>ROUND(IF(D32="总价",C35,G118*B118/10000),0)</f>
        <v>0</v>
      </c>
      <c r="G118" s="2329">
        <f>ROUND(IF(D32="楼面单价",C35,F118*10000/B118),0)</f>
        <v>0</v>
      </c>
      <c r="H118" s="2329" t="e">
        <f ca="1">ROUND(IF(D32="总价",C32,I118*B118/10000),0)</f>
        <v>#REF!</v>
      </c>
      <c r="I118" s="2329" t="e">
        <f ca="1">ROUND(IF(D32="楼面单价",C32,H118*10000/B118),0)</f>
        <v>#REF!</v>
      </c>
    </row>
    <row r="119" spans="1:27" ht="18.75" customHeight="1">
      <c r="A119" s="3552" t="s">
        <v>1452</v>
      </c>
      <c r="B119" s="3552"/>
      <c r="C119" s="3552"/>
      <c r="D119" s="3592" t="str">
        <f>NUMBERSTRING(INT(D118*10000),2)&amp;"元整"</f>
        <v>零元整</v>
      </c>
      <c r="E119" s="3594"/>
      <c r="F119" s="3592" t="str">
        <f>NUMBERSTRING(INT(F118*10000),2)&amp;"元整"</f>
        <v>零元整</v>
      </c>
      <c r="G119" s="3594"/>
      <c r="H119" s="3592" t="e">
        <f ca="1">NUMBERSTRING(INT(H118*10000),2)&amp;"元整"</f>
        <v>#REF!</v>
      </c>
      <c r="I119" s="3594"/>
    </row>
    <row r="120" spans="1:27" ht="18.75" customHeight="1">
      <c r="A120" s="3616" t="str">
        <f>IF(项目基本情况!B9="房地产市场价值","",MID(E103,3,LEN(E103)-2))</f>
        <v>估价师知悉的法定优先受偿款</v>
      </c>
      <c r="B120" s="3617"/>
      <c r="C120" s="3618"/>
      <c r="D120" s="3616">
        <f>H103</f>
        <v>0</v>
      </c>
      <c r="E120" s="3617"/>
      <c r="F120" s="3617"/>
      <c r="G120" s="3617"/>
      <c r="H120" s="3617"/>
      <c r="I120" s="361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2" t="s">
        <v>1452</v>
      </c>
      <c r="B121" s="3593"/>
      <c r="C121" s="3594"/>
      <c r="D121" s="3592" t="str">
        <f>IF(D120=0,"零元整",NUMBERSTRING(INT(D120*10000),2)&amp;"元整")</f>
        <v>零元整</v>
      </c>
      <c r="E121" s="3593"/>
      <c r="F121" s="3593"/>
      <c r="G121" s="3593"/>
      <c r="H121" s="3593"/>
      <c r="I121" s="3594"/>
      <c r="AA121" s="725"/>
    </row>
    <row r="122" spans="1:27" ht="18.75" customHeight="1">
      <c r="A122" s="3583" t="str">
        <f>IF(项目基本情况!B9="房地产市场价值","",MID(E107,3,LEN(E107)-2))</f>
        <v>房地产抵押价值</v>
      </c>
      <c r="B122" s="3583"/>
      <c r="C122" s="3583"/>
      <c r="D122" s="3616" t="e">
        <f ca="1">H107</f>
        <v>#REF!</v>
      </c>
      <c r="E122" s="3617"/>
      <c r="F122" s="3617"/>
      <c r="G122" s="3617"/>
      <c r="H122" s="3617"/>
      <c r="I122" s="3618"/>
      <c r="AA122" s="725"/>
    </row>
    <row r="123" spans="1:27" ht="18.75" customHeight="1">
      <c r="A123" s="3552" t="s">
        <v>1452</v>
      </c>
      <c r="B123" s="3552"/>
      <c r="C123" s="3552"/>
      <c r="D123" s="3592" t="e">
        <f ca="1">NUMBERSTRING(INT(D122*10000),2)&amp;"元整"</f>
        <v>#REF!</v>
      </c>
      <c r="E123" s="3593"/>
      <c r="F123" s="3593"/>
      <c r="G123" s="3593"/>
      <c r="H123" s="3593"/>
      <c r="I123" s="3594"/>
      <c r="AA123" s="725"/>
    </row>
    <row r="124" spans="1:27" ht="18.75" customHeight="1">
      <c r="A124" s="3583" t="str">
        <f>IF(项目基本情况!B9="房地产市场价值","",MID(E109,3,LEN(E109)-2))</f>
        <v/>
      </c>
      <c r="B124" s="3583"/>
      <c r="C124" s="3583"/>
      <c r="D124" s="3616" t="str">
        <f>H109</f>
        <v>——</v>
      </c>
      <c r="E124" s="3617"/>
      <c r="F124" s="3617"/>
      <c r="G124" s="3617"/>
      <c r="H124" s="3617"/>
      <c r="I124" s="3618"/>
      <c r="AA124" s="725"/>
    </row>
    <row r="125" spans="1:27" ht="18.75" customHeight="1">
      <c r="A125" s="3552" t="s">
        <v>1452</v>
      </c>
      <c r="B125" s="3552"/>
      <c r="C125" s="3552"/>
      <c r="D125" s="3592" t="e">
        <f>NUMBERSTRING(INT(D124*10000),2)&amp;"元整"</f>
        <v>#VALUE!</v>
      </c>
      <c r="E125" s="3593"/>
      <c r="F125" s="3593"/>
      <c r="G125" s="3593"/>
      <c r="H125" s="3593"/>
      <c r="I125" s="3594"/>
      <c r="AA125" s="725"/>
    </row>
    <row r="126" spans="1:27" ht="18.75" customHeight="1">
      <c r="A126" s="3583" t="str">
        <f>IF(项目基本情况!B9="房地产市场价值","",MID(E111,3,LEN(E111)-2))</f>
        <v/>
      </c>
      <c r="B126" s="3583"/>
      <c r="C126" s="3583"/>
      <c r="D126" s="3616" t="str">
        <f>H111</f>
        <v>——</v>
      </c>
      <c r="E126" s="3617"/>
      <c r="F126" s="3617"/>
      <c r="G126" s="3617"/>
      <c r="H126" s="3617"/>
      <c r="I126" s="3618"/>
      <c r="AA126" s="725"/>
    </row>
    <row r="127" spans="1:27" ht="18.75" customHeight="1">
      <c r="A127" s="3552" t="s">
        <v>1452</v>
      </c>
      <c r="B127" s="3552"/>
      <c r="C127" s="3552"/>
      <c r="D127" s="3592" t="e">
        <f>NUMBERSTRING(INT(D126*10000),2)&amp;"元整"</f>
        <v>#VALUE!</v>
      </c>
      <c r="E127" s="3593"/>
      <c r="F127" s="3593"/>
      <c r="G127" s="3593"/>
      <c r="H127" s="3593"/>
      <c r="I127" s="3594"/>
      <c r="AA127" s="725"/>
    </row>
    <row r="128" spans="1:27" ht="21.75" customHeight="1">
      <c r="A128" s="3599" t="s">
        <v>1453</v>
      </c>
      <c r="B128" s="3599"/>
      <c r="C128" s="3599"/>
      <c r="D128" s="3599"/>
      <c r="E128" s="3599"/>
      <c r="F128" s="3599"/>
      <c r="G128" s="3599"/>
      <c r="H128" s="3599"/>
      <c r="I128" s="3599"/>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5</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256</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4</v>
      </c>
      <c r="D10" s="845">
        <f ca="1">IF(B1="",'数据-汇总表'!E6,IF(INDIRECT("'数据-取费表'!c"&amp;$G$1)="住宅",INDIRECT("'数据-取费表'!s"&amp;$G$1),INDIRECT("'数据-取费表'!k"&amp;$G$1)+INDIRECT("'数据-取费表'!s"&amp;$G$1)))</f>
        <v>195.03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4</v>
      </c>
      <c r="D19" s="849">
        <f ca="1">D9+D10</f>
        <v>195.03</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6.9999999999999999E-4</v>
      </c>
      <c r="E22" s="236" t="s">
        <v>1498</v>
      </c>
      <c r="F22" s="237">
        <f ca="1">'数据-取费表'!B40</f>
        <v>3.3500000000000002E-2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6.4">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97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88</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4</v>
      </c>
      <c r="D37" s="217">
        <f ca="1">D19</f>
        <v>195.03</v>
      </c>
      <c r="E37" s="249">
        <f>'数据-取费表'!B35</f>
        <v>200</v>
      </c>
      <c r="F37" s="259"/>
      <c r="G37" s="261" t="s">
        <v>1532</v>
      </c>
    </row>
    <row r="38" spans="1:7" ht="13.5" customHeight="1">
      <c r="A38" s="780" t="s">
        <v>354</v>
      </c>
      <c r="B38" s="215" t="s">
        <v>1533</v>
      </c>
      <c r="C38" s="220">
        <f ca="1">ROUND(C34*F38,0)</f>
        <v>2</v>
      </c>
      <c r="D38" s="220"/>
      <c r="E38" s="220"/>
      <c r="F38" s="259">
        <f>'数据-取费表'!B36</f>
        <v>0.02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v>
      </c>
      <c r="D41" s="235">
        <f ca="1">C44</f>
        <v>6.9999999999999999E-4</v>
      </c>
      <c r="E41" s="236" t="s">
        <v>1539</v>
      </c>
      <c r="F41" s="237">
        <f ca="1">F22</f>
        <v>3.3500000000000002E-2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v>
      </c>
      <c r="D42" s="238"/>
      <c r="E42" s="238"/>
      <c r="F42" s="239"/>
      <c r="G42" s="3632" t="s">
        <v>1544</v>
      </c>
    </row>
    <row r="43" spans="1:7" ht="13.5" customHeight="1">
      <c r="A43" s="780" t="s">
        <v>347</v>
      </c>
      <c r="B43" s="215" t="s">
        <v>1545</v>
      </c>
      <c r="C43" s="238">
        <f ca="1">ROUND(IF('数据-取费表'!B22&lt;=1,C39*F22*'数据-取费表'!B21/2,C39*(POWER((1+F22),'数据-取费表'!B21/2)-1)),0)</f>
        <v>0</v>
      </c>
      <c r="D43" s="238"/>
      <c r="E43" s="238"/>
      <c r="F43" s="239"/>
      <c r="G43" s="3633"/>
    </row>
    <row r="44" spans="1:7" ht="13.5" customHeight="1">
      <c r="A44" s="780" t="s">
        <v>348</v>
      </c>
      <c r="B44" s="215" t="s">
        <v>1546</v>
      </c>
      <c r="C44" s="238">
        <f ca="1">ROUND(IF('数据-取费表'!B22&lt;=1,C40*F22*'数据-取费表'!B21/2,C40*(POWER((1+F22),'数据-取费表'!B21/2)-1)),4)</f>
        <v>6.9999999999999999E-4</v>
      </c>
      <c r="D44" s="238"/>
      <c r="E44" s="238"/>
      <c r="F44" s="239"/>
      <c r="G44" s="3634"/>
    </row>
    <row r="45" spans="1:7" s="214" customFormat="1" ht="13.5" customHeight="1">
      <c r="A45" s="255" t="s">
        <v>1547</v>
      </c>
      <c r="B45" s="244" t="s">
        <v>1513</v>
      </c>
      <c r="C45" s="245">
        <f ca="1">C46</f>
        <v>15</v>
      </c>
      <c r="D45" s="235">
        <f ca="1">C47</f>
        <v>3.0000000000000001E-3</v>
      </c>
      <c r="E45" s="236" t="s">
        <v>1539</v>
      </c>
      <c r="F45" s="246">
        <f ca="1">F27</f>
        <v>0.15</v>
      </c>
      <c r="G45" s="247" t="s">
        <v>1548</v>
      </c>
    </row>
    <row r="46" spans="1:7" s="214" customFormat="1" ht="13.5" customHeight="1">
      <c r="A46" s="780" t="s">
        <v>346</v>
      </c>
      <c r="B46" s="248" t="s">
        <v>1549</v>
      </c>
      <c r="C46" s="249">
        <f ca="1">ROUND((C33+C39)*F27,0)</f>
        <v>15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127</v>
      </c>
      <c r="D49" s="232"/>
      <c r="E49" s="232"/>
      <c r="F49" s="264"/>
      <c r="G49" s="234" t="s">
        <v>1554</v>
      </c>
    </row>
    <row r="50" spans="1:7" s="258" customFormat="1" ht="24">
      <c r="A50" s="255" t="s">
        <v>1555</v>
      </c>
      <c r="B50" s="210" t="s">
        <v>1556</v>
      </c>
      <c r="C50" s="232"/>
      <c r="D50" s="232"/>
      <c r="E50" s="232"/>
      <c r="F50" s="264">
        <f>IF('数据-取费表'!B24=0,'数据-取费表'!N16,1)</f>
        <v>0</v>
      </c>
      <c r="G50" s="247" t="s">
        <v>1557</v>
      </c>
    </row>
    <row r="51" spans="1:7" ht="16.5" customHeight="1">
      <c r="A51" s="255" t="s">
        <v>1558</v>
      </c>
      <c r="B51" s="210" t="s">
        <v>1559</v>
      </c>
      <c r="C51" s="232">
        <f ca="1">ROUND(C49*F50,0)</f>
        <v>0</v>
      </c>
      <c r="D51" s="232"/>
      <c r="E51" s="232"/>
      <c r="F51" s="264"/>
      <c r="G51" s="234" t="s">
        <v>1560</v>
      </c>
    </row>
    <row r="52" spans="1:7" s="208" customFormat="1" ht="16.8" thickBot="1">
      <c r="A52" s="265" t="s">
        <v>1561</v>
      </c>
      <c r="B52" s="266"/>
      <c r="C52" s="267">
        <f ca="1">C31+C51</f>
        <v>5</v>
      </c>
      <c r="D52" s="266"/>
      <c r="E52" s="266"/>
      <c r="F52" s="266"/>
      <c r="G52" s="268"/>
    </row>
    <row r="55" spans="1:7" ht="15">
      <c r="B55" s="270" t="s">
        <v>1562</v>
      </c>
      <c r="C55" s="271"/>
    </row>
    <row r="56" spans="1:7">
      <c r="B56" s="273" t="s">
        <v>802</v>
      </c>
      <c r="C56" s="275">
        <f ca="1">1-C57</f>
        <v>1</v>
      </c>
    </row>
    <row r="57" spans="1:7">
      <c r="B57" s="273" t="s">
        <v>803</v>
      </c>
      <c r="C57" s="274">
        <f ca="1">ROUND(C51/C52,3)</f>
        <v>0</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49" t="str">
        <f>项目基本情况!B1</f>
        <v>北京市东城区南竹杆胡同2号房地产抵押价值预评估</v>
      </c>
      <c r="C37" s="3449"/>
      <c r="D37" s="3449"/>
      <c r="E37" s="3449"/>
      <c r="F37" s="3449"/>
      <c r="G37" s="3449"/>
      <c r="H37" s="3449"/>
      <c r="I37" s="344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10.4956</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538</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39006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39006</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39006</v>
      </c>
      <c r="D10" s="845">
        <f ca="1">IF(B1="",'数据-汇总表'!E6,IF(INDIRECT("'数据-取费表'!c"&amp;$G$1)="住宅",INDIRECT("'数据-取费表'!s"&amp;$G$1),INDIRECT("'数据-取费表'!k"&amp;$G$1)+INDIRECT("'数据-取费表'!s"&amp;$G$1)))</f>
        <v>195.03</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39006</v>
      </c>
      <c r="D19" s="849">
        <f ca="1">D9+D10</f>
        <v>195.03</v>
      </c>
      <c r="E19" s="211">
        <f>'数据-取费表'!B31</f>
        <v>200</v>
      </c>
      <c r="F19" s="231"/>
      <c r="G19" s="1856"/>
    </row>
    <row r="20" spans="1:7" s="214" customFormat="1" ht="13.5" customHeight="1">
      <c r="A20" s="255" t="s">
        <v>1574</v>
      </c>
      <c r="B20" s="210" t="s">
        <v>1575</v>
      </c>
      <c r="C20" s="232">
        <f ca="1">ROUND((C5+C19)*F20,0)</f>
        <v>1560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5366</v>
      </c>
      <c r="D22" s="235">
        <f ca="1">C26</f>
        <v>6.9999999999999999E-4</v>
      </c>
      <c r="E22" s="236" t="s">
        <v>1579</v>
      </c>
      <c r="F22" s="237">
        <f ca="1">'数据-取费表'!B40</f>
        <v>3.3500000000000002E-2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2657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2657</v>
      </c>
      <c r="D24" s="238"/>
      <c r="E24" s="238"/>
      <c r="F24" s="239"/>
      <c r="G24" s="240" t="s">
        <v>1586</v>
      </c>
    </row>
    <row r="25" spans="1:7" s="214" customFormat="1" ht="24">
      <c r="A25" s="780" t="s">
        <v>1476</v>
      </c>
      <c r="B25" s="215" t="s">
        <v>1587</v>
      </c>
      <c r="C25" s="1128">
        <f ca="1">ROUND(IF('数据-取费表'!B22&lt;=1,C20*F22*'数据-取费表'!B22/2,C20*(POWER((1+F22),'数据-取费表'!B22/2)-1)),0)</f>
        <v>52</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6.4">
      <c r="A27" s="255" t="s">
        <v>1512</v>
      </c>
      <c r="B27" s="244" t="s">
        <v>1513</v>
      </c>
      <c r="C27" s="245">
        <f ca="1">C28</f>
        <v>11936</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11936</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104956</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960523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877635</v>
      </c>
      <c r="D34" s="217"/>
      <c r="E34" s="220"/>
      <c r="F34" s="257"/>
      <c r="G34" s="219"/>
    </row>
    <row r="35" spans="1:7" ht="13.5" customHeight="1">
      <c r="A35" s="780" t="s">
        <v>351</v>
      </c>
      <c r="B35" s="215" t="s">
        <v>1527</v>
      </c>
      <c r="C35" s="220">
        <f ca="1">ROUND(C34*F35,0)</f>
        <v>26329</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39006</v>
      </c>
      <c r="D37" s="217">
        <f ca="1">D19</f>
        <v>195.03</v>
      </c>
      <c r="E37" s="249">
        <f>'数据-取费表'!B35</f>
        <v>200</v>
      </c>
      <c r="F37" s="259"/>
      <c r="G37" s="261"/>
    </row>
    <row r="38" spans="1:7" ht="13.5" customHeight="1">
      <c r="A38" s="780" t="s">
        <v>354</v>
      </c>
      <c r="B38" s="215" t="s">
        <v>1533</v>
      </c>
      <c r="C38" s="220">
        <f ca="1">ROUND(C34*F38,0)</f>
        <v>17553</v>
      </c>
      <c r="D38" s="220"/>
      <c r="E38" s="220"/>
      <c r="F38" s="259">
        <f>'数据-取费表'!B36</f>
        <v>0.02</v>
      </c>
      <c r="G38" s="219" t="s">
        <v>1528</v>
      </c>
    </row>
    <row r="39" spans="1:7" s="214" customFormat="1" ht="13.5" customHeight="1">
      <c r="A39" s="255" t="s">
        <v>1534</v>
      </c>
      <c r="B39" s="210" t="s">
        <v>1535</v>
      </c>
      <c r="C39" s="232">
        <f ca="1">ROUND(C33*F20,0)</f>
        <v>19210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32822</v>
      </c>
      <c r="D41" s="235">
        <f ca="1">C44</f>
        <v>6.9999999999999999E-4</v>
      </c>
      <c r="E41" s="236" t="s">
        <v>1539</v>
      </c>
      <c r="F41" s="237">
        <f ca="1">F22</f>
        <v>3.3500000000000002E-2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32178</v>
      </c>
      <c r="D42" s="238"/>
      <c r="E42" s="238"/>
      <c r="F42" s="239"/>
      <c r="G42" s="3632" t="s">
        <v>1591</v>
      </c>
    </row>
    <row r="43" spans="1:7" ht="13.5" customHeight="1">
      <c r="A43" s="780" t="s">
        <v>347</v>
      </c>
      <c r="B43" s="215" t="s">
        <v>1545</v>
      </c>
      <c r="C43" s="238">
        <f ca="1">ROUND(IF('数据-取费表'!B22&lt;=1,C39*F22*'数据-取费表'!B20/2,C39*(POWER((1+F22),'数据-取费表'!B20/2)-1)),0)</f>
        <v>644</v>
      </c>
      <c r="D43" s="238"/>
      <c r="E43" s="238"/>
      <c r="F43" s="239"/>
      <c r="G43" s="3633"/>
    </row>
    <row r="44" spans="1:7" ht="13.5" customHeight="1">
      <c r="A44" s="780" t="s">
        <v>348</v>
      </c>
      <c r="B44" s="215" t="s">
        <v>1546</v>
      </c>
      <c r="C44" s="238">
        <f ca="1">ROUND(IF('数据-取费表'!B22&lt;=1,C40*F22*'数据-取费表'!B20/2,C40*(POWER((1+F22),'数据-取费表'!B20/2)-1)),4)</f>
        <v>6.9999999999999999E-4</v>
      </c>
      <c r="D44" s="238"/>
      <c r="E44" s="238"/>
      <c r="F44" s="239"/>
      <c r="G44" s="3634"/>
    </row>
    <row r="45" spans="1:7" s="214" customFormat="1" ht="13.5" customHeight="1">
      <c r="A45" s="255" t="s">
        <v>1547</v>
      </c>
      <c r="B45" s="244" t="s">
        <v>1513</v>
      </c>
      <c r="C45" s="245">
        <f ca="1">C46</f>
        <v>146960</v>
      </c>
      <c r="D45" s="235">
        <f ca="1">C47</f>
        <v>3.0000000000000001E-3</v>
      </c>
      <c r="E45" s="236" t="s">
        <v>1539</v>
      </c>
      <c r="F45" s="246">
        <f ca="1">F27</f>
        <v>0.15</v>
      </c>
      <c r="G45" s="247" t="s">
        <v>1548</v>
      </c>
    </row>
    <row r="46" spans="1:7" s="214" customFormat="1" ht="13.5" customHeight="1">
      <c r="A46" s="780" t="s">
        <v>346</v>
      </c>
      <c r="B46" s="248" t="s">
        <v>1549</v>
      </c>
      <c r="C46" s="249">
        <f ca="1">ROUND((C33+C39)*F27,0)</f>
        <v>146960</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1256246</v>
      </c>
      <c r="D49" s="232"/>
      <c r="E49" s="232"/>
      <c r="F49" s="264"/>
      <c r="G49" s="234" t="s">
        <v>1554</v>
      </c>
    </row>
    <row r="50" spans="1:7" s="258" customFormat="1">
      <c r="A50" s="255" t="s">
        <v>1555</v>
      </c>
      <c r="B50" s="210" t="s">
        <v>1556</v>
      </c>
      <c r="C50" s="232"/>
      <c r="D50" s="232"/>
      <c r="E50" s="232"/>
      <c r="F50" s="264">
        <f>IF('数据-取费表'!B24=0,'数据-取费表'!N16,1)</f>
        <v>0</v>
      </c>
      <c r="G50" s="247"/>
    </row>
    <row r="51" spans="1:7" ht="16.5" customHeight="1">
      <c r="A51" s="255" t="s">
        <v>1558</v>
      </c>
      <c r="B51" s="210" t="s">
        <v>1593</v>
      </c>
      <c r="C51" s="232">
        <f ca="1">ROUND(C49*F50,0)</f>
        <v>0</v>
      </c>
      <c r="D51" s="232"/>
      <c r="E51" s="232"/>
      <c r="F51" s="264"/>
      <c r="G51" s="234" t="s">
        <v>1560</v>
      </c>
    </row>
    <row r="52" spans="1:7" s="208" customFormat="1" ht="16.8" thickBot="1">
      <c r="A52" s="265" t="s">
        <v>1561</v>
      </c>
      <c r="B52" s="266"/>
      <c r="C52" s="267">
        <f ca="1">C31+C51</f>
        <v>104956</v>
      </c>
      <c r="D52" s="266"/>
      <c r="E52" s="266"/>
      <c r="F52" s="266"/>
      <c r="G52" s="268"/>
    </row>
    <row r="55" spans="1:7" ht="15">
      <c r="B55" s="270" t="s">
        <v>1562</v>
      </c>
      <c r="C55" s="271"/>
    </row>
    <row r="56" spans="1:7">
      <c r="B56" s="273" t="s">
        <v>802</v>
      </c>
      <c r="C56" s="275">
        <f ca="1">1-C57</f>
        <v>1</v>
      </c>
    </row>
    <row r="57" spans="1:7">
      <c r="B57" s="273" t="s">
        <v>803</v>
      </c>
      <c r="C57" s="274">
        <f ca="1">ROUND(C51/C52,3)</f>
        <v>0</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5"/>
      <c r="F1" s="2805"/>
      <c r="G1" s="2670"/>
      <c r="H1" s="2805"/>
      <c r="I1" s="2805"/>
      <c r="J1" s="2805"/>
      <c r="K1" s="2806">
        <f>MATCH(C1,'数据-取费表'!A6:A16,0)+5</f>
        <v>7</v>
      </c>
    </row>
    <row r="2" spans="1:33" ht="18" customHeight="1">
      <c r="A2" s="201" t="s">
        <v>1462</v>
      </c>
      <c r="B2" s="204">
        <f ca="1">C32</f>
        <v>-5</v>
      </c>
      <c r="C2" s="276" t="s">
        <v>1595</v>
      </c>
      <c r="D2" s="276"/>
      <c r="E2" s="2805"/>
      <c r="F2" s="2805"/>
      <c r="G2" s="2805"/>
      <c r="H2" s="2805"/>
      <c r="I2" s="2805"/>
      <c r="J2" s="2805"/>
      <c r="K2" s="2805"/>
    </row>
    <row r="3" spans="1:33" ht="18" customHeight="1" thickBot="1">
      <c r="A3" s="203" t="s">
        <v>1464</v>
      </c>
      <c r="B3" s="204">
        <f ca="1">ROUND(B2*10000/IF(C1="",'数据-汇总表'!E3,INDIRECT("'数据-取费表'!K"&amp;$K$1)),0)</f>
        <v>-256</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195.03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195.03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4</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4</v>
      </c>
      <c r="D20" s="846">
        <f ca="1">IF(C1="",'数据-汇总表'!E6,IF(INDIRECT("'数据-取费表'!c"&amp;$K$1)="住宅",INDIRECT("'数据-取费表'!s"&amp;$K$1),INDIRECT("'数据-取费表'!k"&amp;$K$1)+INDIRECT("'数据-取费表'!s"&amp;$K$1)))</f>
        <v>195.03</v>
      </c>
      <c r="E20" s="21">
        <f>'数据-取费表'!B28</f>
        <v>200</v>
      </c>
      <c r="F20" s="804"/>
      <c r="G20" s="12"/>
      <c r="H20" s="809"/>
      <c r="I20" s="809"/>
      <c r="J20" s="809"/>
      <c r="K20" s="810"/>
    </row>
    <row r="21" spans="1:33" s="803" customFormat="1" ht="13.5" customHeight="1">
      <c r="A21" s="790" t="s">
        <v>357</v>
      </c>
      <c r="B21" s="813" t="s">
        <v>1628</v>
      </c>
      <c r="C21" s="814">
        <f ca="1">C16+C17+C18</f>
        <v>4</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3.3500000000000002E-2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-5</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7" t="s">
        <v>694</v>
      </c>
      <c r="C6" s="1074">
        <f ca="1">ROUND(F6*F8*F7*(1-F9)/10000,0)</f>
        <v>0</v>
      </c>
      <c r="D6" s="155" t="s">
        <v>2109</v>
      </c>
      <c r="E6" s="302" t="s">
        <v>696</v>
      </c>
      <c r="F6" s="303">
        <f ca="1">INDIRECT("'数据-取费表'!u"&amp;$G$1)</f>
        <v>0</v>
      </c>
      <c r="G6" s="1384"/>
      <c r="H6" s="1069" t="s">
        <v>398</v>
      </c>
      <c r="I6" s="3637" t="s">
        <v>694</v>
      </c>
      <c r="J6" s="301">
        <f ca="1">ROUND(M6*M8*M7*(1-M9)/10000,0)</f>
        <v>0</v>
      </c>
      <c r="K6" s="155" t="s">
        <v>2108</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0</v>
      </c>
      <c r="G7" s="1384"/>
      <c r="H7" s="304"/>
      <c r="I7" s="3638"/>
      <c r="J7" s="306"/>
      <c r="K7" s="307"/>
      <c r="L7" s="302" t="s">
        <v>697</v>
      </c>
      <c r="M7" s="303">
        <f ca="1">F7</f>
        <v>0</v>
      </c>
    </row>
    <row r="8" spans="1:37" ht="18" customHeight="1">
      <c r="A8" s="304"/>
      <c r="B8" s="3638"/>
      <c r="C8" s="306"/>
      <c r="D8" s="307"/>
      <c r="E8" s="302" t="s">
        <v>698</v>
      </c>
      <c r="F8" s="303">
        <f ca="1">INDIRECT("'数据-取费表'!ai"&amp;$G$1)</f>
        <v>0</v>
      </c>
      <c r="G8" s="1384"/>
      <c r="H8" s="304"/>
      <c r="I8" s="3638"/>
      <c r="J8" s="306"/>
      <c r="K8" s="307"/>
      <c r="L8" s="302" t="s">
        <v>698</v>
      </c>
      <c r="M8" s="303">
        <f ca="1">INDIRECT("'数据-取费表'!ai"&amp;$G$1)</f>
        <v>0</v>
      </c>
    </row>
    <row r="9" spans="1:37" ht="18" customHeight="1">
      <c r="A9" s="304"/>
      <c r="B9" s="3639"/>
      <c r="C9" s="306"/>
      <c r="D9" s="307"/>
      <c r="E9" s="302" t="s">
        <v>699</v>
      </c>
      <c r="F9" s="312">
        <f ca="1">INDIRECT("'数据-取费表'!w"&amp;$G$1)</f>
        <v>0</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30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3.3500000000000002E-2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7" t="s">
        <v>2308</v>
      </c>
      <c r="I31" s="1398"/>
      <c r="J31" s="1399"/>
      <c r="K31" s="2474"/>
      <c r="L31" s="2697"/>
      <c r="M31" s="2698"/>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3338</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30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ROUND(C13*F37,2)</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5" t="s">
        <v>837</v>
      </c>
      <c r="L53" s="3636"/>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30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t="e">
        <f ca="1">ROUND(D2/10000,4)</f>
        <v>#DIV/0!</v>
      </c>
      <c r="C2" s="1387" t="s">
        <v>879</v>
      </c>
      <c r="D2" s="1471" t="e">
        <f ca="1">C40+J29+L46</f>
        <v>#DIV/0!</v>
      </c>
      <c r="E2" s="1388" t="s">
        <v>880</v>
      </c>
      <c r="F2" s="1389"/>
      <c r="G2" s="2705"/>
      <c r="H2" s="2694"/>
      <c r="I2" s="2694"/>
      <c r="J2" s="2694"/>
      <c r="K2" s="2695"/>
      <c r="L2" s="2694"/>
      <c r="M2" s="2694"/>
    </row>
    <row r="3" spans="1:37" ht="18" customHeight="1" thickBot="1">
      <c r="A3" s="1390" t="s">
        <v>881</v>
      </c>
      <c r="B3" s="1391">
        <f ca="1">IF(ISERROR(D2/F43),0,ROUND(D2/F43,0))</f>
        <v>0</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7" t="s">
        <v>694</v>
      </c>
      <c r="C6" s="1074">
        <f ca="1">ROUND(F6*F8*F7*(1-F9),0)</f>
        <v>0</v>
      </c>
      <c r="D6" s="155" t="s">
        <v>2106</v>
      </c>
      <c r="E6" s="302" t="s">
        <v>696</v>
      </c>
      <c r="F6" s="303">
        <f ca="1">INDIRECT("'数据-取费表'!u"&amp;$G$1)</f>
        <v>0</v>
      </c>
      <c r="G6" s="1384"/>
      <c r="H6" s="1069" t="s">
        <v>398</v>
      </c>
      <c r="I6" s="3637" t="s">
        <v>694</v>
      </c>
      <c r="J6" s="301">
        <f ca="1">ROUND(M6*M8*M7*(1-M9),0)</f>
        <v>0</v>
      </c>
      <c r="K6" s="1376" t="s">
        <v>2107</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0</v>
      </c>
      <c r="G7" s="1384"/>
      <c r="H7" s="304"/>
      <c r="I7" s="3638"/>
      <c r="J7" s="306"/>
      <c r="K7" s="307"/>
      <c r="L7" s="302" t="s">
        <v>697</v>
      </c>
      <c r="M7" s="303">
        <f ca="1">F7</f>
        <v>0</v>
      </c>
    </row>
    <row r="8" spans="1:37" ht="18" customHeight="1">
      <c r="A8" s="304"/>
      <c r="B8" s="3638"/>
      <c r="C8" s="306"/>
      <c r="D8" s="307"/>
      <c r="E8" s="302" t="s">
        <v>698</v>
      </c>
      <c r="F8" s="303">
        <f ca="1">INDIRECT("'数据-取费表'!ai"&amp;$G$1)</f>
        <v>0</v>
      </c>
      <c r="G8" s="1384"/>
      <c r="H8" s="304"/>
      <c r="I8" s="3638"/>
      <c r="J8" s="306"/>
      <c r="K8" s="307"/>
      <c r="L8" s="302" t="s">
        <v>698</v>
      </c>
      <c r="M8" s="303">
        <f ca="1">INDIRECT("'数据-取费表'!ai"&amp;$G$1)</f>
        <v>0</v>
      </c>
    </row>
    <row r="9" spans="1:37" ht="18" customHeight="1">
      <c r="A9" s="304"/>
      <c r="B9" s="3639"/>
      <c r="C9" s="306"/>
      <c r="D9" s="307"/>
      <c r="E9" s="302" t="s">
        <v>699</v>
      </c>
      <c r="F9" s="312">
        <f ca="1">INDIRECT("'数据-取费表'!w"&amp;$G$1)</f>
        <v>0</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30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3.3500000000000002E-2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7" t="s">
        <v>2308</v>
      </c>
      <c r="I31" s="1398"/>
      <c r="J31" s="1399"/>
      <c r="K31" s="2474"/>
      <c r="L31" s="2697"/>
      <c r="M31" s="2698"/>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3338</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IF(项目基本情况!B11="自然人","——",ROUND(F34*F35,0))</f>
        <v>——</v>
      </c>
      <c r="D34" s="324" t="s">
        <v>731</v>
      </c>
      <c r="E34" s="302" t="s">
        <v>732</v>
      </c>
      <c r="F34" s="325">
        <f>'数据-取费表'!B52</f>
        <v>30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ROUND(C13*F37,0)</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ROUND(C5*F38,0)</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3354</v>
      </c>
      <c r="B45" s="1400"/>
      <c r="C45" s="1472" t="e">
        <f ca="1">ROUND((C68-C40)/10000,4)</f>
        <v>#DIV/0!</v>
      </c>
      <c r="D45" s="3431" t="s">
        <v>3355</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5" t="s">
        <v>837</v>
      </c>
      <c r="L53" s="3636"/>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30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41" customWidth="1"/>
    <col min="2" max="2" width="8.88671875" style="2841"/>
    <col min="3" max="5" width="12.88671875" style="2841" customWidth="1"/>
    <col min="6" max="6" width="47.44140625" style="2841" customWidth="1"/>
    <col min="7" max="7" width="13" style="3000" customWidth="1"/>
    <col min="8" max="8" width="8.88671875" style="2835"/>
    <col min="9" max="9" width="8.88671875" style="2836"/>
    <col min="10" max="10" width="5.77734375" style="3001" customWidth="1"/>
    <col min="11" max="11" width="11.77734375" style="3001" customWidth="1"/>
    <col min="12" max="13" width="10.77734375" style="3001" customWidth="1"/>
    <col min="14" max="14" width="10" style="3001" customWidth="1"/>
    <col min="15" max="16" width="10.44140625" style="3001" bestFit="1" customWidth="1"/>
    <col min="17" max="17" width="10" style="3001" customWidth="1"/>
    <col min="18" max="18" width="10.109375" style="3001" customWidth="1"/>
    <col min="19" max="19" width="10" style="3001" customWidth="1"/>
    <col min="20" max="20" width="26.109375" style="3001" customWidth="1"/>
    <col min="21" max="21" width="8.88671875" style="3001"/>
    <col min="22" max="22" width="8.88671875" style="2836"/>
    <col min="23" max="256" width="8.88671875" style="2841"/>
    <col min="257" max="257" width="9.44140625" style="2841" customWidth="1"/>
    <col min="258" max="258" width="8.88671875" style="2841"/>
    <col min="259" max="261" width="12.88671875" style="2841" customWidth="1"/>
    <col min="262" max="262" width="47.44140625" style="2841" customWidth="1"/>
    <col min="263" max="263" width="13" style="2841" customWidth="1"/>
    <col min="264" max="265" width="8.88671875" style="2841"/>
    <col min="266" max="266" width="5.77734375" style="2841" customWidth="1"/>
    <col min="267" max="267" width="11.77734375" style="2841" customWidth="1"/>
    <col min="268" max="269" width="10.77734375" style="2841" customWidth="1"/>
    <col min="270" max="270" width="10" style="2841" customWidth="1"/>
    <col min="271" max="272" width="10.44140625" style="2841" bestFit="1" customWidth="1"/>
    <col min="273" max="273" width="10" style="2841" customWidth="1"/>
    <col min="274" max="274" width="10.109375" style="2841" customWidth="1"/>
    <col min="275" max="275" width="10" style="2841" customWidth="1"/>
    <col min="276" max="276" width="26.109375" style="2841" customWidth="1"/>
    <col min="277" max="512" width="8.88671875" style="2841"/>
    <col min="513" max="513" width="9.44140625" style="2841" customWidth="1"/>
    <col min="514" max="514" width="8.88671875" style="2841"/>
    <col min="515" max="517" width="12.88671875" style="2841" customWidth="1"/>
    <col min="518" max="518" width="47.44140625" style="2841" customWidth="1"/>
    <col min="519" max="519" width="13" style="2841" customWidth="1"/>
    <col min="520" max="521" width="8.88671875" style="2841"/>
    <col min="522" max="522" width="5.77734375" style="2841" customWidth="1"/>
    <col min="523" max="523" width="11.77734375" style="2841" customWidth="1"/>
    <col min="524" max="525" width="10.77734375" style="2841" customWidth="1"/>
    <col min="526" max="526" width="10" style="2841" customWidth="1"/>
    <col min="527" max="528" width="10.44140625" style="2841" bestFit="1" customWidth="1"/>
    <col min="529" max="529" width="10" style="2841" customWidth="1"/>
    <col min="530" max="530" width="10.109375" style="2841" customWidth="1"/>
    <col min="531" max="531" width="10" style="2841" customWidth="1"/>
    <col min="532" max="532" width="26.109375" style="2841" customWidth="1"/>
    <col min="533" max="768" width="8.88671875" style="2841"/>
    <col min="769" max="769" width="9.44140625" style="2841" customWidth="1"/>
    <col min="770" max="770" width="8.88671875" style="2841"/>
    <col min="771" max="773" width="12.88671875" style="2841" customWidth="1"/>
    <col min="774" max="774" width="47.44140625" style="2841" customWidth="1"/>
    <col min="775" max="775" width="13" style="2841" customWidth="1"/>
    <col min="776" max="777" width="8.88671875" style="2841"/>
    <col min="778" max="778" width="5.77734375" style="2841" customWidth="1"/>
    <col min="779" max="779" width="11.77734375" style="2841" customWidth="1"/>
    <col min="780" max="781" width="10.77734375" style="2841" customWidth="1"/>
    <col min="782" max="782" width="10" style="2841" customWidth="1"/>
    <col min="783" max="784" width="10.44140625" style="2841" bestFit="1" customWidth="1"/>
    <col min="785" max="785" width="10" style="2841" customWidth="1"/>
    <col min="786" max="786" width="10.109375" style="2841" customWidth="1"/>
    <col min="787" max="787" width="10" style="2841" customWidth="1"/>
    <col min="788" max="788" width="26.109375" style="2841" customWidth="1"/>
    <col min="789" max="1024" width="8.88671875" style="2841"/>
    <col min="1025" max="1025" width="9.44140625" style="2841" customWidth="1"/>
    <col min="1026" max="1026" width="8.88671875" style="2841"/>
    <col min="1027" max="1029" width="12.88671875" style="2841" customWidth="1"/>
    <col min="1030" max="1030" width="47.44140625" style="2841" customWidth="1"/>
    <col min="1031" max="1031" width="13" style="2841" customWidth="1"/>
    <col min="1032" max="1033" width="8.88671875" style="2841"/>
    <col min="1034" max="1034" width="5.77734375" style="2841" customWidth="1"/>
    <col min="1035" max="1035" width="11.77734375" style="2841" customWidth="1"/>
    <col min="1036" max="1037" width="10.77734375" style="2841" customWidth="1"/>
    <col min="1038" max="1038" width="10" style="2841" customWidth="1"/>
    <col min="1039" max="1040" width="10.44140625" style="2841" bestFit="1" customWidth="1"/>
    <col min="1041" max="1041" width="10" style="2841" customWidth="1"/>
    <col min="1042" max="1042" width="10.109375" style="2841" customWidth="1"/>
    <col min="1043" max="1043" width="10" style="2841" customWidth="1"/>
    <col min="1044" max="1044" width="26.109375" style="2841" customWidth="1"/>
    <col min="1045" max="1280" width="8.88671875" style="2841"/>
    <col min="1281" max="1281" width="9.44140625" style="2841" customWidth="1"/>
    <col min="1282" max="1282" width="8.88671875" style="2841"/>
    <col min="1283" max="1285" width="12.88671875" style="2841" customWidth="1"/>
    <col min="1286" max="1286" width="47.44140625" style="2841" customWidth="1"/>
    <col min="1287" max="1287" width="13" style="2841" customWidth="1"/>
    <col min="1288" max="1289" width="8.88671875" style="2841"/>
    <col min="1290" max="1290" width="5.77734375" style="2841" customWidth="1"/>
    <col min="1291" max="1291" width="11.77734375" style="2841" customWidth="1"/>
    <col min="1292" max="1293" width="10.77734375" style="2841" customWidth="1"/>
    <col min="1294" max="1294" width="10" style="2841" customWidth="1"/>
    <col min="1295" max="1296" width="10.44140625" style="2841" bestFit="1" customWidth="1"/>
    <col min="1297" max="1297" width="10" style="2841" customWidth="1"/>
    <col min="1298" max="1298" width="10.109375" style="2841" customWidth="1"/>
    <col min="1299" max="1299" width="10" style="2841" customWidth="1"/>
    <col min="1300" max="1300" width="26.109375" style="2841" customWidth="1"/>
    <col min="1301" max="1536" width="8.88671875" style="2841"/>
    <col min="1537" max="1537" width="9.44140625" style="2841" customWidth="1"/>
    <col min="1538" max="1538" width="8.88671875" style="2841"/>
    <col min="1539" max="1541" width="12.88671875" style="2841" customWidth="1"/>
    <col min="1542" max="1542" width="47.44140625" style="2841" customWidth="1"/>
    <col min="1543" max="1543" width="13" style="2841" customWidth="1"/>
    <col min="1544" max="1545" width="8.88671875" style="2841"/>
    <col min="1546" max="1546" width="5.77734375" style="2841" customWidth="1"/>
    <col min="1547" max="1547" width="11.77734375" style="2841" customWidth="1"/>
    <col min="1548" max="1549" width="10.77734375" style="2841" customWidth="1"/>
    <col min="1550" max="1550" width="10" style="2841" customWidth="1"/>
    <col min="1551" max="1552" width="10.44140625" style="2841" bestFit="1" customWidth="1"/>
    <col min="1553" max="1553" width="10" style="2841" customWidth="1"/>
    <col min="1554" max="1554" width="10.109375" style="2841" customWidth="1"/>
    <col min="1555" max="1555" width="10" style="2841" customWidth="1"/>
    <col min="1556" max="1556" width="26.109375" style="2841" customWidth="1"/>
    <col min="1557" max="1792" width="8.88671875" style="2841"/>
    <col min="1793" max="1793" width="9.44140625" style="2841" customWidth="1"/>
    <col min="1794" max="1794" width="8.88671875" style="2841"/>
    <col min="1795" max="1797" width="12.88671875" style="2841" customWidth="1"/>
    <col min="1798" max="1798" width="47.44140625" style="2841" customWidth="1"/>
    <col min="1799" max="1799" width="13" style="2841" customWidth="1"/>
    <col min="1800" max="1801" width="8.88671875" style="2841"/>
    <col min="1802" max="1802" width="5.77734375" style="2841" customWidth="1"/>
    <col min="1803" max="1803" width="11.77734375" style="2841" customWidth="1"/>
    <col min="1804" max="1805" width="10.77734375" style="2841" customWidth="1"/>
    <col min="1806" max="1806" width="10" style="2841" customWidth="1"/>
    <col min="1807" max="1808" width="10.44140625" style="2841" bestFit="1" customWidth="1"/>
    <col min="1809" max="1809" width="10" style="2841" customWidth="1"/>
    <col min="1810" max="1810" width="10.109375" style="2841" customWidth="1"/>
    <col min="1811" max="1811" width="10" style="2841" customWidth="1"/>
    <col min="1812" max="1812" width="26.109375" style="2841" customWidth="1"/>
    <col min="1813" max="2048" width="8.88671875" style="2841"/>
    <col min="2049" max="2049" width="9.44140625" style="2841" customWidth="1"/>
    <col min="2050" max="2050" width="8.88671875" style="2841"/>
    <col min="2051" max="2053" width="12.88671875" style="2841" customWidth="1"/>
    <col min="2054" max="2054" width="47.44140625" style="2841" customWidth="1"/>
    <col min="2055" max="2055" width="13" style="2841" customWidth="1"/>
    <col min="2056" max="2057" width="8.88671875" style="2841"/>
    <col min="2058" max="2058" width="5.77734375" style="2841" customWidth="1"/>
    <col min="2059" max="2059" width="11.77734375" style="2841" customWidth="1"/>
    <col min="2060" max="2061" width="10.77734375" style="2841" customWidth="1"/>
    <col min="2062" max="2062" width="10" style="2841" customWidth="1"/>
    <col min="2063" max="2064" width="10.44140625" style="2841" bestFit="1" customWidth="1"/>
    <col min="2065" max="2065" width="10" style="2841" customWidth="1"/>
    <col min="2066" max="2066" width="10.109375" style="2841" customWidth="1"/>
    <col min="2067" max="2067" width="10" style="2841" customWidth="1"/>
    <col min="2068" max="2068" width="26.109375" style="2841" customWidth="1"/>
    <col min="2069" max="2304" width="8.88671875" style="2841"/>
    <col min="2305" max="2305" width="9.44140625" style="2841" customWidth="1"/>
    <col min="2306" max="2306" width="8.88671875" style="2841"/>
    <col min="2307" max="2309" width="12.88671875" style="2841" customWidth="1"/>
    <col min="2310" max="2310" width="47.44140625" style="2841" customWidth="1"/>
    <col min="2311" max="2311" width="13" style="2841" customWidth="1"/>
    <col min="2312" max="2313" width="8.88671875" style="2841"/>
    <col min="2314" max="2314" width="5.77734375" style="2841" customWidth="1"/>
    <col min="2315" max="2315" width="11.77734375" style="2841" customWidth="1"/>
    <col min="2316" max="2317" width="10.77734375" style="2841" customWidth="1"/>
    <col min="2318" max="2318" width="10" style="2841" customWidth="1"/>
    <col min="2319" max="2320" width="10.44140625" style="2841" bestFit="1" customWidth="1"/>
    <col min="2321" max="2321" width="10" style="2841" customWidth="1"/>
    <col min="2322" max="2322" width="10.109375" style="2841" customWidth="1"/>
    <col min="2323" max="2323" width="10" style="2841" customWidth="1"/>
    <col min="2324" max="2324" width="26.109375" style="2841" customWidth="1"/>
    <col min="2325" max="2560" width="8.88671875" style="2841"/>
    <col min="2561" max="2561" width="9.44140625" style="2841" customWidth="1"/>
    <col min="2562" max="2562" width="8.88671875" style="2841"/>
    <col min="2563" max="2565" width="12.88671875" style="2841" customWidth="1"/>
    <col min="2566" max="2566" width="47.44140625" style="2841" customWidth="1"/>
    <col min="2567" max="2567" width="13" style="2841" customWidth="1"/>
    <col min="2568" max="2569" width="8.88671875" style="2841"/>
    <col min="2570" max="2570" width="5.77734375" style="2841" customWidth="1"/>
    <col min="2571" max="2571" width="11.77734375" style="2841" customWidth="1"/>
    <col min="2572" max="2573" width="10.77734375" style="2841" customWidth="1"/>
    <col min="2574" max="2574" width="10" style="2841" customWidth="1"/>
    <col min="2575" max="2576" width="10.44140625" style="2841" bestFit="1" customWidth="1"/>
    <col min="2577" max="2577" width="10" style="2841" customWidth="1"/>
    <col min="2578" max="2578" width="10.109375" style="2841" customWidth="1"/>
    <col min="2579" max="2579" width="10" style="2841" customWidth="1"/>
    <col min="2580" max="2580" width="26.109375" style="2841" customWidth="1"/>
    <col min="2581" max="2816" width="8.88671875" style="2841"/>
    <col min="2817" max="2817" width="9.44140625" style="2841" customWidth="1"/>
    <col min="2818" max="2818" width="8.88671875" style="2841"/>
    <col min="2819" max="2821" width="12.88671875" style="2841" customWidth="1"/>
    <col min="2822" max="2822" width="47.44140625" style="2841" customWidth="1"/>
    <col min="2823" max="2823" width="13" style="2841" customWidth="1"/>
    <col min="2824" max="2825" width="8.88671875" style="2841"/>
    <col min="2826" max="2826" width="5.77734375" style="2841" customWidth="1"/>
    <col min="2827" max="2827" width="11.77734375" style="2841" customWidth="1"/>
    <col min="2828" max="2829" width="10.77734375" style="2841" customWidth="1"/>
    <col min="2830" max="2830" width="10" style="2841" customWidth="1"/>
    <col min="2831" max="2832" width="10.44140625" style="2841" bestFit="1" customWidth="1"/>
    <col min="2833" max="2833" width="10" style="2841" customWidth="1"/>
    <col min="2834" max="2834" width="10.109375" style="2841" customWidth="1"/>
    <col min="2835" max="2835" width="10" style="2841" customWidth="1"/>
    <col min="2836" max="2836" width="26.109375" style="2841" customWidth="1"/>
    <col min="2837" max="3072" width="8.88671875" style="2841"/>
    <col min="3073" max="3073" width="9.44140625" style="2841" customWidth="1"/>
    <col min="3074" max="3074" width="8.88671875" style="2841"/>
    <col min="3075" max="3077" width="12.88671875" style="2841" customWidth="1"/>
    <col min="3078" max="3078" width="47.44140625" style="2841" customWidth="1"/>
    <col min="3079" max="3079" width="13" style="2841" customWidth="1"/>
    <col min="3080" max="3081" width="8.88671875" style="2841"/>
    <col min="3082" max="3082" width="5.77734375" style="2841" customWidth="1"/>
    <col min="3083" max="3083" width="11.77734375" style="2841" customWidth="1"/>
    <col min="3084" max="3085" width="10.77734375" style="2841" customWidth="1"/>
    <col min="3086" max="3086" width="10" style="2841" customWidth="1"/>
    <col min="3087" max="3088" width="10.44140625" style="2841" bestFit="1" customWidth="1"/>
    <col min="3089" max="3089" width="10" style="2841" customWidth="1"/>
    <col min="3090" max="3090" width="10.109375" style="2841" customWidth="1"/>
    <col min="3091" max="3091" width="10" style="2841" customWidth="1"/>
    <col min="3092" max="3092" width="26.109375" style="2841" customWidth="1"/>
    <col min="3093" max="3328" width="8.88671875" style="2841"/>
    <col min="3329" max="3329" width="9.44140625" style="2841" customWidth="1"/>
    <col min="3330" max="3330" width="8.88671875" style="2841"/>
    <col min="3331" max="3333" width="12.88671875" style="2841" customWidth="1"/>
    <col min="3334" max="3334" width="47.44140625" style="2841" customWidth="1"/>
    <col min="3335" max="3335" width="13" style="2841" customWidth="1"/>
    <col min="3336" max="3337" width="8.88671875" style="2841"/>
    <col min="3338" max="3338" width="5.77734375" style="2841" customWidth="1"/>
    <col min="3339" max="3339" width="11.77734375" style="2841" customWidth="1"/>
    <col min="3340" max="3341" width="10.77734375" style="2841" customWidth="1"/>
    <col min="3342" max="3342" width="10" style="2841" customWidth="1"/>
    <col min="3343" max="3344" width="10.44140625" style="2841" bestFit="1" customWidth="1"/>
    <col min="3345" max="3345" width="10" style="2841" customWidth="1"/>
    <col min="3346" max="3346" width="10.109375" style="2841" customWidth="1"/>
    <col min="3347" max="3347" width="10" style="2841" customWidth="1"/>
    <col min="3348" max="3348" width="26.109375" style="2841" customWidth="1"/>
    <col min="3349" max="3584" width="8.88671875" style="2841"/>
    <col min="3585" max="3585" width="9.44140625" style="2841" customWidth="1"/>
    <col min="3586" max="3586" width="8.88671875" style="2841"/>
    <col min="3587" max="3589" width="12.88671875" style="2841" customWidth="1"/>
    <col min="3590" max="3590" width="47.44140625" style="2841" customWidth="1"/>
    <col min="3591" max="3591" width="13" style="2841" customWidth="1"/>
    <col min="3592" max="3593" width="8.88671875" style="2841"/>
    <col min="3594" max="3594" width="5.77734375" style="2841" customWidth="1"/>
    <col min="3595" max="3595" width="11.77734375" style="2841" customWidth="1"/>
    <col min="3596" max="3597" width="10.77734375" style="2841" customWidth="1"/>
    <col min="3598" max="3598" width="10" style="2841" customWidth="1"/>
    <col min="3599" max="3600" width="10.44140625" style="2841" bestFit="1" customWidth="1"/>
    <col min="3601" max="3601" width="10" style="2841" customWidth="1"/>
    <col min="3602" max="3602" width="10.109375" style="2841" customWidth="1"/>
    <col min="3603" max="3603" width="10" style="2841" customWidth="1"/>
    <col min="3604" max="3604" width="26.109375" style="2841" customWidth="1"/>
    <col min="3605" max="3840" width="8.88671875" style="2841"/>
    <col min="3841" max="3841" width="9.44140625" style="2841" customWidth="1"/>
    <col min="3842" max="3842" width="8.88671875" style="2841"/>
    <col min="3843" max="3845" width="12.88671875" style="2841" customWidth="1"/>
    <col min="3846" max="3846" width="47.44140625" style="2841" customWidth="1"/>
    <col min="3847" max="3847" width="13" style="2841" customWidth="1"/>
    <col min="3848" max="3849" width="8.88671875" style="2841"/>
    <col min="3850" max="3850" width="5.77734375" style="2841" customWidth="1"/>
    <col min="3851" max="3851" width="11.77734375" style="2841" customWidth="1"/>
    <col min="3852" max="3853" width="10.77734375" style="2841" customWidth="1"/>
    <col min="3854" max="3854" width="10" style="2841" customWidth="1"/>
    <col min="3855" max="3856" width="10.44140625" style="2841" bestFit="1" customWidth="1"/>
    <col min="3857" max="3857" width="10" style="2841" customWidth="1"/>
    <col min="3858" max="3858" width="10.109375" style="2841" customWidth="1"/>
    <col min="3859" max="3859" width="10" style="2841" customWidth="1"/>
    <col min="3860" max="3860" width="26.109375" style="2841" customWidth="1"/>
    <col min="3861" max="4096" width="8.88671875" style="2841"/>
    <col min="4097" max="4097" width="9.44140625" style="2841" customWidth="1"/>
    <col min="4098" max="4098" width="8.88671875" style="2841"/>
    <col min="4099" max="4101" width="12.88671875" style="2841" customWidth="1"/>
    <col min="4102" max="4102" width="47.44140625" style="2841" customWidth="1"/>
    <col min="4103" max="4103" width="13" style="2841" customWidth="1"/>
    <col min="4104" max="4105" width="8.88671875" style="2841"/>
    <col min="4106" max="4106" width="5.77734375" style="2841" customWidth="1"/>
    <col min="4107" max="4107" width="11.77734375" style="2841" customWidth="1"/>
    <col min="4108" max="4109" width="10.77734375" style="2841" customWidth="1"/>
    <col min="4110" max="4110" width="10" style="2841" customWidth="1"/>
    <col min="4111" max="4112" width="10.44140625" style="2841" bestFit="1" customWidth="1"/>
    <col min="4113" max="4113" width="10" style="2841" customWidth="1"/>
    <col min="4114" max="4114" width="10.109375" style="2841" customWidth="1"/>
    <col min="4115" max="4115" width="10" style="2841" customWidth="1"/>
    <col min="4116" max="4116" width="26.109375" style="2841" customWidth="1"/>
    <col min="4117" max="4352" width="8.88671875" style="2841"/>
    <col min="4353" max="4353" width="9.44140625" style="2841" customWidth="1"/>
    <col min="4354" max="4354" width="8.88671875" style="2841"/>
    <col min="4355" max="4357" width="12.88671875" style="2841" customWidth="1"/>
    <col min="4358" max="4358" width="47.44140625" style="2841" customWidth="1"/>
    <col min="4359" max="4359" width="13" style="2841" customWidth="1"/>
    <col min="4360" max="4361" width="8.88671875" style="2841"/>
    <col min="4362" max="4362" width="5.77734375" style="2841" customWidth="1"/>
    <col min="4363" max="4363" width="11.77734375" style="2841" customWidth="1"/>
    <col min="4364" max="4365" width="10.77734375" style="2841" customWidth="1"/>
    <col min="4366" max="4366" width="10" style="2841" customWidth="1"/>
    <col min="4367" max="4368" width="10.44140625" style="2841" bestFit="1" customWidth="1"/>
    <col min="4369" max="4369" width="10" style="2841" customWidth="1"/>
    <col min="4370" max="4370" width="10.109375" style="2841" customWidth="1"/>
    <col min="4371" max="4371" width="10" style="2841" customWidth="1"/>
    <col min="4372" max="4372" width="26.109375" style="2841" customWidth="1"/>
    <col min="4373" max="4608" width="8.88671875" style="2841"/>
    <col min="4609" max="4609" width="9.44140625" style="2841" customWidth="1"/>
    <col min="4610" max="4610" width="8.88671875" style="2841"/>
    <col min="4611" max="4613" width="12.88671875" style="2841" customWidth="1"/>
    <col min="4614" max="4614" width="47.44140625" style="2841" customWidth="1"/>
    <col min="4615" max="4615" width="13" style="2841" customWidth="1"/>
    <col min="4616" max="4617" width="8.88671875" style="2841"/>
    <col min="4618" max="4618" width="5.77734375" style="2841" customWidth="1"/>
    <col min="4619" max="4619" width="11.77734375" style="2841" customWidth="1"/>
    <col min="4620" max="4621" width="10.77734375" style="2841" customWidth="1"/>
    <col min="4622" max="4622" width="10" style="2841" customWidth="1"/>
    <col min="4623" max="4624" width="10.44140625" style="2841" bestFit="1" customWidth="1"/>
    <col min="4625" max="4625" width="10" style="2841" customWidth="1"/>
    <col min="4626" max="4626" width="10.109375" style="2841" customWidth="1"/>
    <col min="4627" max="4627" width="10" style="2841" customWidth="1"/>
    <col min="4628" max="4628" width="26.109375" style="2841" customWidth="1"/>
    <col min="4629" max="4864" width="8.88671875" style="2841"/>
    <col min="4865" max="4865" width="9.44140625" style="2841" customWidth="1"/>
    <col min="4866" max="4866" width="8.88671875" style="2841"/>
    <col min="4867" max="4869" width="12.88671875" style="2841" customWidth="1"/>
    <col min="4870" max="4870" width="47.44140625" style="2841" customWidth="1"/>
    <col min="4871" max="4871" width="13" style="2841" customWidth="1"/>
    <col min="4872" max="4873" width="8.88671875" style="2841"/>
    <col min="4874" max="4874" width="5.77734375" style="2841" customWidth="1"/>
    <col min="4875" max="4875" width="11.77734375" style="2841" customWidth="1"/>
    <col min="4876" max="4877" width="10.77734375" style="2841" customWidth="1"/>
    <col min="4878" max="4878" width="10" style="2841" customWidth="1"/>
    <col min="4879" max="4880" width="10.44140625" style="2841" bestFit="1" customWidth="1"/>
    <col min="4881" max="4881" width="10" style="2841" customWidth="1"/>
    <col min="4882" max="4882" width="10.109375" style="2841" customWidth="1"/>
    <col min="4883" max="4883" width="10" style="2841" customWidth="1"/>
    <col min="4884" max="4884" width="26.109375" style="2841" customWidth="1"/>
    <col min="4885" max="5120" width="8.88671875" style="2841"/>
    <col min="5121" max="5121" width="9.44140625" style="2841" customWidth="1"/>
    <col min="5122" max="5122" width="8.88671875" style="2841"/>
    <col min="5123" max="5125" width="12.88671875" style="2841" customWidth="1"/>
    <col min="5126" max="5126" width="47.44140625" style="2841" customWidth="1"/>
    <col min="5127" max="5127" width="13" style="2841" customWidth="1"/>
    <col min="5128" max="5129" width="8.88671875" style="2841"/>
    <col min="5130" max="5130" width="5.77734375" style="2841" customWidth="1"/>
    <col min="5131" max="5131" width="11.77734375" style="2841" customWidth="1"/>
    <col min="5132" max="5133" width="10.77734375" style="2841" customWidth="1"/>
    <col min="5134" max="5134" width="10" style="2841" customWidth="1"/>
    <col min="5135" max="5136" width="10.44140625" style="2841" bestFit="1" customWidth="1"/>
    <col min="5137" max="5137" width="10" style="2841" customWidth="1"/>
    <col min="5138" max="5138" width="10.109375" style="2841" customWidth="1"/>
    <col min="5139" max="5139" width="10" style="2841" customWidth="1"/>
    <col min="5140" max="5140" width="26.109375" style="2841" customWidth="1"/>
    <col min="5141" max="5376" width="8.88671875" style="2841"/>
    <col min="5377" max="5377" width="9.44140625" style="2841" customWidth="1"/>
    <col min="5378" max="5378" width="8.88671875" style="2841"/>
    <col min="5379" max="5381" width="12.88671875" style="2841" customWidth="1"/>
    <col min="5382" max="5382" width="47.44140625" style="2841" customWidth="1"/>
    <col min="5383" max="5383" width="13" style="2841" customWidth="1"/>
    <col min="5384" max="5385" width="8.88671875" style="2841"/>
    <col min="5386" max="5386" width="5.77734375" style="2841" customWidth="1"/>
    <col min="5387" max="5387" width="11.77734375" style="2841" customWidth="1"/>
    <col min="5388" max="5389" width="10.77734375" style="2841" customWidth="1"/>
    <col min="5390" max="5390" width="10" style="2841" customWidth="1"/>
    <col min="5391" max="5392" width="10.44140625" style="2841" bestFit="1" customWidth="1"/>
    <col min="5393" max="5393" width="10" style="2841" customWidth="1"/>
    <col min="5394" max="5394" width="10.109375" style="2841" customWidth="1"/>
    <col min="5395" max="5395" width="10" style="2841" customWidth="1"/>
    <col min="5396" max="5396" width="26.109375" style="2841" customWidth="1"/>
    <col min="5397" max="5632" width="8.88671875" style="2841"/>
    <col min="5633" max="5633" width="9.44140625" style="2841" customWidth="1"/>
    <col min="5634" max="5634" width="8.88671875" style="2841"/>
    <col min="5635" max="5637" width="12.88671875" style="2841" customWidth="1"/>
    <col min="5638" max="5638" width="47.44140625" style="2841" customWidth="1"/>
    <col min="5639" max="5639" width="13" style="2841" customWidth="1"/>
    <col min="5640" max="5641" width="8.88671875" style="2841"/>
    <col min="5642" max="5642" width="5.77734375" style="2841" customWidth="1"/>
    <col min="5643" max="5643" width="11.77734375" style="2841" customWidth="1"/>
    <col min="5644" max="5645" width="10.77734375" style="2841" customWidth="1"/>
    <col min="5646" max="5646" width="10" style="2841" customWidth="1"/>
    <col min="5647" max="5648" width="10.44140625" style="2841" bestFit="1" customWidth="1"/>
    <col min="5649" max="5649" width="10" style="2841" customWidth="1"/>
    <col min="5650" max="5650" width="10.109375" style="2841" customWidth="1"/>
    <col min="5651" max="5651" width="10" style="2841" customWidth="1"/>
    <col min="5652" max="5652" width="26.109375" style="2841" customWidth="1"/>
    <col min="5653" max="5888" width="8.88671875" style="2841"/>
    <col min="5889" max="5889" width="9.44140625" style="2841" customWidth="1"/>
    <col min="5890" max="5890" width="8.88671875" style="2841"/>
    <col min="5891" max="5893" width="12.88671875" style="2841" customWidth="1"/>
    <col min="5894" max="5894" width="47.44140625" style="2841" customWidth="1"/>
    <col min="5895" max="5895" width="13" style="2841" customWidth="1"/>
    <col min="5896" max="5897" width="8.88671875" style="2841"/>
    <col min="5898" max="5898" width="5.77734375" style="2841" customWidth="1"/>
    <col min="5899" max="5899" width="11.77734375" style="2841" customWidth="1"/>
    <col min="5900" max="5901" width="10.77734375" style="2841" customWidth="1"/>
    <col min="5902" max="5902" width="10" style="2841" customWidth="1"/>
    <col min="5903" max="5904" width="10.44140625" style="2841" bestFit="1" customWidth="1"/>
    <col min="5905" max="5905" width="10" style="2841" customWidth="1"/>
    <col min="5906" max="5906" width="10.109375" style="2841" customWidth="1"/>
    <col min="5907" max="5907" width="10" style="2841" customWidth="1"/>
    <col min="5908" max="5908" width="26.109375" style="2841" customWidth="1"/>
    <col min="5909" max="6144" width="8.88671875" style="2841"/>
    <col min="6145" max="6145" width="9.44140625" style="2841" customWidth="1"/>
    <col min="6146" max="6146" width="8.88671875" style="2841"/>
    <col min="6147" max="6149" width="12.88671875" style="2841" customWidth="1"/>
    <col min="6150" max="6150" width="47.44140625" style="2841" customWidth="1"/>
    <col min="6151" max="6151" width="13" style="2841" customWidth="1"/>
    <col min="6152" max="6153" width="8.88671875" style="2841"/>
    <col min="6154" max="6154" width="5.77734375" style="2841" customWidth="1"/>
    <col min="6155" max="6155" width="11.77734375" style="2841" customWidth="1"/>
    <col min="6156" max="6157" width="10.77734375" style="2841" customWidth="1"/>
    <col min="6158" max="6158" width="10" style="2841" customWidth="1"/>
    <col min="6159" max="6160" width="10.44140625" style="2841" bestFit="1" customWidth="1"/>
    <col min="6161" max="6161" width="10" style="2841" customWidth="1"/>
    <col min="6162" max="6162" width="10.109375" style="2841" customWidth="1"/>
    <col min="6163" max="6163" width="10" style="2841" customWidth="1"/>
    <col min="6164" max="6164" width="26.109375" style="2841" customWidth="1"/>
    <col min="6165" max="6400" width="8.88671875" style="2841"/>
    <col min="6401" max="6401" width="9.44140625" style="2841" customWidth="1"/>
    <col min="6402" max="6402" width="8.88671875" style="2841"/>
    <col min="6403" max="6405" width="12.88671875" style="2841" customWidth="1"/>
    <col min="6406" max="6406" width="47.44140625" style="2841" customWidth="1"/>
    <col min="6407" max="6407" width="13" style="2841" customWidth="1"/>
    <col min="6408" max="6409" width="8.88671875" style="2841"/>
    <col min="6410" max="6410" width="5.77734375" style="2841" customWidth="1"/>
    <col min="6411" max="6411" width="11.77734375" style="2841" customWidth="1"/>
    <col min="6412" max="6413" width="10.77734375" style="2841" customWidth="1"/>
    <col min="6414" max="6414" width="10" style="2841" customWidth="1"/>
    <col min="6415" max="6416" width="10.44140625" style="2841" bestFit="1" customWidth="1"/>
    <col min="6417" max="6417" width="10" style="2841" customWidth="1"/>
    <col min="6418" max="6418" width="10.109375" style="2841" customWidth="1"/>
    <col min="6419" max="6419" width="10" style="2841" customWidth="1"/>
    <col min="6420" max="6420" width="26.109375" style="2841" customWidth="1"/>
    <col min="6421" max="6656" width="8.88671875" style="2841"/>
    <col min="6657" max="6657" width="9.44140625" style="2841" customWidth="1"/>
    <col min="6658" max="6658" width="8.88671875" style="2841"/>
    <col min="6659" max="6661" width="12.88671875" style="2841" customWidth="1"/>
    <col min="6662" max="6662" width="47.44140625" style="2841" customWidth="1"/>
    <col min="6663" max="6663" width="13" style="2841" customWidth="1"/>
    <col min="6664" max="6665" width="8.88671875" style="2841"/>
    <col min="6666" max="6666" width="5.77734375" style="2841" customWidth="1"/>
    <col min="6667" max="6667" width="11.77734375" style="2841" customWidth="1"/>
    <col min="6668" max="6669" width="10.77734375" style="2841" customWidth="1"/>
    <col min="6670" max="6670" width="10" style="2841" customWidth="1"/>
    <col min="6671" max="6672" width="10.44140625" style="2841" bestFit="1" customWidth="1"/>
    <col min="6673" max="6673" width="10" style="2841" customWidth="1"/>
    <col min="6674" max="6674" width="10.109375" style="2841" customWidth="1"/>
    <col min="6675" max="6675" width="10" style="2841" customWidth="1"/>
    <col min="6676" max="6676" width="26.109375" style="2841" customWidth="1"/>
    <col min="6677" max="6912" width="8.88671875" style="2841"/>
    <col min="6913" max="6913" width="9.44140625" style="2841" customWidth="1"/>
    <col min="6914" max="6914" width="8.88671875" style="2841"/>
    <col min="6915" max="6917" width="12.88671875" style="2841" customWidth="1"/>
    <col min="6918" max="6918" width="47.44140625" style="2841" customWidth="1"/>
    <col min="6919" max="6919" width="13" style="2841" customWidth="1"/>
    <col min="6920" max="6921" width="8.88671875" style="2841"/>
    <col min="6922" max="6922" width="5.77734375" style="2841" customWidth="1"/>
    <col min="6923" max="6923" width="11.77734375" style="2841" customWidth="1"/>
    <col min="6924" max="6925" width="10.77734375" style="2841" customWidth="1"/>
    <col min="6926" max="6926" width="10" style="2841" customWidth="1"/>
    <col min="6927" max="6928" width="10.44140625" style="2841" bestFit="1" customWidth="1"/>
    <col min="6929" max="6929" width="10" style="2841" customWidth="1"/>
    <col min="6930" max="6930" width="10.109375" style="2841" customWidth="1"/>
    <col min="6931" max="6931" width="10" style="2841" customWidth="1"/>
    <col min="6932" max="6932" width="26.109375" style="2841" customWidth="1"/>
    <col min="6933" max="7168" width="8.88671875" style="2841"/>
    <col min="7169" max="7169" width="9.44140625" style="2841" customWidth="1"/>
    <col min="7170" max="7170" width="8.88671875" style="2841"/>
    <col min="7171" max="7173" width="12.88671875" style="2841" customWidth="1"/>
    <col min="7174" max="7174" width="47.44140625" style="2841" customWidth="1"/>
    <col min="7175" max="7175" width="13" style="2841" customWidth="1"/>
    <col min="7176" max="7177" width="8.88671875" style="2841"/>
    <col min="7178" max="7178" width="5.77734375" style="2841" customWidth="1"/>
    <col min="7179" max="7179" width="11.77734375" style="2841" customWidth="1"/>
    <col min="7180" max="7181" width="10.77734375" style="2841" customWidth="1"/>
    <col min="7182" max="7182" width="10" style="2841" customWidth="1"/>
    <col min="7183" max="7184" width="10.44140625" style="2841" bestFit="1" customWidth="1"/>
    <col min="7185" max="7185" width="10" style="2841" customWidth="1"/>
    <col min="7186" max="7186" width="10.109375" style="2841" customWidth="1"/>
    <col min="7187" max="7187" width="10" style="2841" customWidth="1"/>
    <col min="7188" max="7188" width="26.109375" style="2841" customWidth="1"/>
    <col min="7189" max="7424" width="8.88671875" style="2841"/>
    <col min="7425" max="7425" width="9.44140625" style="2841" customWidth="1"/>
    <col min="7426" max="7426" width="8.88671875" style="2841"/>
    <col min="7427" max="7429" width="12.88671875" style="2841" customWidth="1"/>
    <col min="7430" max="7430" width="47.44140625" style="2841" customWidth="1"/>
    <col min="7431" max="7431" width="13" style="2841" customWidth="1"/>
    <col min="7432" max="7433" width="8.88671875" style="2841"/>
    <col min="7434" max="7434" width="5.77734375" style="2841" customWidth="1"/>
    <col min="7435" max="7435" width="11.77734375" style="2841" customWidth="1"/>
    <col min="7436" max="7437" width="10.77734375" style="2841" customWidth="1"/>
    <col min="7438" max="7438" width="10" style="2841" customWidth="1"/>
    <col min="7439" max="7440" width="10.44140625" style="2841" bestFit="1" customWidth="1"/>
    <col min="7441" max="7441" width="10" style="2841" customWidth="1"/>
    <col min="7442" max="7442" width="10.109375" style="2841" customWidth="1"/>
    <col min="7443" max="7443" width="10" style="2841" customWidth="1"/>
    <col min="7444" max="7444" width="26.109375" style="2841" customWidth="1"/>
    <col min="7445" max="7680" width="8.88671875" style="2841"/>
    <col min="7681" max="7681" width="9.44140625" style="2841" customWidth="1"/>
    <col min="7682" max="7682" width="8.88671875" style="2841"/>
    <col min="7683" max="7685" width="12.88671875" style="2841" customWidth="1"/>
    <col min="7686" max="7686" width="47.44140625" style="2841" customWidth="1"/>
    <col min="7687" max="7687" width="13" style="2841" customWidth="1"/>
    <col min="7688" max="7689" width="8.88671875" style="2841"/>
    <col min="7690" max="7690" width="5.77734375" style="2841" customWidth="1"/>
    <col min="7691" max="7691" width="11.77734375" style="2841" customWidth="1"/>
    <col min="7692" max="7693" width="10.77734375" style="2841" customWidth="1"/>
    <col min="7694" max="7694" width="10" style="2841" customWidth="1"/>
    <col min="7695" max="7696" width="10.44140625" style="2841" bestFit="1" customWidth="1"/>
    <col min="7697" max="7697" width="10" style="2841" customWidth="1"/>
    <col min="7698" max="7698" width="10.109375" style="2841" customWidth="1"/>
    <col min="7699" max="7699" width="10" style="2841" customWidth="1"/>
    <col min="7700" max="7700" width="26.109375" style="2841" customWidth="1"/>
    <col min="7701" max="7936" width="8.88671875" style="2841"/>
    <col min="7937" max="7937" width="9.44140625" style="2841" customWidth="1"/>
    <col min="7938" max="7938" width="8.88671875" style="2841"/>
    <col min="7939" max="7941" width="12.88671875" style="2841" customWidth="1"/>
    <col min="7942" max="7942" width="47.44140625" style="2841" customWidth="1"/>
    <col min="7943" max="7943" width="13" style="2841" customWidth="1"/>
    <col min="7944" max="7945" width="8.88671875" style="2841"/>
    <col min="7946" max="7946" width="5.77734375" style="2841" customWidth="1"/>
    <col min="7947" max="7947" width="11.77734375" style="2841" customWidth="1"/>
    <col min="7948" max="7949" width="10.77734375" style="2841" customWidth="1"/>
    <col min="7950" max="7950" width="10" style="2841" customWidth="1"/>
    <col min="7951" max="7952" width="10.44140625" style="2841" bestFit="1" customWidth="1"/>
    <col min="7953" max="7953" width="10" style="2841" customWidth="1"/>
    <col min="7954" max="7954" width="10.109375" style="2841" customWidth="1"/>
    <col min="7955" max="7955" width="10" style="2841" customWidth="1"/>
    <col min="7956" max="7956" width="26.109375" style="2841" customWidth="1"/>
    <col min="7957" max="8192" width="8.88671875" style="2841"/>
    <col min="8193" max="8193" width="9.44140625" style="2841" customWidth="1"/>
    <col min="8194" max="8194" width="8.88671875" style="2841"/>
    <col min="8195" max="8197" width="12.88671875" style="2841" customWidth="1"/>
    <col min="8198" max="8198" width="47.44140625" style="2841" customWidth="1"/>
    <col min="8199" max="8199" width="13" style="2841" customWidth="1"/>
    <col min="8200" max="8201" width="8.88671875" style="2841"/>
    <col min="8202" max="8202" width="5.77734375" style="2841" customWidth="1"/>
    <col min="8203" max="8203" width="11.77734375" style="2841" customWidth="1"/>
    <col min="8204" max="8205" width="10.77734375" style="2841" customWidth="1"/>
    <col min="8206" max="8206" width="10" style="2841" customWidth="1"/>
    <col min="8207" max="8208" width="10.44140625" style="2841" bestFit="1" customWidth="1"/>
    <col min="8209" max="8209" width="10" style="2841" customWidth="1"/>
    <col min="8210" max="8210" width="10.109375" style="2841" customWidth="1"/>
    <col min="8211" max="8211" width="10" style="2841" customWidth="1"/>
    <col min="8212" max="8212" width="26.109375" style="2841" customWidth="1"/>
    <col min="8213" max="8448" width="8.88671875" style="2841"/>
    <col min="8449" max="8449" width="9.44140625" style="2841" customWidth="1"/>
    <col min="8450" max="8450" width="8.88671875" style="2841"/>
    <col min="8451" max="8453" width="12.88671875" style="2841" customWidth="1"/>
    <col min="8454" max="8454" width="47.44140625" style="2841" customWidth="1"/>
    <col min="8455" max="8455" width="13" style="2841" customWidth="1"/>
    <col min="8456" max="8457" width="8.88671875" style="2841"/>
    <col min="8458" max="8458" width="5.77734375" style="2841" customWidth="1"/>
    <col min="8459" max="8459" width="11.77734375" style="2841" customWidth="1"/>
    <col min="8460" max="8461" width="10.77734375" style="2841" customWidth="1"/>
    <col min="8462" max="8462" width="10" style="2841" customWidth="1"/>
    <col min="8463" max="8464" width="10.44140625" style="2841" bestFit="1" customWidth="1"/>
    <col min="8465" max="8465" width="10" style="2841" customWidth="1"/>
    <col min="8466" max="8466" width="10.109375" style="2841" customWidth="1"/>
    <col min="8467" max="8467" width="10" style="2841" customWidth="1"/>
    <col min="8468" max="8468" width="26.109375" style="2841" customWidth="1"/>
    <col min="8469" max="8704" width="8.88671875" style="2841"/>
    <col min="8705" max="8705" width="9.44140625" style="2841" customWidth="1"/>
    <col min="8706" max="8706" width="8.88671875" style="2841"/>
    <col min="8707" max="8709" width="12.88671875" style="2841" customWidth="1"/>
    <col min="8710" max="8710" width="47.44140625" style="2841" customWidth="1"/>
    <col min="8711" max="8711" width="13" style="2841" customWidth="1"/>
    <col min="8712" max="8713" width="8.88671875" style="2841"/>
    <col min="8714" max="8714" width="5.77734375" style="2841" customWidth="1"/>
    <col min="8715" max="8715" width="11.77734375" style="2841" customWidth="1"/>
    <col min="8716" max="8717" width="10.77734375" style="2841" customWidth="1"/>
    <col min="8718" max="8718" width="10" style="2841" customWidth="1"/>
    <col min="8719" max="8720" width="10.44140625" style="2841" bestFit="1" customWidth="1"/>
    <col min="8721" max="8721" width="10" style="2841" customWidth="1"/>
    <col min="8722" max="8722" width="10.109375" style="2841" customWidth="1"/>
    <col min="8723" max="8723" width="10" style="2841" customWidth="1"/>
    <col min="8724" max="8724" width="26.109375" style="2841" customWidth="1"/>
    <col min="8725" max="8960" width="8.88671875" style="2841"/>
    <col min="8961" max="8961" width="9.44140625" style="2841" customWidth="1"/>
    <col min="8962" max="8962" width="8.88671875" style="2841"/>
    <col min="8963" max="8965" width="12.88671875" style="2841" customWidth="1"/>
    <col min="8966" max="8966" width="47.44140625" style="2841" customWidth="1"/>
    <col min="8967" max="8967" width="13" style="2841" customWidth="1"/>
    <col min="8968" max="8969" width="8.88671875" style="2841"/>
    <col min="8970" max="8970" width="5.77734375" style="2841" customWidth="1"/>
    <col min="8971" max="8971" width="11.77734375" style="2841" customWidth="1"/>
    <col min="8972" max="8973" width="10.77734375" style="2841" customWidth="1"/>
    <col min="8974" max="8974" width="10" style="2841" customWidth="1"/>
    <col min="8975" max="8976" width="10.44140625" style="2841" bestFit="1" customWidth="1"/>
    <col min="8977" max="8977" width="10" style="2841" customWidth="1"/>
    <col min="8978" max="8978" width="10.109375" style="2841" customWidth="1"/>
    <col min="8979" max="8979" width="10" style="2841" customWidth="1"/>
    <col min="8980" max="8980" width="26.109375" style="2841" customWidth="1"/>
    <col min="8981" max="9216" width="8.88671875" style="2841"/>
    <col min="9217" max="9217" width="9.44140625" style="2841" customWidth="1"/>
    <col min="9218" max="9218" width="8.88671875" style="2841"/>
    <col min="9219" max="9221" width="12.88671875" style="2841" customWidth="1"/>
    <col min="9222" max="9222" width="47.44140625" style="2841" customWidth="1"/>
    <col min="9223" max="9223" width="13" style="2841" customWidth="1"/>
    <col min="9224" max="9225" width="8.88671875" style="2841"/>
    <col min="9226" max="9226" width="5.77734375" style="2841" customWidth="1"/>
    <col min="9227" max="9227" width="11.77734375" style="2841" customWidth="1"/>
    <col min="9228" max="9229" width="10.77734375" style="2841" customWidth="1"/>
    <col min="9230" max="9230" width="10" style="2841" customWidth="1"/>
    <col min="9231" max="9232" width="10.44140625" style="2841" bestFit="1" customWidth="1"/>
    <col min="9233" max="9233" width="10" style="2841" customWidth="1"/>
    <col min="9234" max="9234" width="10.109375" style="2841" customWidth="1"/>
    <col min="9235" max="9235" width="10" style="2841" customWidth="1"/>
    <col min="9236" max="9236" width="26.109375" style="2841" customWidth="1"/>
    <col min="9237" max="9472" width="8.88671875" style="2841"/>
    <col min="9473" max="9473" width="9.44140625" style="2841" customWidth="1"/>
    <col min="9474" max="9474" width="8.88671875" style="2841"/>
    <col min="9475" max="9477" width="12.88671875" style="2841" customWidth="1"/>
    <col min="9478" max="9478" width="47.44140625" style="2841" customWidth="1"/>
    <col min="9479" max="9479" width="13" style="2841" customWidth="1"/>
    <col min="9480" max="9481" width="8.88671875" style="2841"/>
    <col min="9482" max="9482" width="5.77734375" style="2841" customWidth="1"/>
    <col min="9483" max="9483" width="11.77734375" style="2841" customWidth="1"/>
    <col min="9484" max="9485" width="10.77734375" style="2841" customWidth="1"/>
    <col min="9486" max="9486" width="10" style="2841" customWidth="1"/>
    <col min="9487" max="9488" width="10.44140625" style="2841" bestFit="1" customWidth="1"/>
    <col min="9489" max="9489" width="10" style="2841" customWidth="1"/>
    <col min="9490" max="9490" width="10.109375" style="2841" customWidth="1"/>
    <col min="9491" max="9491" width="10" style="2841" customWidth="1"/>
    <col min="9492" max="9492" width="26.109375" style="2841" customWidth="1"/>
    <col min="9493" max="9728" width="8.88671875" style="2841"/>
    <col min="9729" max="9729" width="9.44140625" style="2841" customWidth="1"/>
    <col min="9730" max="9730" width="8.88671875" style="2841"/>
    <col min="9731" max="9733" width="12.88671875" style="2841" customWidth="1"/>
    <col min="9734" max="9734" width="47.44140625" style="2841" customWidth="1"/>
    <col min="9735" max="9735" width="13" style="2841" customWidth="1"/>
    <col min="9736" max="9737" width="8.88671875" style="2841"/>
    <col min="9738" max="9738" width="5.77734375" style="2841" customWidth="1"/>
    <col min="9739" max="9739" width="11.77734375" style="2841" customWidth="1"/>
    <col min="9740" max="9741" width="10.77734375" style="2841" customWidth="1"/>
    <col min="9742" max="9742" width="10" style="2841" customWidth="1"/>
    <col min="9743" max="9744" width="10.44140625" style="2841" bestFit="1" customWidth="1"/>
    <col min="9745" max="9745" width="10" style="2841" customWidth="1"/>
    <col min="9746" max="9746" width="10.109375" style="2841" customWidth="1"/>
    <col min="9747" max="9747" width="10" style="2841" customWidth="1"/>
    <col min="9748" max="9748" width="26.109375" style="2841" customWidth="1"/>
    <col min="9749" max="9984" width="8.88671875" style="2841"/>
    <col min="9985" max="9985" width="9.44140625" style="2841" customWidth="1"/>
    <col min="9986" max="9986" width="8.88671875" style="2841"/>
    <col min="9987" max="9989" width="12.88671875" style="2841" customWidth="1"/>
    <col min="9990" max="9990" width="47.44140625" style="2841" customWidth="1"/>
    <col min="9991" max="9991" width="13" style="2841" customWidth="1"/>
    <col min="9992" max="9993" width="8.88671875" style="2841"/>
    <col min="9994" max="9994" width="5.77734375" style="2841" customWidth="1"/>
    <col min="9995" max="9995" width="11.77734375" style="2841" customWidth="1"/>
    <col min="9996" max="9997" width="10.77734375" style="2841" customWidth="1"/>
    <col min="9998" max="9998" width="10" style="2841" customWidth="1"/>
    <col min="9999" max="10000" width="10.44140625" style="2841" bestFit="1" customWidth="1"/>
    <col min="10001" max="10001" width="10" style="2841" customWidth="1"/>
    <col min="10002" max="10002" width="10.109375" style="2841" customWidth="1"/>
    <col min="10003" max="10003" width="10" style="2841" customWidth="1"/>
    <col min="10004" max="10004" width="26.109375" style="2841" customWidth="1"/>
    <col min="10005" max="10240" width="8.88671875" style="2841"/>
    <col min="10241" max="10241" width="9.44140625" style="2841" customWidth="1"/>
    <col min="10242" max="10242" width="8.88671875" style="2841"/>
    <col min="10243" max="10245" width="12.88671875" style="2841" customWidth="1"/>
    <col min="10246" max="10246" width="47.44140625" style="2841" customWidth="1"/>
    <col min="10247" max="10247" width="13" style="2841" customWidth="1"/>
    <col min="10248" max="10249" width="8.88671875" style="2841"/>
    <col min="10250" max="10250" width="5.77734375" style="2841" customWidth="1"/>
    <col min="10251" max="10251" width="11.77734375" style="2841" customWidth="1"/>
    <col min="10252" max="10253" width="10.77734375" style="2841" customWidth="1"/>
    <col min="10254" max="10254" width="10" style="2841" customWidth="1"/>
    <col min="10255" max="10256" width="10.44140625" style="2841" bestFit="1" customWidth="1"/>
    <col min="10257" max="10257" width="10" style="2841" customWidth="1"/>
    <col min="10258" max="10258" width="10.109375" style="2841" customWidth="1"/>
    <col min="10259" max="10259" width="10" style="2841" customWidth="1"/>
    <col min="10260" max="10260" width="26.109375" style="2841" customWidth="1"/>
    <col min="10261" max="10496" width="8.88671875" style="2841"/>
    <col min="10497" max="10497" width="9.44140625" style="2841" customWidth="1"/>
    <col min="10498" max="10498" width="8.88671875" style="2841"/>
    <col min="10499" max="10501" width="12.88671875" style="2841" customWidth="1"/>
    <col min="10502" max="10502" width="47.44140625" style="2841" customWidth="1"/>
    <col min="10503" max="10503" width="13" style="2841" customWidth="1"/>
    <col min="10504" max="10505" width="8.88671875" style="2841"/>
    <col min="10506" max="10506" width="5.77734375" style="2841" customWidth="1"/>
    <col min="10507" max="10507" width="11.77734375" style="2841" customWidth="1"/>
    <col min="10508" max="10509" width="10.77734375" style="2841" customWidth="1"/>
    <col min="10510" max="10510" width="10" style="2841" customWidth="1"/>
    <col min="10511" max="10512" width="10.44140625" style="2841" bestFit="1" customWidth="1"/>
    <col min="10513" max="10513" width="10" style="2841" customWidth="1"/>
    <col min="10514" max="10514" width="10.109375" style="2841" customWidth="1"/>
    <col min="10515" max="10515" width="10" style="2841" customWidth="1"/>
    <col min="10516" max="10516" width="26.109375" style="2841" customWidth="1"/>
    <col min="10517" max="10752" width="8.88671875" style="2841"/>
    <col min="10753" max="10753" width="9.44140625" style="2841" customWidth="1"/>
    <col min="10754" max="10754" width="8.88671875" style="2841"/>
    <col min="10755" max="10757" width="12.88671875" style="2841" customWidth="1"/>
    <col min="10758" max="10758" width="47.44140625" style="2841" customWidth="1"/>
    <col min="10759" max="10759" width="13" style="2841" customWidth="1"/>
    <col min="10760" max="10761" width="8.88671875" style="2841"/>
    <col min="10762" max="10762" width="5.77734375" style="2841" customWidth="1"/>
    <col min="10763" max="10763" width="11.77734375" style="2841" customWidth="1"/>
    <col min="10764" max="10765" width="10.77734375" style="2841" customWidth="1"/>
    <col min="10766" max="10766" width="10" style="2841" customWidth="1"/>
    <col min="10767" max="10768" width="10.44140625" style="2841" bestFit="1" customWidth="1"/>
    <col min="10769" max="10769" width="10" style="2841" customWidth="1"/>
    <col min="10770" max="10770" width="10.109375" style="2841" customWidth="1"/>
    <col min="10771" max="10771" width="10" style="2841" customWidth="1"/>
    <col min="10772" max="10772" width="26.109375" style="2841" customWidth="1"/>
    <col min="10773" max="11008" width="8.88671875" style="2841"/>
    <col min="11009" max="11009" width="9.44140625" style="2841" customWidth="1"/>
    <col min="11010" max="11010" width="8.88671875" style="2841"/>
    <col min="11011" max="11013" width="12.88671875" style="2841" customWidth="1"/>
    <col min="11014" max="11014" width="47.44140625" style="2841" customWidth="1"/>
    <col min="11015" max="11015" width="13" style="2841" customWidth="1"/>
    <col min="11016" max="11017" width="8.88671875" style="2841"/>
    <col min="11018" max="11018" width="5.77734375" style="2841" customWidth="1"/>
    <col min="11019" max="11019" width="11.77734375" style="2841" customWidth="1"/>
    <col min="11020" max="11021" width="10.77734375" style="2841" customWidth="1"/>
    <col min="11022" max="11022" width="10" style="2841" customWidth="1"/>
    <col min="11023" max="11024" width="10.44140625" style="2841" bestFit="1" customWidth="1"/>
    <col min="11025" max="11025" width="10" style="2841" customWidth="1"/>
    <col min="11026" max="11026" width="10.109375" style="2841" customWidth="1"/>
    <col min="11027" max="11027" width="10" style="2841" customWidth="1"/>
    <col min="11028" max="11028" width="26.109375" style="2841" customWidth="1"/>
    <col min="11029" max="11264" width="8.88671875" style="2841"/>
    <col min="11265" max="11265" width="9.44140625" style="2841" customWidth="1"/>
    <col min="11266" max="11266" width="8.88671875" style="2841"/>
    <col min="11267" max="11269" width="12.88671875" style="2841" customWidth="1"/>
    <col min="11270" max="11270" width="47.44140625" style="2841" customWidth="1"/>
    <col min="11271" max="11271" width="13" style="2841" customWidth="1"/>
    <col min="11272" max="11273" width="8.88671875" style="2841"/>
    <col min="11274" max="11274" width="5.77734375" style="2841" customWidth="1"/>
    <col min="11275" max="11275" width="11.77734375" style="2841" customWidth="1"/>
    <col min="11276" max="11277" width="10.77734375" style="2841" customWidth="1"/>
    <col min="11278" max="11278" width="10" style="2841" customWidth="1"/>
    <col min="11279" max="11280" width="10.44140625" style="2841" bestFit="1" customWidth="1"/>
    <col min="11281" max="11281" width="10" style="2841" customWidth="1"/>
    <col min="11282" max="11282" width="10.109375" style="2841" customWidth="1"/>
    <col min="11283" max="11283" width="10" style="2841" customWidth="1"/>
    <col min="11284" max="11284" width="26.109375" style="2841" customWidth="1"/>
    <col min="11285" max="11520" width="8.88671875" style="2841"/>
    <col min="11521" max="11521" width="9.44140625" style="2841" customWidth="1"/>
    <col min="11522" max="11522" width="8.88671875" style="2841"/>
    <col min="11523" max="11525" width="12.88671875" style="2841" customWidth="1"/>
    <col min="11526" max="11526" width="47.44140625" style="2841" customWidth="1"/>
    <col min="11527" max="11527" width="13" style="2841" customWidth="1"/>
    <col min="11528" max="11529" width="8.88671875" style="2841"/>
    <col min="11530" max="11530" width="5.77734375" style="2841" customWidth="1"/>
    <col min="11531" max="11531" width="11.77734375" style="2841" customWidth="1"/>
    <col min="11532" max="11533" width="10.77734375" style="2841" customWidth="1"/>
    <col min="11534" max="11534" width="10" style="2841" customWidth="1"/>
    <col min="11535" max="11536" width="10.44140625" style="2841" bestFit="1" customWidth="1"/>
    <col min="11537" max="11537" width="10" style="2841" customWidth="1"/>
    <col min="11538" max="11538" width="10.109375" style="2841" customWidth="1"/>
    <col min="11539" max="11539" width="10" style="2841" customWidth="1"/>
    <col min="11540" max="11540" width="26.109375" style="2841" customWidth="1"/>
    <col min="11541" max="11776" width="8.88671875" style="2841"/>
    <col min="11777" max="11777" width="9.44140625" style="2841" customWidth="1"/>
    <col min="11778" max="11778" width="8.88671875" style="2841"/>
    <col min="11779" max="11781" width="12.88671875" style="2841" customWidth="1"/>
    <col min="11782" max="11782" width="47.44140625" style="2841" customWidth="1"/>
    <col min="11783" max="11783" width="13" style="2841" customWidth="1"/>
    <col min="11784" max="11785" width="8.88671875" style="2841"/>
    <col min="11786" max="11786" width="5.77734375" style="2841" customWidth="1"/>
    <col min="11787" max="11787" width="11.77734375" style="2841" customWidth="1"/>
    <col min="11788" max="11789" width="10.77734375" style="2841" customWidth="1"/>
    <col min="11790" max="11790" width="10" style="2841" customWidth="1"/>
    <col min="11791" max="11792" width="10.44140625" style="2841" bestFit="1" customWidth="1"/>
    <col min="11793" max="11793" width="10" style="2841" customWidth="1"/>
    <col min="11794" max="11794" width="10.109375" style="2841" customWidth="1"/>
    <col min="11795" max="11795" width="10" style="2841" customWidth="1"/>
    <col min="11796" max="11796" width="26.109375" style="2841" customWidth="1"/>
    <col min="11797" max="12032" width="8.88671875" style="2841"/>
    <col min="12033" max="12033" width="9.44140625" style="2841" customWidth="1"/>
    <col min="12034" max="12034" width="8.88671875" style="2841"/>
    <col min="12035" max="12037" width="12.88671875" style="2841" customWidth="1"/>
    <col min="12038" max="12038" width="47.44140625" style="2841" customWidth="1"/>
    <col min="12039" max="12039" width="13" style="2841" customWidth="1"/>
    <col min="12040" max="12041" width="8.88671875" style="2841"/>
    <col min="12042" max="12042" width="5.77734375" style="2841" customWidth="1"/>
    <col min="12043" max="12043" width="11.77734375" style="2841" customWidth="1"/>
    <col min="12044" max="12045" width="10.77734375" style="2841" customWidth="1"/>
    <col min="12046" max="12046" width="10" style="2841" customWidth="1"/>
    <col min="12047" max="12048" width="10.44140625" style="2841" bestFit="1" customWidth="1"/>
    <col min="12049" max="12049" width="10" style="2841" customWidth="1"/>
    <col min="12050" max="12050" width="10.109375" style="2841" customWidth="1"/>
    <col min="12051" max="12051" width="10" style="2841" customWidth="1"/>
    <col min="12052" max="12052" width="26.109375" style="2841" customWidth="1"/>
    <col min="12053" max="12288" width="8.88671875" style="2841"/>
    <col min="12289" max="12289" width="9.44140625" style="2841" customWidth="1"/>
    <col min="12290" max="12290" width="8.88671875" style="2841"/>
    <col min="12291" max="12293" width="12.88671875" style="2841" customWidth="1"/>
    <col min="12294" max="12294" width="47.44140625" style="2841" customWidth="1"/>
    <col min="12295" max="12295" width="13" style="2841" customWidth="1"/>
    <col min="12296" max="12297" width="8.88671875" style="2841"/>
    <col min="12298" max="12298" width="5.77734375" style="2841" customWidth="1"/>
    <col min="12299" max="12299" width="11.77734375" style="2841" customWidth="1"/>
    <col min="12300" max="12301" width="10.77734375" style="2841" customWidth="1"/>
    <col min="12302" max="12302" width="10" style="2841" customWidth="1"/>
    <col min="12303" max="12304" width="10.44140625" style="2841" bestFit="1" customWidth="1"/>
    <col min="12305" max="12305" width="10" style="2841" customWidth="1"/>
    <col min="12306" max="12306" width="10.109375" style="2841" customWidth="1"/>
    <col min="12307" max="12307" width="10" style="2841" customWidth="1"/>
    <col min="12308" max="12308" width="26.109375" style="2841" customWidth="1"/>
    <col min="12309" max="12544" width="8.88671875" style="2841"/>
    <col min="12545" max="12545" width="9.44140625" style="2841" customWidth="1"/>
    <col min="12546" max="12546" width="8.88671875" style="2841"/>
    <col min="12547" max="12549" width="12.88671875" style="2841" customWidth="1"/>
    <col min="12550" max="12550" width="47.44140625" style="2841" customWidth="1"/>
    <col min="12551" max="12551" width="13" style="2841" customWidth="1"/>
    <col min="12552" max="12553" width="8.88671875" style="2841"/>
    <col min="12554" max="12554" width="5.77734375" style="2841" customWidth="1"/>
    <col min="12555" max="12555" width="11.77734375" style="2841" customWidth="1"/>
    <col min="12556" max="12557" width="10.77734375" style="2841" customWidth="1"/>
    <col min="12558" max="12558" width="10" style="2841" customWidth="1"/>
    <col min="12559" max="12560" width="10.44140625" style="2841" bestFit="1" customWidth="1"/>
    <col min="12561" max="12561" width="10" style="2841" customWidth="1"/>
    <col min="12562" max="12562" width="10.109375" style="2841" customWidth="1"/>
    <col min="12563" max="12563" width="10" style="2841" customWidth="1"/>
    <col min="12564" max="12564" width="26.109375" style="2841" customWidth="1"/>
    <col min="12565" max="12800" width="8.88671875" style="2841"/>
    <col min="12801" max="12801" width="9.44140625" style="2841" customWidth="1"/>
    <col min="12802" max="12802" width="8.88671875" style="2841"/>
    <col min="12803" max="12805" width="12.88671875" style="2841" customWidth="1"/>
    <col min="12806" max="12806" width="47.44140625" style="2841" customWidth="1"/>
    <col min="12807" max="12807" width="13" style="2841" customWidth="1"/>
    <col min="12808" max="12809" width="8.88671875" style="2841"/>
    <col min="12810" max="12810" width="5.77734375" style="2841" customWidth="1"/>
    <col min="12811" max="12811" width="11.77734375" style="2841" customWidth="1"/>
    <col min="12812" max="12813" width="10.77734375" style="2841" customWidth="1"/>
    <col min="12814" max="12814" width="10" style="2841" customWidth="1"/>
    <col min="12815" max="12816" width="10.44140625" style="2841" bestFit="1" customWidth="1"/>
    <col min="12817" max="12817" width="10" style="2841" customWidth="1"/>
    <col min="12818" max="12818" width="10.109375" style="2841" customWidth="1"/>
    <col min="12819" max="12819" width="10" style="2841" customWidth="1"/>
    <col min="12820" max="12820" width="26.109375" style="2841" customWidth="1"/>
    <col min="12821" max="13056" width="8.88671875" style="2841"/>
    <col min="13057" max="13057" width="9.44140625" style="2841" customWidth="1"/>
    <col min="13058" max="13058" width="8.88671875" style="2841"/>
    <col min="13059" max="13061" width="12.88671875" style="2841" customWidth="1"/>
    <col min="13062" max="13062" width="47.44140625" style="2841" customWidth="1"/>
    <col min="13063" max="13063" width="13" style="2841" customWidth="1"/>
    <col min="13064" max="13065" width="8.88671875" style="2841"/>
    <col min="13066" max="13066" width="5.77734375" style="2841" customWidth="1"/>
    <col min="13067" max="13067" width="11.77734375" style="2841" customWidth="1"/>
    <col min="13068" max="13069" width="10.77734375" style="2841" customWidth="1"/>
    <col min="13070" max="13070" width="10" style="2841" customWidth="1"/>
    <col min="13071" max="13072" width="10.44140625" style="2841" bestFit="1" customWidth="1"/>
    <col min="13073" max="13073" width="10" style="2841" customWidth="1"/>
    <col min="13074" max="13074" width="10.109375" style="2841" customWidth="1"/>
    <col min="13075" max="13075" width="10" style="2841" customWidth="1"/>
    <col min="13076" max="13076" width="26.109375" style="2841" customWidth="1"/>
    <col min="13077" max="13312" width="8.88671875" style="2841"/>
    <col min="13313" max="13313" width="9.44140625" style="2841" customWidth="1"/>
    <col min="13314" max="13314" width="8.88671875" style="2841"/>
    <col min="13315" max="13317" width="12.88671875" style="2841" customWidth="1"/>
    <col min="13318" max="13318" width="47.44140625" style="2841" customWidth="1"/>
    <col min="13319" max="13319" width="13" style="2841" customWidth="1"/>
    <col min="13320" max="13321" width="8.88671875" style="2841"/>
    <col min="13322" max="13322" width="5.77734375" style="2841" customWidth="1"/>
    <col min="13323" max="13323" width="11.77734375" style="2841" customWidth="1"/>
    <col min="13324" max="13325" width="10.77734375" style="2841" customWidth="1"/>
    <col min="13326" max="13326" width="10" style="2841" customWidth="1"/>
    <col min="13327" max="13328" width="10.44140625" style="2841" bestFit="1" customWidth="1"/>
    <col min="13329" max="13329" width="10" style="2841" customWidth="1"/>
    <col min="13330" max="13330" width="10.109375" style="2841" customWidth="1"/>
    <col min="13331" max="13331" width="10" style="2841" customWidth="1"/>
    <col min="13332" max="13332" width="26.109375" style="2841" customWidth="1"/>
    <col min="13333" max="13568" width="8.88671875" style="2841"/>
    <col min="13569" max="13569" width="9.44140625" style="2841" customWidth="1"/>
    <col min="13570" max="13570" width="8.88671875" style="2841"/>
    <col min="13571" max="13573" width="12.88671875" style="2841" customWidth="1"/>
    <col min="13574" max="13574" width="47.44140625" style="2841" customWidth="1"/>
    <col min="13575" max="13575" width="13" style="2841" customWidth="1"/>
    <col min="13576" max="13577" width="8.88671875" style="2841"/>
    <col min="13578" max="13578" width="5.77734375" style="2841" customWidth="1"/>
    <col min="13579" max="13579" width="11.77734375" style="2841" customWidth="1"/>
    <col min="13580" max="13581" width="10.77734375" style="2841" customWidth="1"/>
    <col min="13582" max="13582" width="10" style="2841" customWidth="1"/>
    <col min="13583" max="13584" width="10.44140625" style="2841" bestFit="1" customWidth="1"/>
    <col min="13585" max="13585" width="10" style="2841" customWidth="1"/>
    <col min="13586" max="13586" width="10.109375" style="2841" customWidth="1"/>
    <col min="13587" max="13587" width="10" style="2841" customWidth="1"/>
    <col min="13588" max="13588" width="26.109375" style="2841" customWidth="1"/>
    <col min="13589" max="13824" width="8.88671875" style="2841"/>
    <col min="13825" max="13825" width="9.44140625" style="2841" customWidth="1"/>
    <col min="13826" max="13826" width="8.88671875" style="2841"/>
    <col min="13827" max="13829" width="12.88671875" style="2841" customWidth="1"/>
    <col min="13830" max="13830" width="47.44140625" style="2841" customWidth="1"/>
    <col min="13831" max="13831" width="13" style="2841" customWidth="1"/>
    <col min="13832" max="13833" width="8.88671875" style="2841"/>
    <col min="13834" max="13834" width="5.77734375" style="2841" customWidth="1"/>
    <col min="13835" max="13835" width="11.77734375" style="2841" customWidth="1"/>
    <col min="13836" max="13837" width="10.77734375" style="2841" customWidth="1"/>
    <col min="13838" max="13838" width="10" style="2841" customWidth="1"/>
    <col min="13839" max="13840" width="10.44140625" style="2841" bestFit="1" customWidth="1"/>
    <col min="13841" max="13841" width="10" style="2841" customWidth="1"/>
    <col min="13842" max="13842" width="10.109375" style="2841" customWidth="1"/>
    <col min="13843" max="13843" width="10" style="2841" customWidth="1"/>
    <col min="13844" max="13844" width="26.109375" style="2841" customWidth="1"/>
    <col min="13845" max="14080" width="8.88671875" style="2841"/>
    <col min="14081" max="14081" width="9.44140625" style="2841" customWidth="1"/>
    <col min="14082" max="14082" width="8.88671875" style="2841"/>
    <col min="14083" max="14085" width="12.88671875" style="2841" customWidth="1"/>
    <col min="14086" max="14086" width="47.44140625" style="2841" customWidth="1"/>
    <col min="14087" max="14087" width="13" style="2841" customWidth="1"/>
    <col min="14088" max="14089" width="8.88671875" style="2841"/>
    <col min="14090" max="14090" width="5.77734375" style="2841" customWidth="1"/>
    <col min="14091" max="14091" width="11.77734375" style="2841" customWidth="1"/>
    <col min="14092" max="14093" width="10.77734375" style="2841" customWidth="1"/>
    <col min="14094" max="14094" width="10" style="2841" customWidth="1"/>
    <col min="14095" max="14096" width="10.44140625" style="2841" bestFit="1" customWidth="1"/>
    <col min="14097" max="14097" width="10" style="2841" customWidth="1"/>
    <col min="14098" max="14098" width="10.109375" style="2841" customWidth="1"/>
    <col min="14099" max="14099" width="10" style="2841" customWidth="1"/>
    <col min="14100" max="14100" width="26.109375" style="2841" customWidth="1"/>
    <col min="14101" max="14336" width="8.88671875" style="2841"/>
    <col min="14337" max="14337" width="9.44140625" style="2841" customWidth="1"/>
    <col min="14338" max="14338" width="8.88671875" style="2841"/>
    <col min="14339" max="14341" width="12.88671875" style="2841" customWidth="1"/>
    <col min="14342" max="14342" width="47.44140625" style="2841" customWidth="1"/>
    <col min="14343" max="14343" width="13" style="2841" customWidth="1"/>
    <col min="14344" max="14345" width="8.88671875" style="2841"/>
    <col min="14346" max="14346" width="5.77734375" style="2841" customWidth="1"/>
    <col min="14347" max="14347" width="11.77734375" style="2841" customWidth="1"/>
    <col min="14348" max="14349" width="10.77734375" style="2841" customWidth="1"/>
    <col min="14350" max="14350" width="10" style="2841" customWidth="1"/>
    <col min="14351" max="14352" width="10.44140625" style="2841" bestFit="1" customWidth="1"/>
    <col min="14353" max="14353" width="10" style="2841" customWidth="1"/>
    <col min="14354" max="14354" width="10.109375" style="2841" customWidth="1"/>
    <col min="14355" max="14355" width="10" style="2841" customWidth="1"/>
    <col min="14356" max="14356" width="26.109375" style="2841" customWidth="1"/>
    <col min="14357" max="14592" width="8.88671875" style="2841"/>
    <col min="14593" max="14593" width="9.44140625" style="2841" customWidth="1"/>
    <col min="14594" max="14594" width="8.88671875" style="2841"/>
    <col min="14595" max="14597" width="12.88671875" style="2841" customWidth="1"/>
    <col min="14598" max="14598" width="47.44140625" style="2841" customWidth="1"/>
    <col min="14599" max="14599" width="13" style="2841" customWidth="1"/>
    <col min="14600" max="14601" width="8.88671875" style="2841"/>
    <col min="14602" max="14602" width="5.77734375" style="2841" customWidth="1"/>
    <col min="14603" max="14603" width="11.77734375" style="2841" customWidth="1"/>
    <col min="14604" max="14605" width="10.77734375" style="2841" customWidth="1"/>
    <col min="14606" max="14606" width="10" style="2841" customWidth="1"/>
    <col min="14607" max="14608" width="10.44140625" style="2841" bestFit="1" customWidth="1"/>
    <col min="14609" max="14609" width="10" style="2841" customWidth="1"/>
    <col min="14610" max="14610" width="10.109375" style="2841" customWidth="1"/>
    <col min="14611" max="14611" width="10" style="2841" customWidth="1"/>
    <col min="14612" max="14612" width="26.109375" style="2841" customWidth="1"/>
    <col min="14613" max="14848" width="8.88671875" style="2841"/>
    <col min="14849" max="14849" width="9.44140625" style="2841" customWidth="1"/>
    <col min="14850" max="14850" width="8.88671875" style="2841"/>
    <col min="14851" max="14853" width="12.88671875" style="2841" customWidth="1"/>
    <col min="14854" max="14854" width="47.44140625" style="2841" customWidth="1"/>
    <col min="14855" max="14855" width="13" style="2841" customWidth="1"/>
    <col min="14856" max="14857" width="8.88671875" style="2841"/>
    <col min="14858" max="14858" width="5.77734375" style="2841" customWidth="1"/>
    <col min="14859" max="14859" width="11.77734375" style="2841" customWidth="1"/>
    <col min="14860" max="14861" width="10.77734375" style="2841" customWidth="1"/>
    <col min="14862" max="14862" width="10" style="2841" customWidth="1"/>
    <col min="14863" max="14864" width="10.44140625" style="2841" bestFit="1" customWidth="1"/>
    <col min="14865" max="14865" width="10" style="2841" customWidth="1"/>
    <col min="14866" max="14866" width="10.109375" style="2841" customWidth="1"/>
    <col min="14867" max="14867" width="10" style="2841" customWidth="1"/>
    <col min="14868" max="14868" width="26.109375" style="2841" customWidth="1"/>
    <col min="14869" max="15104" width="8.88671875" style="2841"/>
    <col min="15105" max="15105" width="9.44140625" style="2841" customWidth="1"/>
    <col min="15106" max="15106" width="8.88671875" style="2841"/>
    <col min="15107" max="15109" width="12.88671875" style="2841" customWidth="1"/>
    <col min="15110" max="15110" width="47.44140625" style="2841" customWidth="1"/>
    <col min="15111" max="15111" width="13" style="2841" customWidth="1"/>
    <col min="15112" max="15113" width="8.88671875" style="2841"/>
    <col min="15114" max="15114" width="5.77734375" style="2841" customWidth="1"/>
    <col min="15115" max="15115" width="11.77734375" style="2841" customWidth="1"/>
    <col min="15116" max="15117" width="10.77734375" style="2841" customWidth="1"/>
    <col min="15118" max="15118" width="10" style="2841" customWidth="1"/>
    <col min="15119" max="15120" width="10.44140625" style="2841" bestFit="1" customWidth="1"/>
    <col min="15121" max="15121" width="10" style="2841" customWidth="1"/>
    <col min="15122" max="15122" width="10.109375" style="2841" customWidth="1"/>
    <col min="15123" max="15123" width="10" style="2841" customWidth="1"/>
    <col min="15124" max="15124" width="26.109375" style="2841" customWidth="1"/>
    <col min="15125" max="15360" width="8.88671875" style="2841"/>
    <col min="15361" max="15361" width="9.44140625" style="2841" customWidth="1"/>
    <col min="15362" max="15362" width="8.88671875" style="2841"/>
    <col min="15363" max="15365" width="12.88671875" style="2841" customWidth="1"/>
    <col min="15366" max="15366" width="47.44140625" style="2841" customWidth="1"/>
    <col min="15367" max="15367" width="13" style="2841" customWidth="1"/>
    <col min="15368" max="15369" width="8.88671875" style="2841"/>
    <col min="15370" max="15370" width="5.77734375" style="2841" customWidth="1"/>
    <col min="15371" max="15371" width="11.77734375" style="2841" customWidth="1"/>
    <col min="15372" max="15373" width="10.77734375" style="2841" customWidth="1"/>
    <col min="15374" max="15374" width="10" style="2841" customWidth="1"/>
    <col min="15375" max="15376" width="10.44140625" style="2841" bestFit="1" customWidth="1"/>
    <col min="15377" max="15377" width="10" style="2841" customWidth="1"/>
    <col min="15378" max="15378" width="10.109375" style="2841" customWidth="1"/>
    <col min="15379" max="15379" width="10" style="2841" customWidth="1"/>
    <col min="15380" max="15380" width="26.109375" style="2841" customWidth="1"/>
    <col min="15381" max="15616" width="8.88671875" style="2841"/>
    <col min="15617" max="15617" width="9.44140625" style="2841" customWidth="1"/>
    <col min="15618" max="15618" width="8.88671875" style="2841"/>
    <col min="15619" max="15621" width="12.88671875" style="2841" customWidth="1"/>
    <col min="15622" max="15622" width="47.44140625" style="2841" customWidth="1"/>
    <col min="15623" max="15623" width="13" style="2841" customWidth="1"/>
    <col min="15624" max="15625" width="8.88671875" style="2841"/>
    <col min="15626" max="15626" width="5.77734375" style="2841" customWidth="1"/>
    <col min="15627" max="15627" width="11.77734375" style="2841" customWidth="1"/>
    <col min="15628" max="15629" width="10.77734375" style="2841" customWidth="1"/>
    <col min="15630" max="15630" width="10" style="2841" customWidth="1"/>
    <col min="15631" max="15632" width="10.44140625" style="2841" bestFit="1" customWidth="1"/>
    <col min="15633" max="15633" width="10" style="2841" customWidth="1"/>
    <col min="15634" max="15634" width="10.109375" style="2841" customWidth="1"/>
    <col min="15635" max="15635" width="10" style="2841" customWidth="1"/>
    <col min="15636" max="15636" width="26.109375" style="2841" customWidth="1"/>
    <col min="15637" max="15872" width="8.88671875" style="2841"/>
    <col min="15873" max="15873" width="9.44140625" style="2841" customWidth="1"/>
    <col min="15874" max="15874" width="8.88671875" style="2841"/>
    <col min="15875" max="15877" width="12.88671875" style="2841" customWidth="1"/>
    <col min="15878" max="15878" width="47.44140625" style="2841" customWidth="1"/>
    <col min="15879" max="15879" width="13" style="2841" customWidth="1"/>
    <col min="15880" max="15881" width="8.88671875" style="2841"/>
    <col min="15882" max="15882" width="5.77734375" style="2841" customWidth="1"/>
    <col min="15883" max="15883" width="11.77734375" style="2841" customWidth="1"/>
    <col min="15884" max="15885" width="10.77734375" style="2841" customWidth="1"/>
    <col min="15886" max="15886" width="10" style="2841" customWidth="1"/>
    <col min="15887" max="15888" width="10.44140625" style="2841" bestFit="1" customWidth="1"/>
    <col min="15889" max="15889" width="10" style="2841" customWidth="1"/>
    <col min="15890" max="15890" width="10.109375" style="2841" customWidth="1"/>
    <col min="15891" max="15891" width="10" style="2841" customWidth="1"/>
    <col min="15892" max="15892" width="26.109375" style="2841" customWidth="1"/>
    <col min="15893" max="16128" width="8.88671875" style="2841"/>
    <col min="16129" max="16129" width="9.44140625" style="2841" customWidth="1"/>
    <col min="16130" max="16130" width="8.88671875" style="2841"/>
    <col min="16131" max="16133" width="12.88671875" style="2841" customWidth="1"/>
    <col min="16134" max="16134" width="47.44140625" style="2841" customWidth="1"/>
    <col min="16135" max="16135" width="13" style="2841" customWidth="1"/>
    <col min="16136" max="16137" width="8.88671875" style="2841"/>
    <col min="16138" max="16138" width="5.77734375" style="2841" customWidth="1"/>
    <col min="16139" max="16139" width="11.77734375" style="2841" customWidth="1"/>
    <col min="16140" max="16141" width="10.77734375" style="2841" customWidth="1"/>
    <col min="16142" max="16142" width="10" style="2841" customWidth="1"/>
    <col min="16143" max="16144" width="10.44140625" style="2841" bestFit="1" customWidth="1"/>
    <col min="16145" max="16145" width="10" style="2841" customWidth="1"/>
    <col min="16146" max="16146" width="10.109375" style="2841" customWidth="1"/>
    <col min="16147" max="16147" width="10" style="2841" customWidth="1"/>
    <col min="16148" max="16148" width="26.109375" style="2841" customWidth="1"/>
    <col min="16149" max="16384" width="8.88671875" style="2841"/>
  </cols>
  <sheetData>
    <row r="1" spans="1:22" ht="21" customHeight="1">
      <c r="A1" s="2830" t="s">
        <v>2437</v>
      </c>
      <c r="B1" s="2831"/>
      <c r="C1" s="2843"/>
      <c r="D1" s="2843"/>
      <c r="E1" s="2832"/>
      <c r="F1" s="2833"/>
      <c r="G1" s="2834"/>
      <c r="J1" s="2837" t="s">
        <v>2316</v>
      </c>
      <c r="K1" s="2838"/>
      <c r="L1" s="2838"/>
      <c r="M1" s="2838"/>
      <c r="N1" s="2838"/>
      <c r="O1" s="2838"/>
      <c r="P1" s="2838"/>
      <c r="Q1" s="2838"/>
      <c r="R1" s="2839"/>
      <c r="S1" s="2840"/>
      <c r="T1" s="2840"/>
      <c r="U1" s="2840"/>
    </row>
    <row r="2" spans="1:22" s="2852" customFormat="1" ht="13.2" customHeight="1">
      <c r="A2" s="1385" t="s">
        <v>2317</v>
      </c>
      <c r="B2" s="2842" t="e">
        <f>IF(D2="——",C40,C40+E2)</f>
        <v>#DIV/0!</v>
      </c>
      <c r="C2" s="2843" t="s">
        <v>2318</v>
      </c>
      <c r="D2" s="3442" t="s">
        <v>3361</v>
      </c>
      <c r="E2" s="3443"/>
      <c r="F2" s="2845"/>
      <c r="G2" s="2846"/>
      <c r="H2" s="2847"/>
      <c r="I2" s="2848"/>
      <c r="J2" s="3646" t="s">
        <v>2319</v>
      </c>
      <c r="K2" s="3647"/>
      <c r="L2" s="2849" t="s">
        <v>2320</v>
      </c>
      <c r="M2" s="2849" t="s">
        <v>2321</v>
      </c>
      <c r="N2" s="2849" t="s">
        <v>2322</v>
      </c>
      <c r="O2" s="2849" t="s">
        <v>2323</v>
      </c>
      <c r="P2" s="2849" t="s">
        <v>2324</v>
      </c>
      <c r="Q2" s="2850" t="s">
        <v>2325</v>
      </c>
      <c r="R2" s="2851" t="s">
        <v>2326</v>
      </c>
      <c r="S2" s="2840"/>
      <c r="T2" s="2840"/>
      <c r="U2" s="2840"/>
      <c r="V2" s="2848"/>
    </row>
    <row r="3" spans="1:22" s="2852" customFormat="1" ht="13.2" customHeight="1">
      <c r="A3" s="2853" t="s">
        <v>2327</v>
      </c>
      <c r="B3" s="2854" t="e">
        <f>ROUND(B2*10000/B4,0)</f>
        <v>#DIV/0!</v>
      </c>
      <c r="C3" s="2843" t="s">
        <v>2328</v>
      </c>
      <c r="D3" s="2843"/>
      <c r="E3" s="2844"/>
      <c r="F3" s="2845"/>
      <c r="G3" s="2846"/>
      <c r="H3" s="2847"/>
      <c r="I3" s="2848"/>
      <c r="J3" s="3648" t="s">
        <v>2329</v>
      </c>
      <c r="K3" s="3649"/>
      <c r="L3" s="2855"/>
      <c r="M3" s="2855"/>
      <c r="N3" s="2855"/>
      <c r="O3" s="2855"/>
      <c r="P3" s="2855"/>
      <c r="Q3" s="2856"/>
      <c r="R3" s="2857">
        <f>SUM(L3:Q3)</f>
        <v>0</v>
      </c>
      <c r="S3" s="2840"/>
      <c r="T3" s="2840"/>
      <c r="U3" s="2840"/>
      <c r="V3" s="2848"/>
    </row>
    <row r="4" spans="1:22" s="2852" customFormat="1" ht="13.2" customHeight="1">
      <c r="A4" s="2858" t="s">
        <v>2330</v>
      </c>
      <c r="B4" s="2859"/>
      <c r="C4" s="2843"/>
      <c r="D4" s="2843"/>
      <c r="E4" s="2844"/>
      <c r="F4" s="2845"/>
      <c r="G4" s="2846"/>
      <c r="H4" s="2847"/>
      <c r="I4" s="2848"/>
      <c r="J4" s="3648" t="s">
        <v>2331</v>
      </c>
      <c r="K4" s="3649"/>
      <c r="L4" s="2860"/>
      <c r="M4" s="2860"/>
      <c r="N4" s="2860"/>
      <c r="O4" s="2860"/>
      <c r="P4" s="2860"/>
      <c r="Q4" s="2861"/>
      <c r="R4" s="2862">
        <f>SUM(L4:Q4)</f>
        <v>0</v>
      </c>
      <c r="S4" s="2840"/>
      <c r="T4" s="2840"/>
      <c r="U4" s="2840"/>
      <c r="V4" s="2848"/>
    </row>
    <row r="5" spans="1:22" s="2852" customFormat="1" ht="13.2" customHeight="1" thickBot="1">
      <c r="A5" s="2863" t="s">
        <v>2332</v>
      </c>
      <c r="B5" s="2864"/>
      <c r="C5" s="2843"/>
      <c r="D5" s="2865"/>
      <c r="E5" s="2845"/>
      <c r="F5" s="2845"/>
      <c r="G5" s="2846"/>
      <c r="H5" s="2847"/>
      <c r="I5" s="2848"/>
      <c r="J5" s="2866" t="s">
        <v>2333</v>
      </c>
      <c r="K5" s="2867"/>
      <c r="L5" s="2867"/>
      <c r="M5" s="2868"/>
      <c r="N5" s="2868"/>
      <c r="O5" s="2868"/>
      <c r="P5" s="2868"/>
      <c r="Q5" s="2868"/>
      <c r="R5" s="2851">
        <f>SUM(R14,R19,R24,R25,R27,R28)</f>
        <v>0</v>
      </c>
      <c r="S5" s="2840"/>
      <c r="T5" s="2840" t="s">
        <v>2334</v>
      </c>
      <c r="U5" s="2840" t="e">
        <f>ROUND(R5*10000/365/R3,1)</f>
        <v>#DIV/0!</v>
      </c>
      <c r="V5" s="2848"/>
    </row>
    <row r="6" spans="1:22" s="2852" customFormat="1" ht="13.2" customHeight="1" thickBot="1">
      <c r="A6" s="3654" t="s">
        <v>2335</v>
      </c>
      <c r="B6" s="3655"/>
      <c r="C6" s="3656"/>
      <c r="D6" s="2869"/>
      <c r="E6" s="2870"/>
      <c r="F6" s="2871"/>
      <c r="G6" s="2872"/>
      <c r="H6" s="2847"/>
      <c r="I6" s="2848"/>
      <c r="J6" s="3640">
        <v>1</v>
      </c>
      <c r="K6" s="3641" t="s">
        <v>2336</v>
      </c>
      <c r="L6" s="2873" t="s">
        <v>2337</v>
      </c>
      <c r="M6" s="2874" t="s">
        <v>2338</v>
      </c>
      <c r="N6" s="2874" t="s">
        <v>2339</v>
      </c>
      <c r="O6" s="2874" t="s">
        <v>2340</v>
      </c>
      <c r="P6" s="2874" t="s">
        <v>2341</v>
      </c>
      <c r="Q6" s="2874" t="s">
        <v>2342</v>
      </c>
      <c r="R6" s="2857" t="s">
        <v>2343</v>
      </c>
      <c r="S6" s="2840"/>
      <c r="T6" s="2840" t="s">
        <v>2344</v>
      </c>
      <c r="U6" s="2840"/>
      <c r="V6" s="2848"/>
    </row>
    <row r="7" spans="1:22" s="2852" customFormat="1" ht="13.2" customHeight="1">
      <c r="A7" s="2875" t="s">
        <v>2345</v>
      </c>
      <c r="B7" s="2876"/>
      <c r="C7" s="2877"/>
      <c r="D7" s="2878">
        <f>SUM(D9,D10,D11,D17,0)</f>
        <v>0</v>
      </c>
      <c r="E7" s="2879" t="e">
        <f>E9+E10+E11+E17</f>
        <v>#DIV/0!</v>
      </c>
      <c r="F7" s="2880"/>
      <c r="G7" s="2881"/>
      <c r="H7" s="2847"/>
      <c r="I7" s="2848"/>
      <c r="J7" s="3640"/>
      <c r="K7" s="3642"/>
      <c r="L7" s="2882" t="s">
        <v>2346</v>
      </c>
      <c r="M7" s="2883"/>
      <c r="N7" s="2859"/>
      <c r="O7" s="2884"/>
      <c r="P7" s="2884"/>
      <c r="Q7" s="2885">
        <v>365</v>
      </c>
      <c r="R7" s="2886">
        <f>ROUND(M7*N7*O7*P7*Q7/10000,0)</f>
        <v>0</v>
      </c>
      <c r="S7" s="2840"/>
      <c r="T7" s="2840" t="s">
        <v>2347</v>
      </c>
      <c r="U7" s="2840"/>
      <c r="V7" s="2848"/>
    </row>
    <row r="8" spans="1:22" s="2852" customFormat="1" ht="13.2" customHeight="1">
      <c r="A8" s="2887" t="s">
        <v>2348</v>
      </c>
      <c r="B8" s="3657" t="s">
        <v>2349</v>
      </c>
      <c r="C8" s="3658"/>
      <c r="D8" s="2888" t="s">
        <v>2350</v>
      </c>
      <c r="E8" s="2889" t="s">
        <v>2351</v>
      </c>
      <c r="F8" s="2890" t="s">
        <v>2352</v>
      </c>
      <c r="G8" s="2891"/>
      <c r="H8" s="2847"/>
      <c r="I8" s="2848"/>
      <c r="J8" s="3640"/>
      <c r="K8" s="3642"/>
      <c r="L8" s="2882" t="s">
        <v>2353</v>
      </c>
      <c r="M8" s="2883"/>
      <c r="N8" s="2859"/>
      <c r="O8" s="2884"/>
      <c r="P8" s="2884"/>
      <c r="Q8" s="2885">
        <v>365</v>
      </c>
      <c r="R8" s="2886">
        <f t="shared" ref="R8:R13" si="0">ROUND(M8*N8*O8*P8*Q8/10000,0)</f>
        <v>0</v>
      </c>
      <c r="S8" s="2840"/>
      <c r="T8" s="2840" t="s">
        <v>2354</v>
      </c>
      <c r="U8" s="2840"/>
      <c r="V8" s="2848"/>
    </row>
    <row r="9" spans="1:22" s="2852" customFormat="1" ht="13.2" customHeight="1">
      <c r="A9" s="2887">
        <v>1</v>
      </c>
      <c r="B9" s="3657" t="s">
        <v>2355</v>
      </c>
      <c r="C9" s="3658"/>
      <c r="D9" s="2888">
        <f>ROUND(D6*E9,0)</f>
        <v>0</v>
      </c>
      <c r="E9" s="2892"/>
      <c r="F9" s="2893" t="s">
        <v>2356</v>
      </c>
      <c r="G9" s="2872"/>
      <c r="H9" s="2847"/>
      <c r="I9" s="2848"/>
      <c r="J9" s="3640"/>
      <c r="K9" s="3642"/>
      <c r="L9" s="2882" t="s">
        <v>2357</v>
      </c>
      <c r="M9" s="2883"/>
      <c r="N9" s="2859"/>
      <c r="O9" s="2884"/>
      <c r="P9" s="2884"/>
      <c r="Q9" s="2885">
        <v>365</v>
      </c>
      <c r="R9" s="2886">
        <f t="shared" si="0"/>
        <v>0</v>
      </c>
      <c r="S9" s="2840"/>
      <c r="T9" s="2840"/>
      <c r="U9" s="2840"/>
      <c r="V9" s="2848"/>
    </row>
    <row r="10" spans="1:22" s="2852" customFormat="1" ht="13.2" customHeight="1">
      <c r="A10" s="2887">
        <v>2</v>
      </c>
      <c r="B10" s="3657" t="s">
        <v>2358</v>
      </c>
      <c r="C10" s="3658"/>
      <c r="D10" s="2888">
        <f>ROUND(D6*E10,0)</f>
        <v>0</v>
      </c>
      <c r="E10" s="2892"/>
      <c r="F10" s="2893" t="s">
        <v>2359</v>
      </c>
      <c r="G10" s="2872"/>
      <c r="H10" s="2847"/>
      <c r="I10" s="2848"/>
      <c r="J10" s="3640"/>
      <c r="K10" s="3642"/>
      <c r="L10" s="2882" t="s">
        <v>2360</v>
      </c>
      <c r="M10" s="2883"/>
      <c r="N10" s="2859"/>
      <c r="O10" s="2884"/>
      <c r="P10" s="2884"/>
      <c r="Q10" s="2885">
        <v>365</v>
      </c>
      <c r="R10" s="2886">
        <f t="shared" si="0"/>
        <v>0</v>
      </c>
      <c r="S10" s="2840"/>
      <c r="T10" s="2840"/>
      <c r="U10" s="2840"/>
      <c r="V10" s="2848"/>
    </row>
    <row r="11" spans="1:22" s="2852" customFormat="1" ht="13.2" customHeight="1">
      <c r="A11" s="2887">
        <v>3</v>
      </c>
      <c r="B11" s="3657" t="s">
        <v>2361</v>
      </c>
      <c r="C11" s="3658"/>
      <c r="D11" s="2888">
        <f>D12+D14+D15+D16</f>
        <v>0</v>
      </c>
      <c r="E11" s="2894" t="e">
        <f>D11/D6</f>
        <v>#DIV/0!</v>
      </c>
      <c r="F11" s="2890"/>
      <c r="G11" s="2891"/>
      <c r="H11" s="2847"/>
      <c r="I11" s="2848"/>
      <c r="J11" s="3640"/>
      <c r="K11" s="3642"/>
      <c r="L11" s="2882" t="s">
        <v>2362</v>
      </c>
      <c r="M11" s="2883"/>
      <c r="N11" s="2859"/>
      <c r="O11" s="2884"/>
      <c r="P11" s="2884"/>
      <c r="Q11" s="2885">
        <v>365</v>
      </c>
      <c r="R11" s="2886">
        <f t="shared" si="0"/>
        <v>0</v>
      </c>
      <c r="S11" s="2840"/>
      <c r="T11" s="2840"/>
      <c r="U11" s="2840"/>
      <c r="V11" s="2848"/>
    </row>
    <row r="12" spans="1:22" s="2852" customFormat="1" ht="13.2" customHeight="1">
      <c r="A12" s="2895" t="s">
        <v>2363</v>
      </c>
      <c r="B12" s="3650" t="s">
        <v>2364</v>
      </c>
      <c r="C12" s="3651"/>
      <c r="D12" s="2896">
        <f>ROUND(D13*1.2%*(1-30%),0)</f>
        <v>0</v>
      </c>
      <c r="E12" s="2897">
        <v>1.2E-2</v>
      </c>
      <c r="F12" s="2890" t="s">
        <v>2365</v>
      </c>
      <c r="G12" s="2891"/>
      <c r="H12" s="2847"/>
      <c r="I12" s="2848"/>
      <c r="J12" s="3640"/>
      <c r="K12" s="3642"/>
      <c r="L12" s="2882" t="s">
        <v>2366</v>
      </c>
      <c r="M12" s="2883"/>
      <c r="N12" s="2859"/>
      <c r="O12" s="2884"/>
      <c r="P12" s="2884"/>
      <c r="Q12" s="2885">
        <v>365</v>
      </c>
      <c r="R12" s="2886">
        <f t="shared" si="0"/>
        <v>0</v>
      </c>
      <c r="S12" s="2840"/>
      <c r="T12" s="2840"/>
      <c r="U12" s="2840"/>
      <c r="V12" s="2848"/>
    </row>
    <row r="13" spans="1:22" s="2852" customFormat="1" ht="13.2" customHeight="1">
      <c r="A13" s="2895"/>
      <c r="B13" s="2898"/>
      <c r="C13" s="2899" t="s">
        <v>2367</v>
      </c>
      <c r="D13" s="2900"/>
      <c r="E13" s="2901"/>
      <c r="F13" s="2890"/>
      <c r="G13" s="2891"/>
      <c r="H13" s="2847"/>
      <c r="I13" s="2848"/>
      <c r="J13" s="3640"/>
      <c r="K13" s="3642"/>
      <c r="L13" s="2882" t="s">
        <v>2368</v>
      </c>
      <c r="M13" s="2883"/>
      <c r="N13" s="2859"/>
      <c r="O13" s="2884"/>
      <c r="P13" s="2884"/>
      <c r="Q13" s="2885">
        <v>365</v>
      </c>
      <c r="R13" s="2886">
        <f t="shared" si="0"/>
        <v>0</v>
      </c>
      <c r="S13" s="2840"/>
      <c r="T13" s="2840"/>
      <c r="U13" s="2840"/>
      <c r="V13" s="2848"/>
    </row>
    <row r="14" spans="1:22" s="2852" customFormat="1" ht="13.2" customHeight="1">
      <c r="A14" s="2895" t="s">
        <v>2369</v>
      </c>
      <c r="B14" s="3650" t="s">
        <v>2370</v>
      </c>
      <c r="C14" s="3651"/>
      <c r="D14" s="2896">
        <f>ROUND(E14*B5/10000,0)</f>
        <v>0</v>
      </c>
      <c r="E14" s="2885"/>
      <c r="F14" s="2890" t="s">
        <v>2371</v>
      </c>
      <c r="G14" s="2891"/>
      <c r="H14" s="2847"/>
      <c r="I14" s="2848"/>
      <c r="J14" s="3640"/>
      <c r="K14" s="3643"/>
      <c r="L14" s="2902" t="s">
        <v>2372</v>
      </c>
      <c r="M14" s="2903">
        <f>SUM(M7:M13)</f>
        <v>0</v>
      </c>
      <c r="N14" s="2903" t="e">
        <f>ROUND((N7*M7+N8*M8+N9*M9+N10*M10+N11*M11+N12*M12+N13*M13)/M14,0)</f>
        <v>#DIV/0!</v>
      </c>
      <c r="O14" s="2904"/>
      <c r="P14" s="2904"/>
      <c r="Q14" s="2905"/>
      <c r="R14" s="2851">
        <f>SUM(R7:R13)</f>
        <v>0</v>
      </c>
      <c r="S14" s="2840"/>
      <c r="T14" s="2840"/>
      <c r="U14" s="2840"/>
      <c r="V14" s="2848"/>
    </row>
    <row r="15" spans="1:22" s="2852" customFormat="1" ht="13.2" customHeight="1">
      <c r="A15" s="2895" t="s">
        <v>2373</v>
      </c>
      <c r="B15" s="3650" t="s">
        <v>2374</v>
      </c>
      <c r="C15" s="3651"/>
      <c r="D15" s="2896">
        <f>ROUND(D6*E15,0)</f>
        <v>0</v>
      </c>
      <c r="E15" s="2897">
        <v>5.5E-2</v>
      </c>
      <c r="F15" s="2890" t="s">
        <v>2375</v>
      </c>
      <c r="G15" s="2872"/>
      <c r="H15" s="2847"/>
      <c r="I15" s="2848"/>
      <c r="J15" s="3640">
        <v>2</v>
      </c>
      <c r="K15" s="3641" t="s">
        <v>2376</v>
      </c>
      <c r="L15" s="2882" t="s">
        <v>2377</v>
      </c>
      <c r="M15" s="2883" t="s">
        <v>2378</v>
      </c>
      <c r="N15" s="2883" t="s">
        <v>2379</v>
      </c>
      <c r="O15" s="2884" t="s">
        <v>2380</v>
      </c>
      <c r="P15" s="2884" t="s">
        <v>2342</v>
      </c>
      <c r="Q15" s="2859" t="s">
        <v>2381</v>
      </c>
      <c r="R15" s="2906" t="s">
        <v>2343</v>
      </c>
      <c r="S15" s="2840"/>
      <c r="T15" s="2840"/>
      <c r="U15" s="2840"/>
      <c r="V15" s="2848"/>
    </row>
    <row r="16" spans="1:22" s="2852" customFormat="1" ht="13.2" customHeight="1">
      <c r="A16" s="2895" t="s">
        <v>2382</v>
      </c>
      <c r="B16" s="3650" t="s">
        <v>2383</v>
      </c>
      <c r="C16" s="3651"/>
      <c r="D16" s="2907">
        <f>D6*E16</f>
        <v>0</v>
      </c>
      <c r="E16" s="2908"/>
      <c r="F16" s="2893" t="s">
        <v>2384</v>
      </c>
      <c r="G16" s="2872"/>
      <c r="H16" s="2847"/>
      <c r="I16" s="2848"/>
      <c r="J16" s="3640"/>
      <c r="K16" s="3642"/>
      <c r="L16" s="2882" t="s">
        <v>2385</v>
      </c>
      <c r="M16" s="2883"/>
      <c r="N16" s="2883"/>
      <c r="O16" s="2884"/>
      <c r="P16" s="2885">
        <v>365</v>
      </c>
      <c r="Q16" s="2859"/>
      <c r="R16" s="2906">
        <f>ROUND(M16*N16*O16*P16/10000,0)</f>
        <v>0</v>
      </c>
      <c r="S16" s="2840"/>
      <c r="T16" s="2840"/>
      <c r="U16" s="2840"/>
      <c r="V16" s="2848"/>
    </row>
    <row r="17" spans="1:22" s="2852" customFormat="1" ht="13.2" customHeight="1" thickBot="1">
      <c r="A17" s="2909">
        <v>4</v>
      </c>
      <c r="B17" s="3652" t="s">
        <v>2386</v>
      </c>
      <c r="C17" s="3653"/>
      <c r="D17" s="2910">
        <f>ROUND(D6*E17,0)</f>
        <v>0</v>
      </c>
      <c r="E17" s="2911"/>
      <c r="F17" s="2912" t="s">
        <v>2387</v>
      </c>
      <c r="G17" s="2872"/>
      <c r="H17" s="2847"/>
      <c r="I17" s="2848"/>
      <c r="J17" s="3640"/>
      <c r="K17" s="3642"/>
      <c r="L17" s="2882" t="s">
        <v>2388</v>
      </c>
      <c r="M17" s="2883"/>
      <c r="N17" s="2883"/>
      <c r="O17" s="2884"/>
      <c r="P17" s="2885">
        <v>365</v>
      </c>
      <c r="Q17" s="2859"/>
      <c r="R17" s="2906">
        <f>ROUND(M17*N17*O17*P17/10000,0)</f>
        <v>0</v>
      </c>
      <c r="S17" s="2840"/>
      <c r="T17" s="2840"/>
      <c r="U17" s="2840"/>
      <c r="V17" s="2848"/>
    </row>
    <row r="18" spans="1:22" s="2852" customFormat="1" ht="13.2" customHeight="1" thickBot="1">
      <c r="A18" s="2875" t="s">
        <v>2389</v>
      </c>
      <c r="B18" s="2876"/>
      <c r="C18" s="2876"/>
      <c r="D18" s="2913">
        <f>ROUND(D6*E18,0)</f>
        <v>0</v>
      </c>
      <c r="E18" s="2914"/>
      <c r="F18" s="2915" t="s">
        <v>2390</v>
      </c>
      <c r="G18" s="2872"/>
      <c r="H18" s="2847"/>
      <c r="I18" s="2848"/>
      <c r="J18" s="3640"/>
      <c r="K18" s="3642"/>
      <c r="L18" s="2882" t="s">
        <v>2391</v>
      </c>
      <c r="M18" s="2883"/>
      <c r="N18" s="2883"/>
      <c r="O18" s="2884"/>
      <c r="P18" s="2885">
        <v>365</v>
      </c>
      <c r="Q18" s="2859"/>
      <c r="R18" s="2906">
        <f>ROUND(M18*N18*O18*P18/10000,0)</f>
        <v>0</v>
      </c>
      <c r="S18" s="2840"/>
      <c r="T18" s="2840"/>
      <c r="U18" s="2840"/>
      <c r="V18" s="2848"/>
    </row>
    <row r="19" spans="1:22" s="2852" customFormat="1" ht="13.2" customHeight="1" thickBot="1">
      <c r="A19" s="2916" t="s">
        <v>2392</v>
      </c>
      <c r="B19" s="2870"/>
      <c r="C19" s="2870"/>
      <c r="D19" s="2870"/>
      <c r="E19" s="2870"/>
      <c r="F19" s="2871"/>
      <c r="G19" s="2891"/>
      <c r="H19" s="2847"/>
      <c r="I19" s="2848"/>
      <c r="J19" s="3640"/>
      <c r="K19" s="3643"/>
      <c r="L19" s="2902" t="s">
        <v>2372</v>
      </c>
      <c r="M19" s="2903"/>
      <c r="N19" s="2903">
        <f>SUM(N16:N18)</f>
        <v>0</v>
      </c>
      <c r="O19" s="2904"/>
      <c r="P19" s="2917" t="s">
        <v>2436</v>
      </c>
      <c r="Q19" s="2884">
        <v>0</v>
      </c>
      <c r="R19" s="2918">
        <f>ROUND(IF(P19="按比例",R14*Q19,SUM(R16:R18)),0)</f>
        <v>0</v>
      </c>
      <c r="S19" s="2840"/>
      <c r="T19" s="2840"/>
      <c r="U19" s="2840"/>
      <c r="V19" s="2848"/>
    </row>
    <row r="20" spans="1:22" s="2852" customFormat="1" ht="13.2" customHeight="1">
      <c r="A20" s="2875"/>
      <c r="B20" s="2876"/>
      <c r="C20" s="2876"/>
      <c r="D20" s="2876"/>
      <c r="E20" s="2876"/>
      <c r="F20" s="2919"/>
      <c r="G20" s="2891"/>
      <c r="H20" s="2847"/>
      <c r="I20" s="2848"/>
      <c r="J20" s="3640">
        <v>3</v>
      </c>
      <c r="K20" s="3641" t="s">
        <v>2393</v>
      </c>
      <c r="L20" s="2882" t="s">
        <v>2394</v>
      </c>
      <c r="M20" s="2883" t="s">
        <v>2395</v>
      </c>
      <c r="N20" s="2920" t="s">
        <v>2396</v>
      </c>
      <c r="O20" s="2884" t="s">
        <v>2397</v>
      </c>
      <c r="P20" s="2885" t="s">
        <v>2398</v>
      </c>
      <c r="Q20" s="2859" t="s">
        <v>2399</v>
      </c>
      <c r="R20" s="2906" t="s">
        <v>2400</v>
      </c>
      <c r="S20" s="2921"/>
      <c r="T20" s="2921"/>
      <c r="U20" s="2921"/>
      <c r="V20" s="2848"/>
    </row>
    <row r="21" spans="1:22" s="2852" customFormat="1" ht="13.2" customHeight="1">
      <c r="A21" s="2875"/>
      <c r="B21" s="2876"/>
      <c r="C21" s="2922" t="s">
        <v>2401</v>
      </c>
      <c r="D21" s="2923" t="s">
        <v>2402</v>
      </c>
      <c r="E21" s="2924" t="s">
        <v>2403</v>
      </c>
      <c r="F21" s="2919"/>
      <c r="G21" s="2891"/>
      <c r="H21" s="2847"/>
      <c r="I21" s="2848"/>
      <c r="J21" s="3640"/>
      <c r="K21" s="3642"/>
      <c r="L21" s="2882" t="s">
        <v>2404</v>
      </c>
      <c r="M21" s="2883"/>
      <c r="N21" s="2883"/>
      <c r="O21" s="2884"/>
      <c r="P21" s="2885">
        <v>365</v>
      </c>
      <c r="Q21" s="2859"/>
      <c r="R21" s="2925">
        <f>ROUND(M21*N21*O21*P21/10000,0)</f>
        <v>0</v>
      </c>
      <c r="S21" s="2921"/>
      <c r="T21" s="2921"/>
      <c r="U21" s="2921"/>
      <c r="V21" s="2848"/>
    </row>
    <row r="22" spans="1:22" s="2852" customFormat="1" ht="13.2" customHeight="1">
      <c r="A22" s="2875"/>
      <c r="B22" s="2876"/>
      <c r="C22" s="2926" t="s">
        <v>2405</v>
      </c>
      <c r="D22" s="2927" t="s">
        <v>2406</v>
      </c>
      <c r="E22" s="2928" t="s">
        <v>2407</v>
      </c>
      <c r="F22" s="2919"/>
      <c r="G22" s="2929"/>
      <c r="H22" s="2847"/>
      <c r="I22" s="2848"/>
      <c r="J22" s="3640"/>
      <c r="K22" s="3642"/>
      <c r="L22" s="2882" t="s">
        <v>2408</v>
      </c>
      <c r="M22" s="2883"/>
      <c r="N22" s="2883"/>
      <c r="O22" s="2884"/>
      <c r="P22" s="2885">
        <v>365</v>
      </c>
      <c r="Q22" s="2859"/>
      <c r="R22" s="2925">
        <f>ROUND(M22*N22*O22*P22/10000,0)</f>
        <v>0</v>
      </c>
      <c r="S22" s="2921"/>
      <c r="T22" s="2921"/>
      <c r="U22" s="2921"/>
      <c r="V22" s="2848"/>
    </row>
    <row r="23" spans="1:22" s="2852" customFormat="1" ht="13.2" customHeight="1">
      <c r="A23" s="2930">
        <v>1</v>
      </c>
      <c r="B23" s="2931" t="s">
        <v>2409</v>
      </c>
      <c r="C23" s="2932">
        <f>D6</f>
        <v>0</v>
      </c>
      <c r="D23" s="2933">
        <f>C23*(1+D24)</f>
        <v>0</v>
      </c>
      <c r="E23" s="2934">
        <f>D23*(1+E24)</f>
        <v>0</v>
      </c>
      <c r="F23" s="2935"/>
      <c r="G23" s="2936"/>
      <c r="H23" s="2847"/>
      <c r="I23" s="2848"/>
      <c r="J23" s="3640"/>
      <c r="K23" s="3642"/>
      <c r="L23" s="2882" t="s">
        <v>2410</v>
      </c>
      <c r="M23" s="2883"/>
      <c r="N23" s="2883"/>
      <c r="O23" s="2884"/>
      <c r="P23" s="2885">
        <v>365</v>
      </c>
      <c r="Q23" s="2859"/>
      <c r="R23" s="2925">
        <f>ROUND(M23*N23*O23*P23/10000,0)</f>
        <v>0</v>
      </c>
      <c r="S23" s="2840"/>
      <c r="T23" s="2840"/>
      <c r="U23" s="2840"/>
      <c r="V23" s="2848"/>
    </row>
    <row r="24" spans="1:22" s="2852" customFormat="1" ht="13.2" customHeight="1">
      <c r="A24" s="2937"/>
      <c r="B24" s="2938" t="s">
        <v>2411</v>
      </c>
      <c r="C24" s="2939"/>
      <c r="D24" s="2940"/>
      <c r="E24" s="2941"/>
      <c r="F24" s="2942"/>
      <c r="G24" s="2936"/>
      <c r="H24" s="2847"/>
      <c r="I24" s="2848"/>
      <c r="J24" s="3640"/>
      <c r="K24" s="3643"/>
      <c r="L24" s="2902" t="s">
        <v>2372</v>
      </c>
      <c r="M24" s="2903">
        <f>SUM(M21:M23)</f>
        <v>0</v>
      </c>
      <c r="N24" s="2903"/>
      <c r="O24" s="2904"/>
      <c r="P24" s="2917" t="s">
        <v>2436</v>
      </c>
      <c r="Q24" s="2884">
        <v>0</v>
      </c>
      <c r="R24" s="2918">
        <f>ROUND(IF(P24="按比例",R14*Q24,SUM(R21:R23)),0)</f>
        <v>0</v>
      </c>
      <c r="S24" s="2840"/>
      <c r="T24" s="2840"/>
      <c r="U24" s="2840"/>
      <c r="V24" s="2848"/>
    </row>
    <row r="25" spans="1:22" s="2949" customFormat="1" ht="13.2" customHeight="1">
      <c r="A25" s="2937"/>
      <c r="B25" s="2938"/>
      <c r="C25" s="2939"/>
      <c r="D25" s="2940"/>
      <c r="E25" s="2941"/>
      <c r="F25" s="2942"/>
      <c r="G25" s="2929"/>
      <c r="H25" s="2847"/>
      <c r="I25" s="2848"/>
      <c r="J25" s="2943">
        <v>4</v>
      </c>
      <c r="K25" s="2944" t="s">
        <v>2412</v>
      </c>
      <c r="L25" s="2945"/>
      <c r="M25" s="2945"/>
      <c r="N25" s="2945"/>
      <c r="O25" s="2945"/>
      <c r="P25" s="2946"/>
      <c r="Q25" s="2947">
        <v>0</v>
      </c>
      <c r="R25" s="2918">
        <f>ROUND(R14*Q25,0)</f>
        <v>0</v>
      </c>
      <c r="S25" s="2840"/>
      <c r="T25" s="2840"/>
      <c r="U25" s="2840"/>
      <c r="V25" s="2948"/>
    </row>
    <row r="26" spans="1:22" s="2949" customFormat="1" ht="13.2" customHeight="1">
      <c r="A26" s="2930">
        <v>2</v>
      </c>
      <c r="B26" s="2931" t="s">
        <v>2413</v>
      </c>
      <c r="C26" s="2932">
        <f>D7</f>
        <v>0</v>
      </c>
      <c r="D26" s="2933">
        <f>D23*D27</f>
        <v>0</v>
      </c>
      <c r="E26" s="2934">
        <f>E23*E27</f>
        <v>0</v>
      </c>
      <c r="F26" s="2935"/>
      <c r="G26" s="2936"/>
      <c r="H26" s="2847"/>
      <c r="I26" s="2848"/>
      <c r="J26" s="3644">
        <v>5</v>
      </c>
      <c r="K26" s="2950" t="s">
        <v>2414</v>
      </c>
      <c r="L26" s="2951"/>
      <c r="M26" s="2952"/>
      <c r="N26" s="2953" t="s">
        <v>2415</v>
      </c>
      <c r="O26" s="2953" t="s">
        <v>2416</v>
      </c>
      <c r="P26" s="2954" t="s">
        <v>2417</v>
      </c>
      <c r="Q26" s="2954" t="s">
        <v>2418</v>
      </c>
      <c r="R26" s="2857" t="s">
        <v>2343</v>
      </c>
      <c r="S26" s="2955"/>
      <c r="T26" s="2955"/>
      <c r="U26" s="2955"/>
      <c r="V26" s="2948"/>
    </row>
    <row r="27" spans="1:22" s="2852" customFormat="1" ht="13.2" customHeight="1">
      <c r="A27" s="2937"/>
      <c r="B27" s="2938" t="s">
        <v>2419</v>
      </c>
      <c r="C27" s="2956" t="e">
        <f>E7</f>
        <v>#DIV/0!</v>
      </c>
      <c r="D27" s="2940"/>
      <c r="E27" s="2941"/>
      <c r="F27" s="2942"/>
      <c r="G27" s="2936"/>
      <c r="H27" s="2957"/>
      <c r="I27" s="2948"/>
      <c r="J27" s="3645"/>
      <c r="K27" s="2958"/>
      <c r="L27" s="2959"/>
      <c r="M27" s="2960"/>
      <c r="N27" s="2961"/>
      <c r="O27" s="2961"/>
      <c r="P27" s="2961"/>
      <c r="Q27" s="2962"/>
      <c r="R27" s="2918">
        <f>ROUND(O27*N27*P27*(1-Q27)/10000,0)</f>
        <v>0</v>
      </c>
      <c r="S27" s="2840"/>
      <c r="T27" s="2840"/>
      <c r="U27" s="2840"/>
      <c r="V27" s="2848"/>
    </row>
    <row r="28" spans="1:22" s="2949" customFormat="1" ht="13.2" customHeight="1" thickBot="1">
      <c r="A28" s="2937"/>
      <c r="B28" s="2938"/>
      <c r="C28" s="2956"/>
      <c r="D28" s="2940"/>
      <c r="E28" s="2941" t="s">
        <v>2420</v>
      </c>
      <c r="F28" s="2942"/>
      <c r="G28" s="2929"/>
      <c r="H28" s="2957"/>
      <c r="I28" s="2948"/>
      <c r="J28" s="2963">
        <v>6</v>
      </c>
      <c r="K28" s="2964" t="s">
        <v>2421</v>
      </c>
      <c r="L28" s="2965" t="s">
        <v>2422</v>
      </c>
      <c r="M28" s="2966"/>
      <c r="N28" s="2965" t="s">
        <v>2423</v>
      </c>
      <c r="O28" s="2967"/>
      <c r="P28" s="2965" t="s">
        <v>2424</v>
      </c>
      <c r="Q28" s="2968">
        <v>1.4999999999999999E-2</v>
      </c>
      <c r="R28" s="2969"/>
      <c r="S28" s="2921"/>
      <c r="T28" s="2921"/>
      <c r="U28" s="2921"/>
      <c r="V28" s="2948"/>
    </row>
    <row r="29" spans="1:22" s="2949" customFormat="1" ht="13.2" customHeight="1">
      <c r="A29" s="2930">
        <v>3</v>
      </c>
      <c r="B29" s="2931" t="s">
        <v>2425</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2" customHeight="1" thickBot="1">
      <c r="A30" s="2937"/>
      <c r="B30" s="2938" t="s">
        <v>2419</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2" customHeight="1">
      <c r="A31" s="2937"/>
      <c r="B31" s="2938"/>
      <c r="C31" s="2971"/>
      <c r="D31" s="2970"/>
      <c r="E31" s="2901"/>
      <c r="F31" s="2942"/>
      <c r="G31" s="2929"/>
      <c r="H31" s="2957"/>
      <c r="I31" s="2948"/>
      <c r="J31" s="2837" t="s">
        <v>2426</v>
      </c>
      <c r="K31" s="2838"/>
      <c r="L31" s="2838"/>
      <c r="M31" s="2838"/>
      <c r="N31" s="2838"/>
      <c r="O31" s="2838"/>
      <c r="P31" s="2838"/>
      <c r="Q31" s="2838"/>
      <c r="R31" s="2839"/>
      <c r="S31" s="2921"/>
      <c r="T31" s="2840"/>
      <c r="U31" s="2840"/>
      <c r="V31" s="2948"/>
    </row>
    <row r="32" spans="1:22" s="2949" customFormat="1" ht="13.2" customHeight="1">
      <c r="A32" s="2930">
        <v>4</v>
      </c>
      <c r="B32" s="2931" t="s">
        <v>2427</v>
      </c>
      <c r="C32" s="2932">
        <f>C23-C26-C29</f>
        <v>0</v>
      </c>
      <c r="D32" s="2933">
        <f>D23-D26-D29</f>
        <v>0</v>
      </c>
      <c r="E32" s="2934">
        <f>E23-E26-E29</f>
        <v>0</v>
      </c>
      <c r="F32" s="2935"/>
      <c r="G32" s="2929"/>
      <c r="H32" s="2847"/>
      <c r="I32" s="2848"/>
      <c r="J32" s="3646" t="s">
        <v>2319</v>
      </c>
      <c r="K32" s="3647"/>
      <c r="L32" s="2849" t="s">
        <v>2320</v>
      </c>
      <c r="M32" s="2849" t="s">
        <v>2321</v>
      </c>
      <c r="N32" s="2849" t="s">
        <v>2322</v>
      </c>
      <c r="O32" s="2849" t="s">
        <v>2323</v>
      </c>
      <c r="P32" s="2849" t="s">
        <v>2324</v>
      </c>
      <c r="Q32" s="2850" t="s">
        <v>2325</v>
      </c>
      <c r="R32" s="2972" t="s">
        <v>2326</v>
      </c>
      <c r="S32" s="2921"/>
      <c r="T32" s="2840"/>
      <c r="U32" s="2840"/>
      <c r="V32" s="2948"/>
    </row>
    <row r="33" spans="1:23" s="2852" customFormat="1" ht="13.2" customHeight="1">
      <c r="A33" s="2930"/>
      <c r="B33" s="2931"/>
      <c r="C33" s="2932"/>
      <c r="D33" s="2973"/>
      <c r="E33" s="2974"/>
      <c r="F33" s="2935"/>
      <c r="G33" s="2929"/>
      <c r="H33" s="2957"/>
      <c r="I33" s="2948"/>
      <c r="J33" s="3648" t="s">
        <v>2329</v>
      </c>
      <c r="K33" s="3649"/>
      <c r="L33" s="2855"/>
      <c r="M33" s="2855"/>
      <c r="N33" s="2855"/>
      <c r="O33" s="2855"/>
      <c r="P33" s="2855"/>
      <c r="Q33" s="2856"/>
      <c r="R33" s="2975">
        <f>SUM(L33:Q33)</f>
        <v>0</v>
      </c>
      <c r="S33" s="2921"/>
      <c r="T33" s="2840"/>
      <c r="U33" s="2840"/>
      <c r="V33" s="2848"/>
    </row>
    <row r="34" spans="1:23" s="2852" customFormat="1" ht="13.2" customHeight="1">
      <c r="A34" s="2930">
        <v>5</v>
      </c>
      <c r="B34" s="2931" t="s">
        <v>2428</v>
      </c>
      <c r="C34" s="2976"/>
      <c r="D34" s="2977"/>
      <c r="E34" s="2978"/>
      <c r="F34" s="2935"/>
      <c r="G34" s="2929"/>
      <c r="H34" s="2957"/>
      <c r="I34" s="2948"/>
      <c r="J34" s="3648" t="s">
        <v>2331</v>
      </c>
      <c r="K34" s="3649"/>
      <c r="L34" s="2860"/>
      <c r="M34" s="2860"/>
      <c r="N34" s="2860"/>
      <c r="O34" s="2860"/>
      <c r="P34" s="2860"/>
      <c r="Q34" s="2861"/>
      <c r="R34" s="2979">
        <f>SUM(L34:Q34)</f>
        <v>0</v>
      </c>
      <c r="S34" s="2921"/>
      <c r="T34" s="2840"/>
      <c r="U34" s="2840" t="e">
        <f>ROUND(R35*10000/365/R33,1)</f>
        <v>#DIV/0!</v>
      </c>
      <c r="V34" s="2848"/>
    </row>
    <row r="35" spans="1:23" s="2852" customFormat="1" ht="13.2" customHeight="1">
      <c r="A35" s="2930">
        <v>6</v>
      </c>
      <c r="B35" s="2931" t="s">
        <v>2429</v>
      </c>
      <c r="C35" s="2980"/>
      <c r="D35" s="2981"/>
      <c r="E35" s="2982"/>
      <c r="F35" s="2935"/>
      <c r="G35" s="2983"/>
      <c r="H35" s="2847"/>
      <c r="I35" s="2948"/>
      <c r="J35" s="2866" t="s">
        <v>2333</v>
      </c>
      <c r="K35" s="2867"/>
      <c r="L35" s="2867"/>
      <c r="M35" s="2868"/>
      <c r="N35" s="2868"/>
      <c r="O35" s="2868"/>
      <c r="P35" s="2868"/>
      <c r="Q35" s="2868"/>
      <c r="R35" s="2984">
        <f>R40+R41+R43</f>
        <v>0</v>
      </c>
      <c r="S35" s="2921"/>
      <c r="T35" s="2840" t="s">
        <v>2334</v>
      </c>
      <c r="U35" s="2840"/>
      <c r="V35" s="2848"/>
    </row>
    <row r="36" spans="1:23" s="2852" customFormat="1" ht="13.2" customHeight="1" thickBot="1">
      <c r="A36" s="2930">
        <v>7</v>
      </c>
      <c r="B36" s="2985" t="s">
        <v>2430</v>
      </c>
      <c r="C36" s="2986"/>
      <c r="D36" s="2987"/>
      <c r="E36" s="2988"/>
      <c r="F36" s="2989">
        <f>C36+D36+E36</f>
        <v>0</v>
      </c>
      <c r="G36" s="2929"/>
      <c r="H36" s="2847"/>
      <c r="I36" s="2848"/>
      <c r="J36" s="3640">
        <v>1</v>
      </c>
      <c r="K36" s="3641" t="s">
        <v>2431</v>
      </c>
      <c r="L36" s="2873"/>
      <c r="M36" s="2874"/>
      <c r="N36" s="2874"/>
      <c r="O36" s="2874"/>
      <c r="P36" s="2874"/>
      <c r="Q36" s="2874"/>
      <c r="R36" s="2857" t="s">
        <v>2343</v>
      </c>
      <c r="S36" s="2921"/>
      <c r="T36" s="2840" t="s">
        <v>2344</v>
      </c>
      <c r="U36" s="2840"/>
      <c r="V36" s="2848"/>
    </row>
    <row r="37" spans="1:23" s="2852" customFormat="1" ht="13.2" customHeight="1">
      <c r="A37" s="2930"/>
      <c r="B37" s="2931"/>
      <c r="C37" s="2931"/>
      <c r="D37" s="2931"/>
      <c r="E37" s="2931"/>
      <c r="F37" s="2935"/>
      <c r="G37" s="2929"/>
      <c r="H37" s="2847"/>
      <c r="I37" s="2848"/>
      <c r="J37" s="3640"/>
      <c r="K37" s="3642"/>
      <c r="L37" s="2882"/>
      <c r="M37" s="2883"/>
      <c r="N37" s="2859"/>
      <c r="O37" s="2884"/>
      <c r="P37" s="2884"/>
      <c r="Q37" s="2885"/>
      <c r="R37" s="2886"/>
      <c r="S37" s="2921"/>
      <c r="T37" s="2840" t="s">
        <v>2347</v>
      </c>
      <c r="U37" s="2840"/>
      <c r="V37" s="2848"/>
    </row>
    <row r="38" spans="1:23" s="2852" customFormat="1" ht="13.2" customHeight="1">
      <c r="A38" s="2930">
        <v>8</v>
      </c>
      <c r="B38" s="2931"/>
      <c r="C38" s="2888" t="e">
        <f>ROUND(C32*(1-((1+C35)/(1+C34))^C36)/(C34-C35),0)</f>
        <v>#DIV/0!</v>
      </c>
      <c r="D38" s="2888">
        <f>IF(D23=0,0,ROUND(D32*(1-((1+D35)/(1+D34))^D36)/(D34-D35),0))</f>
        <v>0</v>
      </c>
      <c r="E38" s="2888">
        <f>IF(E23=0,0,ROUND(E32*(1-((1+E35)/(1+E34))^E36)/(E34-E35),0))</f>
        <v>0</v>
      </c>
      <c r="F38" s="2935"/>
      <c r="G38" s="2929"/>
      <c r="H38" s="2847"/>
      <c r="I38" s="2848"/>
      <c r="J38" s="3640"/>
      <c r="K38" s="3642"/>
      <c r="L38" s="2882"/>
      <c r="M38" s="2883"/>
      <c r="N38" s="2859"/>
      <c r="O38" s="2884"/>
      <c r="P38" s="2884"/>
      <c r="Q38" s="2885"/>
      <c r="R38" s="2886"/>
      <c r="S38" s="2921"/>
      <c r="T38" s="2840" t="s">
        <v>2354</v>
      </c>
      <c r="U38" s="2840"/>
      <c r="V38" s="2848"/>
    </row>
    <row r="39" spans="1:23" s="2852" customFormat="1" ht="13.2" customHeight="1">
      <c r="A39" s="2930">
        <v>9</v>
      </c>
      <c r="B39" s="2931" t="s">
        <v>2432</v>
      </c>
      <c r="C39" s="2896" t="e">
        <f>C38</f>
        <v>#DIV/0!</v>
      </c>
      <c r="D39" s="2931">
        <f>D38/(1+D34)^C36</f>
        <v>0</v>
      </c>
      <c r="E39" s="2931">
        <f>E38/(1+E34)^(C36+D36)</f>
        <v>0</v>
      </c>
      <c r="F39" s="2935"/>
      <c r="G39" s="2990"/>
      <c r="H39" s="2847"/>
      <c r="I39" s="2848"/>
      <c r="J39" s="3640"/>
      <c r="K39" s="3642"/>
      <c r="L39" s="2882"/>
      <c r="M39" s="2883"/>
      <c r="N39" s="2859"/>
      <c r="O39" s="2884"/>
      <c r="P39" s="2884"/>
      <c r="Q39" s="2885"/>
      <c r="R39" s="2886"/>
      <c r="S39" s="2921"/>
      <c r="T39" s="2840"/>
      <c r="U39" s="2840"/>
      <c r="V39" s="2848"/>
    </row>
    <row r="40" spans="1:23" s="2852" customFormat="1" ht="13.2" customHeight="1">
      <c r="A40" s="2991">
        <v>10</v>
      </c>
      <c r="B40" s="2931" t="s">
        <v>2433</v>
      </c>
      <c r="C40" s="2992" t="e">
        <f>C39+D39+E39</f>
        <v>#DIV/0!</v>
      </c>
      <c r="D40" s="2993"/>
      <c r="E40" s="2993"/>
      <c r="F40" s="2994"/>
      <c r="G40" s="2929"/>
      <c r="H40" s="2847"/>
      <c r="I40" s="2848"/>
      <c r="J40" s="3640"/>
      <c r="K40" s="3643"/>
      <c r="L40" s="2902" t="s">
        <v>2372</v>
      </c>
      <c r="M40" s="2903"/>
      <c r="N40" s="2903"/>
      <c r="O40" s="2904"/>
      <c r="P40" s="2904"/>
      <c r="Q40" s="2905"/>
      <c r="R40" s="2851">
        <f>SUM(R37:R39)</f>
        <v>0</v>
      </c>
      <c r="S40" s="2921"/>
      <c r="T40" s="2840"/>
      <c r="U40" s="2840"/>
      <c r="V40" s="2848"/>
    </row>
    <row r="41" spans="1:23" s="2852" customFormat="1" ht="13.2" customHeight="1" thickBot="1">
      <c r="A41" s="2995">
        <v>11</v>
      </c>
      <c r="B41" s="2996" t="s">
        <v>2434</v>
      </c>
      <c r="C41" s="2996" t="e">
        <f>ROUND(C40*10000/B4,0)</f>
        <v>#DIV/0!</v>
      </c>
      <c r="D41" s="2997"/>
      <c r="E41" s="2997"/>
      <c r="F41" s="2998"/>
      <c r="G41" s="2999"/>
      <c r="H41" s="2847"/>
      <c r="I41" s="2848"/>
      <c r="J41" s="2943">
        <v>2</v>
      </c>
      <c r="K41" s="2944" t="s">
        <v>2412</v>
      </c>
      <c r="L41" s="2945"/>
      <c r="M41" s="2945"/>
      <c r="N41" s="2945"/>
      <c r="O41" s="2945"/>
      <c r="P41" s="2946"/>
      <c r="Q41" s="2947"/>
      <c r="R41" s="2918">
        <f>ROUND(R40*Q41,0)</f>
        <v>0</v>
      </c>
      <c r="S41" s="2921"/>
      <c r="T41" s="2840"/>
      <c r="U41" s="2955"/>
      <c r="V41" s="2848"/>
    </row>
    <row r="42" spans="1:23" s="2852" customFormat="1" ht="13.2" customHeight="1">
      <c r="G42" s="2999"/>
      <c r="H42" s="2847"/>
      <c r="I42" s="2848"/>
      <c r="J42" s="3644">
        <v>3</v>
      </c>
      <c r="K42" s="2950" t="s">
        <v>2414</v>
      </c>
      <c r="L42" s="2951"/>
      <c r="M42" s="2952"/>
      <c r="N42" s="2953" t="s">
        <v>2415</v>
      </c>
      <c r="O42" s="2953" t="s">
        <v>2416</v>
      </c>
      <c r="P42" s="2954" t="s">
        <v>2417</v>
      </c>
      <c r="Q42" s="2954" t="s">
        <v>2418</v>
      </c>
      <c r="R42" s="2857" t="s">
        <v>2343</v>
      </c>
      <c r="S42" s="2955"/>
      <c r="T42" s="2955"/>
      <c r="U42" s="2840"/>
      <c r="V42" s="2848"/>
    </row>
    <row r="43" spans="1:23" ht="13.2" customHeight="1">
      <c r="A43" s="2852"/>
      <c r="B43" s="2852"/>
      <c r="C43" s="2852"/>
      <c r="D43" s="2852"/>
      <c r="E43" s="2852"/>
      <c r="F43" s="2852"/>
      <c r="I43" s="2835"/>
      <c r="J43" s="3645"/>
      <c r="K43" s="2958"/>
      <c r="L43" s="2959"/>
      <c r="M43" s="2960"/>
      <c r="N43" s="2883"/>
      <c r="O43" s="2883"/>
      <c r="P43" s="2883"/>
      <c r="Q43" s="2947"/>
      <c r="R43" s="2918">
        <f>ROUND(O43*N43*P43*(1-Q43)/10000,0)</f>
        <v>0</v>
      </c>
      <c r="S43" s="2921"/>
      <c r="T43" s="2840"/>
      <c r="V43" s="3001"/>
      <c r="W43" s="3002"/>
    </row>
    <row r="44" spans="1:23" ht="13.2" customHeight="1" thickBot="1">
      <c r="J44" s="2963">
        <v>6</v>
      </c>
      <c r="K44" s="2964" t="s">
        <v>2421</v>
      </c>
      <c r="L44" s="3003" t="s">
        <v>2422</v>
      </c>
      <c r="M44" s="2966"/>
      <c r="N44" s="3003" t="s">
        <v>2423</v>
      </c>
      <c r="O44" s="2966"/>
      <c r="P44" s="3003" t="s">
        <v>2424</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6"/>
      <c r="G1" s="1489"/>
      <c r="H1" s="1489"/>
      <c r="I1" s="1489"/>
      <c r="J1" s="1489"/>
      <c r="K1" s="1489"/>
      <c r="L1" s="1489"/>
      <c r="M1" s="1489"/>
      <c r="N1" s="1489"/>
      <c r="O1" s="1489"/>
      <c r="P1" s="1489"/>
      <c r="Q1" s="1489"/>
      <c r="R1" s="1489"/>
      <c r="S1" s="1489"/>
    </row>
    <row r="2" spans="1:22" ht="15.6">
      <c r="A2" s="1870" t="s">
        <v>1462</v>
      </c>
      <c r="B2" s="1871" t="e">
        <f ca="1">SUMIF(B6:B13,"&lt;&gt;#ref!",B6:B13)</f>
        <v>#DIV/0!</v>
      </c>
      <c r="C2" s="1872" t="s">
        <v>1651</v>
      </c>
      <c r="D2" s="1873" t="s">
        <v>1652</v>
      </c>
      <c r="E2" s="2606">
        <f>SUM(E6:E13)</f>
        <v>195.03</v>
      </c>
      <c r="F2" s="2706"/>
      <c r="G2" s="1489"/>
      <c r="H2" s="1489"/>
      <c r="I2" s="1489"/>
      <c r="J2" s="1489"/>
      <c r="K2" s="1489"/>
      <c r="L2" s="1489"/>
      <c r="M2" s="1489"/>
      <c r="N2" s="1489"/>
      <c r="O2" s="1489"/>
      <c r="P2" s="1489"/>
      <c r="Q2" s="1489"/>
      <c r="R2" s="1489"/>
      <c r="S2" s="1489"/>
    </row>
    <row r="3" spans="1:22" ht="15.6">
      <c r="A3" s="1870" t="s">
        <v>686</v>
      </c>
      <c r="B3" s="2600" t="e">
        <f ca="1">ROUND(B2*10000/E2,0)</f>
        <v>#DIV/0!</v>
      </c>
      <c r="C3" s="1872" t="s">
        <v>1659</v>
      </c>
      <c r="D3" s="2708"/>
      <c r="E3" s="2710"/>
      <c r="F3" s="2706"/>
      <c r="G3" s="1489"/>
      <c r="H3" s="1489"/>
      <c r="I3" s="1489"/>
      <c r="J3" s="1489"/>
      <c r="K3" s="1489"/>
      <c r="L3" s="1489"/>
      <c r="M3" s="1489"/>
      <c r="N3" s="1489"/>
      <c r="O3" s="1489"/>
      <c r="P3" s="1489"/>
      <c r="Q3" s="1489"/>
      <c r="R3" s="1489"/>
      <c r="S3" s="1489"/>
    </row>
    <row r="4" spans="1:22" ht="15.6">
      <c r="A4" s="2711"/>
      <c r="B4" s="2708"/>
      <c r="C4" s="2708"/>
      <c r="D4" s="2708"/>
      <c r="E4" s="2710"/>
      <c r="F4" s="2706"/>
      <c r="G4" s="1489"/>
      <c r="H4" s="1489"/>
      <c r="I4" s="1489"/>
      <c r="J4" s="1489"/>
      <c r="K4" s="1489"/>
      <c r="L4" s="1489"/>
      <c r="M4" s="1489"/>
      <c r="N4" s="1489"/>
      <c r="O4" s="1489"/>
      <c r="P4" s="1489"/>
      <c r="Q4" s="1489"/>
      <c r="R4" s="1489"/>
      <c r="S4" s="1489"/>
    </row>
    <row r="5" spans="1:22" ht="14.4">
      <c r="A5" s="2602" t="s">
        <v>1653</v>
      </c>
      <c r="B5" s="3659" t="s">
        <v>1654</v>
      </c>
      <c r="C5" s="3660"/>
      <c r="D5" s="2707"/>
      <c r="E5" s="1874" t="s">
        <v>1655</v>
      </c>
      <c r="F5" s="1875" t="s">
        <v>1656</v>
      </c>
      <c r="G5" s="1489"/>
      <c r="H5" s="1489"/>
      <c r="I5" s="1489"/>
      <c r="J5" s="1489"/>
      <c r="K5" s="1489"/>
      <c r="L5" s="1489"/>
      <c r="M5" s="1489"/>
      <c r="N5" s="1489"/>
      <c r="O5" s="1489"/>
      <c r="P5" s="1489"/>
      <c r="Q5" s="1489"/>
      <c r="R5" s="1489"/>
      <c r="S5" s="1489"/>
    </row>
    <row r="6" spans="1:22" ht="14.4">
      <c r="A6" s="2603" t="str">
        <f>'数据-取费表'!AN6</f>
        <v>收益法 (元)</v>
      </c>
      <c r="B6" s="2601" t="e">
        <f ca="1">IF(F6="是",'数据-取费表'!AO6,0)</f>
        <v>#DIV/0!</v>
      </c>
      <c r="C6" s="1872" t="s">
        <v>1651</v>
      </c>
      <c r="D6" s="2708"/>
      <c r="E6" s="2605">
        <f>IF(OR(A6=0,F6="否"),0,'数据-取费表'!K6+'数据-取费表'!S6)</f>
        <v>195.03</v>
      </c>
      <c r="F6" s="1876" t="s">
        <v>1657</v>
      </c>
      <c r="G6" s="1489"/>
      <c r="H6" s="1489"/>
      <c r="I6" s="1489"/>
      <c r="J6" s="1489"/>
      <c r="K6" s="1489"/>
      <c r="L6" s="1489"/>
      <c r="M6" s="1489"/>
      <c r="N6" s="1489"/>
      <c r="O6" s="1489"/>
      <c r="P6" s="1489"/>
      <c r="Q6" s="1489"/>
      <c r="R6" s="1489"/>
      <c r="S6" s="1489"/>
    </row>
    <row r="7" spans="1:22" ht="14.4">
      <c r="A7" s="2603">
        <f>'数据-取费表'!AN7</f>
        <v>0</v>
      </c>
      <c r="B7" s="2601" t="e">
        <f ca="1">IF(F7="是",'数据-取费表'!AO7,0)</f>
        <v>#REF!</v>
      </c>
      <c r="C7" s="1872" t="s">
        <v>1651</v>
      </c>
      <c r="D7" s="2708"/>
      <c r="E7" s="2605">
        <f>IF(OR(A7=0,F7="否"),0,'数据-取费表'!K7+'数据-取费表'!S7)</f>
        <v>0</v>
      </c>
      <c r="F7" s="1876" t="s">
        <v>1657</v>
      </c>
      <c r="G7" s="1489"/>
      <c r="H7" s="1489"/>
      <c r="I7" s="1489"/>
      <c r="J7" s="1489"/>
      <c r="K7" s="1489"/>
      <c r="L7" s="1489"/>
      <c r="M7" s="1489"/>
      <c r="N7" s="1489"/>
      <c r="O7" s="1489"/>
      <c r="P7" s="1489"/>
      <c r="Q7" s="1489"/>
      <c r="R7" s="1489"/>
      <c r="S7" s="1489"/>
    </row>
    <row r="8" spans="1:22" ht="14.4">
      <c r="A8" s="2603">
        <f>'数据-取费表'!AN8</f>
        <v>0</v>
      </c>
      <c r="B8" s="2601" t="e">
        <f ca="1">IF(F8="是",'数据-取费表'!AO8,0)</f>
        <v>#REF!</v>
      </c>
      <c r="C8" s="1872" t="s">
        <v>1651</v>
      </c>
      <c r="D8" s="2708"/>
      <c r="E8" s="2605">
        <f>IF(OR(A8=0,F8="否"),0,'数据-取费表'!K8+'数据-取费表'!S8)</f>
        <v>0</v>
      </c>
      <c r="F8" s="1876" t="s">
        <v>1657</v>
      </c>
      <c r="G8" s="1489"/>
      <c r="H8" s="1489"/>
      <c r="I8" s="1489"/>
      <c r="J8" s="1489"/>
      <c r="K8" s="1489"/>
      <c r="L8" s="1489"/>
      <c r="M8" s="1489"/>
      <c r="N8" s="1489"/>
      <c r="O8" s="1489"/>
      <c r="P8" s="1489"/>
      <c r="Q8" s="1489"/>
      <c r="R8" s="1489"/>
      <c r="S8" s="1489"/>
    </row>
    <row r="9" spans="1:22" ht="14.4">
      <c r="A9" s="2603">
        <f>'数据-取费表'!AN9</f>
        <v>0</v>
      </c>
      <c r="B9" s="2601" t="e">
        <f ca="1">IF(F9="是",'数据-取费表'!AO9,0)</f>
        <v>#REF!</v>
      </c>
      <c r="C9" s="1872" t="s">
        <v>1651</v>
      </c>
      <c r="D9" s="2708"/>
      <c r="E9" s="2605">
        <f>IF(OR(A9=0,F9="否"),0,'数据-取费表'!K9+'数据-取费表'!S9)</f>
        <v>0</v>
      </c>
      <c r="F9" s="1876" t="s">
        <v>1657</v>
      </c>
      <c r="G9" s="1489"/>
      <c r="H9" s="1489"/>
      <c r="I9" s="1489"/>
      <c r="J9" s="1489"/>
      <c r="K9" s="1489"/>
      <c r="L9" s="1489"/>
      <c r="M9" s="1489"/>
      <c r="N9" s="1489"/>
      <c r="O9" s="1489"/>
      <c r="P9" s="1489"/>
      <c r="Q9" s="1489"/>
      <c r="R9" s="1489"/>
      <c r="S9" s="1489"/>
    </row>
    <row r="10" spans="1:22" ht="14.4">
      <c r="A10" s="2603">
        <f>'数据-取费表'!AN10</f>
        <v>0</v>
      </c>
      <c r="B10" s="2601" t="e">
        <f ca="1">IF(F10="是",'数据-取费表'!AO10,0)</f>
        <v>#REF!</v>
      </c>
      <c r="C10" s="1872" t="s">
        <v>1651</v>
      </c>
      <c r="D10" s="2708"/>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3">
        <f>'数据-取费表'!AN11</f>
        <v>0</v>
      </c>
      <c r="B11" s="2601" t="e">
        <f ca="1">IF(F11="是",'数据-取费表'!AO11,0)</f>
        <v>#REF!</v>
      </c>
      <c r="C11" s="1872" t="s">
        <v>1651</v>
      </c>
      <c r="D11" s="2708"/>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3">
        <f>'数据-取费表'!AN12</f>
        <v>0</v>
      </c>
      <c r="B12" s="2601" t="e">
        <f ca="1">IF(F12="是",'数据-取费表'!AO12,0)</f>
        <v>#REF!</v>
      </c>
      <c r="C12" s="1872" t="s">
        <v>1651</v>
      </c>
      <c r="D12" s="2708"/>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9"/>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195.03</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4.4">
      <c r="A4" s="355" t="s">
        <v>1666</v>
      </c>
      <c r="B4" s="356"/>
      <c r="C4" s="3679" t="s">
        <v>1667</v>
      </c>
      <c r="D4" s="3680"/>
      <c r="E4" s="3681" t="s">
        <v>1668</v>
      </c>
      <c r="F4" s="3682"/>
      <c r="G4" s="3679" t="s">
        <v>1669</v>
      </c>
      <c r="H4" s="3680"/>
      <c r="I4" s="3679" t="s">
        <v>1670</v>
      </c>
      <c r="J4" s="3680"/>
      <c r="K4" s="1889" t="s">
        <v>1671</v>
      </c>
      <c r="L4" s="2714"/>
      <c r="M4" s="2715"/>
      <c r="N4" s="2715"/>
      <c r="O4" s="2715"/>
      <c r="P4" s="3683" t="s">
        <v>1672</v>
      </c>
      <c r="Q4" s="3684"/>
      <c r="R4" s="3689" t="s">
        <v>1668</v>
      </c>
      <c r="S4" s="3690"/>
      <c r="T4" s="3689" t="s">
        <v>1669</v>
      </c>
      <c r="U4" s="3690"/>
      <c r="V4" s="3695" t="s">
        <v>1670</v>
      </c>
      <c r="W4" s="3695"/>
      <c r="X4" s="1355"/>
      <c r="Y4" s="3689" t="s">
        <v>1672</v>
      </c>
      <c r="Z4" s="3690"/>
      <c r="AA4" s="3676" t="s">
        <v>1668</v>
      </c>
      <c r="AB4" s="3676" t="s">
        <v>1669</v>
      </c>
      <c r="AC4" s="3676" t="s">
        <v>1670</v>
      </c>
    </row>
    <row r="5" spans="1:29">
      <c r="A5" s="358"/>
      <c r="B5" s="359"/>
      <c r="C5" s="3698" t="s">
        <v>1673</v>
      </c>
      <c r="D5" s="3699"/>
      <c r="E5" s="3705" t="s">
        <v>1674</v>
      </c>
      <c r="F5" s="3706"/>
      <c r="G5" s="3698" t="s">
        <v>1675</v>
      </c>
      <c r="H5" s="3699"/>
      <c r="I5" s="3698" t="s">
        <v>1676</v>
      </c>
      <c r="J5" s="3699"/>
      <c r="K5" s="1890"/>
      <c r="L5" s="2714"/>
      <c r="M5" s="2715"/>
      <c r="N5" s="2715"/>
      <c r="O5" s="2715"/>
      <c r="P5" s="3685"/>
      <c r="Q5" s="3686"/>
      <c r="R5" s="3691"/>
      <c r="S5" s="3692"/>
      <c r="T5" s="3691"/>
      <c r="U5" s="3692"/>
      <c r="V5" s="3695"/>
      <c r="W5" s="3695"/>
      <c r="X5" s="1355"/>
      <c r="Y5" s="3691"/>
      <c r="Z5" s="3692"/>
      <c r="AA5" s="3677"/>
      <c r="AB5" s="3677"/>
      <c r="AC5" s="3677"/>
    </row>
    <row r="6" spans="1:29" ht="15" thickBot="1">
      <c r="A6" s="360"/>
      <c r="B6" s="361"/>
      <c r="C6" s="3696" t="s">
        <v>1677</v>
      </c>
      <c r="D6" s="3697"/>
      <c r="E6" s="3703" t="s">
        <v>1677</v>
      </c>
      <c r="F6" s="3704"/>
      <c r="G6" s="3696" t="s">
        <v>1677</v>
      </c>
      <c r="H6" s="3697"/>
      <c r="I6" s="3696" t="s">
        <v>1677</v>
      </c>
      <c r="J6" s="3697"/>
      <c r="K6" s="1890" t="s">
        <v>1678</v>
      </c>
      <c r="L6" s="2714"/>
      <c r="M6" s="2715"/>
      <c r="N6" s="2715"/>
      <c r="O6" s="2715"/>
      <c r="P6" s="3687"/>
      <c r="Q6" s="3688"/>
      <c r="R6" s="3691"/>
      <c r="S6" s="3692"/>
      <c r="T6" s="3693"/>
      <c r="U6" s="3694"/>
      <c r="V6" s="3695"/>
      <c r="W6" s="3695"/>
      <c r="X6" s="1355"/>
      <c r="Y6" s="3693"/>
      <c r="Z6" s="3694"/>
      <c r="AA6" s="3678"/>
      <c r="AB6" s="3678"/>
      <c r="AC6" s="3678"/>
    </row>
    <row r="7" spans="1:29" s="108" customFormat="1" ht="15" thickBot="1">
      <c r="A7" s="362" t="s">
        <v>1679</v>
      </c>
      <c r="B7" s="363"/>
      <c r="C7" s="364">
        <f>'数据-取费表'!B2</f>
        <v>45539</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700" t="s">
        <v>1680</v>
      </c>
      <c r="Q7" s="3702"/>
      <c r="R7" s="701" t="s">
        <v>20</v>
      </c>
      <c r="S7" s="702">
        <f t="shared" ref="S7:S15" si="0">F7</f>
        <v>0</v>
      </c>
      <c r="T7" s="701" t="s">
        <v>20</v>
      </c>
      <c r="U7" s="702">
        <f t="shared" ref="U7:U15" si="1">H7</f>
        <v>0</v>
      </c>
      <c r="V7" s="701" t="s">
        <v>20</v>
      </c>
      <c r="W7" s="702">
        <f t="shared" ref="W7:W15" si="2">J7</f>
        <v>0</v>
      </c>
      <c r="X7" s="703"/>
      <c r="Y7" s="3700" t="s">
        <v>1680</v>
      </c>
      <c r="Z7" s="3701"/>
      <c r="AA7" s="704" t="e">
        <f>D7/F7</f>
        <v>#DIV/0!</v>
      </c>
      <c r="AB7" s="704" t="e">
        <f>D7/H7</f>
        <v>#DIV/0!</v>
      </c>
      <c r="AC7" s="704" t="e">
        <f>D7/J7</f>
        <v>#DIV/0!</v>
      </c>
    </row>
    <row r="8" spans="1:29" s="108" customFormat="1" ht="1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700" t="s">
        <v>1683</v>
      </c>
      <c r="Q8" s="3701"/>
      <c r="R8" s="701" t="s">
        <v>20</v>
      </c>
      <c r="S8" s="702">
        <f t="shared" si="0"/>
        <v>100</v>
      </c>
      <c r="T8" s="701" t="s">
        <v>20</v>
      </c>
      <c r="U8" s="702">
        <f t="shared" si="1"/>
        <v>100</v>
      </c>
      <c r="V8" s="701" t="s">
        <v>20</v>
      </c>
      <c r="W8" s="702">
        <f t="shared" si="2"/>
        <v>100</v>
      </c>
      <c r="X8" s="703"/>
      <c r="Y8" s="3700" t="s">
        <v>1683</v>
      </c>
      <c r="Z8" s="3701"/>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75"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29" s="378" customFormat="1" ht="28.8">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75"/>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75"/>
      <c r="Q11" s="1343" t="str">
        <f t="shared" si="6"/>
        <v>容积率</v>
      </c>
      <c r="R11" s="701" t="s">
        <v>18</v>
      </c>
      <c r="S11" s="702" t="e">
        <f t="shared" si="0"/>
        <v>#N/A</v>
      </c>
      <c r="T11" s="701" t="s">
        <v>18</v>
      </c>
      <c r="U11" s="702" t="e">
        <f t="shared" si="1"/>
        <v>#N/A</v>
      </c>
      <c r="V11" s="701" t="s">
        <v>18</v>
      </c>
      <c r="W11" s="702" t="e">
        <f t="shared" si="2"/>
        <v>#N/A</v>
      </c>
      <c r="X11" s="703"/>
      <c r="Y11" s="353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75"/>
      <c r="Q12" s="1343">
        <f t="shared" si="6"/>
        <v>111</v>
      </c>
      <c r="R12" s="701" t="s">
        <v>18</v>
      </c>
      <c r="S12" s="702">
        <f t="shared" si="0"/>
        <v>100</v>
      </c>
      <c r="T12" s="701" t="s">
        <v>18</v>
      </c>
      <c r="U12" s="702">
        <f t="shared" si="1"/>
        <v>100</v>
      </c>
      <c r="V12" s="701" t="s">
        <v>18</v>
      </c>
      <c r="W12" s="702">
        <f t="shared" si="2"/>
        <v>100</v>
      </c>
      <c r="X12" s="703"/>
      <c r="Y12" s="353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75"/>
      <c r="Q13" s="1343">
        <f t="shared" si="6"/>
        <v>111</v>
      </c>
      <c r="R13" s="701" t="s">
        <v>18</v>
      </c>
      <c r="S13" s="702">
        <f t="shared" si="0"/>
        <v>100</v>
      </c>
      <c r="T13" s="701" t="s">
        <v>18</v>
      </c>
      <c r="U13" s="702">
        <f t="shared" si="1"/>
        <v>100</v>
      </c>
      <c r="V13" s="701" t="s">
        <v>18</v>
      </c>
      <c r="W13" s="702">
        <f t="shared" si="2"/>
        <v>100</v>
      </c>
      <c r="X13" s="703"/>
      <c r="Y13" s="3539"/>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75"/>
      <c r="Q14" s="1343">
        <f t="shared" si="6"/>
        <v>111</v>
      </c>
      <c r="R14" s="701" t="s">
        <v>18</v>
      </c>
      <c r="S14" s="702">
        <f t="shared" si="0"/>
        <v>100</v>
      </c>
      <c r="T14" s="701" t="s">
        <v>18</v>
      </c>
      <c r="U14" s="702">
        <f t="shared" si="1"/>
        <v>100</v>
      </c>
      <c r="V14" s="701" t="s">
        <v>18</v>
      </c>
      <c r="W14" s="702">
        <f t="shared" si="2"/>
        <v>100</v>
      </c>
      <c r="X14" s="703"/>
      <c r="Y14" s="3539"/>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73" t="s">
        <v>1691</v>
      </c>
      <c r="Q15" s="1352" t="str">
        <f t="shared" si="6"/>
        <v>居住社区成熟度</v>
      </c>
      <c r="R15" s="705" t="s">
        <v>18</v>
      </c>
      <c r="S15" s="706">
        <f t="shared" si="0"/>
        <v>100</v>
      </c>
      <c r="T15" s="705" t="s">
        <v>18</v>
      </c>
      <c r="U15" s="706">
        <f t="shared" si="1"/>
        <v>100</v>
      </c>
      <c r="V15" s="705" t="s">
        <v>18</v>
      </c>
      <c r="W15" s="706">
        <f t="shared" si="2"/>
        <v>100</v>
      </c>
      <c r="X15" s="1355"/>
      <c r="Y15" s="3666"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674"/>
      <c r="Q16" s="1352"/>
      <c r="R16" s="705"/>
      <c r="S16" s="706"/>
      <c r="T16" s="705"/>
      <c r="U16" s="706"/>
      <c r="V16" s="705"/>
      <c r="W16" s="706"/>
      <c r="X16" s="1355"/>
      <c r="Y16" s="3667"/>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74"/>
      <c r="Q17" s="1352" t="str">
        <f>B17</f>
        <v>交通便捷度</v>
      </c>
      <c r="R17" s="705" t="s">
        <v>18</v>
      </c>
      <c r="S17" s="706">
        <f>F17</f>
        <v>100</v>
      </c>
      <c r="T17" s="705" t="s">
        <v>18</v>
      </c>
      <c r="U17" s="706">
        <f>H17</f>
        <v>100</v>
      </c>
      <c r="V17" s="705" t="s">
        <v>18</v>
      </c>
      <c r="W17" s="706">
        <f>J17</f>
        <v>100</v>
      </c>
      <c r="X17" s="1355"/>
      <c r="Y17" s="366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674"/>
      <c r="Q18" s="1352"/>
      <c r="R18" s="705"/>
      <c r="S18" s="706"/>
      <c r="T18" s="705"/>
      <c r="U18" s="706"/>
      <c r="V18" s="705"/>
      <c r="W18" s="706"/>
      <c r="X18" s="1355"/>
      <c r="Y18" s="3667"/>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74"/>
      <c r="Q19" s="1352" t="str">
        <f>B19</f>
        <v>公共配套设施</v>
      </c>
      <c r="R19" s="705" t="s">
        <v>18</v>
      </c>
      <c r="S19" s="706">
        <f>F19</f>
        <v>100</v>
      </c>
      <c r="T19" s="705" t="s">
        <v>18</v>
      </c>
      <c r="U19" s="706">
        <f>H19</f>
        <v>100</v>
      </c>
      <c r="V19" s="705" t="s">
        <v>18</v>
      </c>
      <c r="W19" s="706">
        <f>J19</f>
        <v>100</v>
      </c>
      <c r="X19" s="1355"/>
      <c r="Y19" s="366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674"/>
      <c r="Q20" s="1352"/>
      <c r="R20" s="705"/>
      <c r="S20" s="706"/>
      <c r="T20" s="705"/>
      <c r="U20" s="706"/>
      <c r="V20" s="705"/>
      <c r="W20" s="706"/>
      <c r="X20" s="1355"/>
      <c r="Y20" s="3667"/>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74"/>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674"/>
      <c r="Q22" s="1352"/>
      <c r="R22" s="705"/>
      <c r="S22" s="706"/>
      <c r="T22" s="705"/>
      <c r="U22" s="706"/>
      <c r="V22" s="705"/>
      <c r="W22" s="706"/>
      <c r="X22" s="1355"/>
      <c r="Y22" s="3667"/>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74"/>
      <c r="Q23" s="1352" t="str">
        <f>B23</f>
        <v>自然及人文环境</v>
      </c>
      <c r="R23" s="705" t="s">
        <v>18</v>
      </c>
      <c r="S23" s="706">
        <f>F23</f>
        <v>100</v>
      </c>
      <c r="T23" s="705" t="s">
        <v>18</v>
      </c>
      <c r="U23" s="706">
        <f>H23</f>
        <v>100</v>
      </c>
      <c r="V23" s="705" t="s">
        <v>18</v>
      </c>
      <c r="W23" s="706">
        <f>J23</f>
        <v>100</v>
      </c>
      <c r="X23" s="1355"/>
      <c r="Y23" s="366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674"/>
      <c r="Q24" s="1352"/>
      <c r="R24" s="705"/>
      <c r="S24" s="706"/>
      <c r="T24" s="705"/>
      <c r="U24" s="706"/>
      <c r="V24" s="705"/>
      <c r="W24" s="706"/>
      <c r="X24" s="1355"/>
      <c r="Y24" s="3667"/>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67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7"/>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674"/>
      <c r="Q26" s="1352" t="str">
        <f t="shared" si="11"/>
        <v>朝向</v>
      </c>
      <c r="R26" s="705" t="s">
        <v>18</v>
      </c>
      <c r="S26" s="706">
        <f t="shared" si="12"/>
        <v>100</v>
      </c>
      <c r="T26" s="705" t="s">
        <v>18</v>
      </c>
      <c r="U26" s="706">
        <f t="shared" si="13"/>
        <v>100</v>
      </c>
      <c r="V26" s="705" t="s">
        <v>18</v>
      </c>
      <c r="W26" s="706">
        <f t="shared" si="14"/>
        <v>100</v>
      </c>
      <c r="X26" s="1355"/>
      <c r="Y26" s="366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674"/>
      <c r="Q27" s="1343">
        <f t="shared" si="11"/>
        <v>111</v>
      </c>
      <c r="R27" s="701" t="s">
        <v>18</v>
      </c>
      <c r="S27" s="702">
        <f t="shared" si="12"/>
        <v>100</v>
      </c>
      <c r="T27" s="701" t="s">
        <v>18</v>
      </c>
      <c r="U27" s="702">
        <f t="shared" si="13"/>
        <v>100</v>
      </c>
      <c r="V27" s="701" t="s">
        <v>18</v>
      </c>
      <c r="W27" s="702">
        <f t="shared" si="14"/>
        <v>100</v>
      </c>
      <c r="X27" s="703"/>
      <c r="Y27" s="366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674"/>
      <c r="Q28" s="1352">
        <f t="shared" si="11"/>
        <v>111</v>
      </c>
      <c r="R28" s="705" t="s">
        <v>18</v>
      </c>
      <c r="S28" s="706">
        <f t="shared" si="12"/>
        <v>100</v>
      </c>
      <c r="T28" s="705" t="s">
        <v>18</v>
      </c>
      <c r="U28" s="706">
        <f t="shared" si="13"/>
        <v>100</v>
      </c>
      <c r="V28" s="705" t="s">
        <v>18</v>
      </c>
      <c r="W28" s="706">
        <f t="shared" si="14"/>
        <v>100</v>
      </c>
      <c r="X28" s="1355"/>
      <c r="Y28" s="366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674"/>
      <c r="Q29" s="1352">
        <f t="shared" si="11"/>
        <v>111</v>
      </c>
      <c r="R29" s="705" t="s">
        <v>18</v>
      </c>
      <c r="S29" s="706">
        <f t="shared" si="12"/>
        <v>100</v>
      </c>
      <c r="T29" s="705" t="s">
        <v>18</v>
      </c>
      <c r="U29" s="706">
        <f t="shared" si="13"/>
        <v>100</v>
      </c>
      <c r="V29" s="705" t="s">
        <v>18</v>
      </c>
      <c r="W29" s="706">
        <f t="shared" si="14"/>
        <v>100</v>
      </c>
      <c r="X29" s="1355"/>
      <c r="Y29" s="366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674"/>
      <c r="Q30" s="1352">
        <f t="shared" si="11"/>
        <v>111</v>
      </c>
      <c r="R30" s="705" t="s">
        <v>18</v>
      </c>
      <c r="S30" s="706">
        <f t="shared" si="12"/>
        <v>100</v>
      </c>
      <c r="T30" s="705" t="s">
        <v>18</v>
      </c>
      <c r="U30" s="706">
        <f t="shared" si="13"/>
        <v>100</v>
      </c>
      <c r="V30" s="705" t="s">
        <v>18</v>
      </c>
      <c r="W30" s="706">
        <f t="shared" si="14"/>
        <v>100</v>
      </c>
      <c r="X30" s="1355"/>
      <c r="Y30" s="3667"/>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674"/>
      <c r="Q31" s="1352">
        <f t="shared" si="11"/>
        <v>111</v>
      </c>
      <c r="R31" s="705" t="s">
        <v>18</v>
      </c>
      <c r="S31" s="706">
        <f t="shared" si="12"/>
        <v>100</v>
      </c>
      <c r="T31" s="705" t="s">
        <v>18</v>
      </c>
      <c r="U31" s="706">
        <f t="shared" si="13"/>
        <v>100</v>
      </c>
      <c r="V31" s="705" t="s">
        <v>18</v>
      </c>
      <c r="W31" s="706">
        <f t="shared" si="14"/>
        <v>100</v>
      </c>
      <c r="X31" s="1355"/>
      <c r="Y31" s="3667"/>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668" t="s">
        <v>1696</v>
      </c>
      <c r="Q32" s="1352" t="str">
        <f t="shared" si="11"/>
        <v>建筑类型</v>
      </c>
      <c r="R32" s="705" t="s">
        <v>18</v>
      </c>
      <c r="S32" s="706">
        <f t="shared" si="12"/>
        <v>100</v>
      </c>
      <c r="T32" s="705" t="s">
        <v>18</v>
      </c>
      <c r="U32" s="706">
        <f t="shared" si="13"/>
        <v>100</v>
      </c>
      <c r="V32" s="705" t="s">
        <v>18</v>
      </c>
      <c r="W32" s="706">
        <f t="shared" si="14"/>
        <v>100</v>
      </c>
      <c r="X32" s="1355"/>
      <c r="Y32" s="3671"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669"/>
      <c r="Q33" s="707" t="str">
        <f t="shared" si="11"/>
        <v>项目建筑规模</v>
      </c>
      <c r="R33" s="708" t="s">
        <v>18</v>
      </c>
      <c r="S33" s="709" t="e">
        <f t="shared" si="12"/>
        <v>#N/A</v>
      </c>
      <c r="T33" s="708" t="s">
        <v>18</v>
      </c>
      <c r="U33" s="709" t="e">
        <f t="shared" si="13"/>
        <v>#N/A</v>
      </c>
      <c r="V33" s="708" t="s">
        <v>18</v>
      </c>
      <c r="W33" s="709" t="e">
        <f t="shared" si="14"/>
        <v>#N/A</v>
      </c>
      <c r="X33" s="710"/>
      <c r="Y33" s="3671"/>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669"/>
      <c r="Q34" s="1352" t="str">
        <f t="shared" si="11"/>
        <v>建筑结构</v>
      </c>
      <c r="R34" s="705" t="s">
        <v>18</v>
      </c>
      <c r="S34" s="706">
        <f t="shared" si="12"/>
        <v>100</v>
      </c>
      <c r="T34" s="705" t="s">
        <v>18</v>
      </c>
      <c r="U34" s="706">
        <f t="shared" si="13"/>
        <v>100</v>
      </c>
      <c r="V34" s="705" t="s">
        <v>18</v>
      </c>
      <c r="W34" s="706">
        <f t="shared" si="14"/>
        <v>100</v>
      </c>
      <c r="X34" s="1355"/>
      <c r="Y34" s="3671"/>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669"/>
      <c r="Q35" s="1352" t="str">
        <f t="shared" si="11"/>
        <v>建筑品质</v>
      </c>
      <c r="R35" s="705" t="s">
        <v>18</v>
      </c>
      <c r="S35" s="706">
        <f t="shared" si="12"/>
        <v>100</v>
      </c>
      <c r="T35" s="705" t="s">
        <v>18</v>
      </c>
      <c r="U35" s="706">
        <f t="shared" si="13"/>
        <v>100</v>
      </c>
      <c r="V35" s="705" t="s">
        <v>18</v>
      </c>
      <c r="W35" s="706">
        <f t="shared" si="14"/>
        <v>100</v>
      </c>
      <c r="X35" s="1355"/>
      <c r="Y35" s="3671"/>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669"/>
      <c r="Q36" s="1352" t="str">
        <f t="shared" si="11"/>
        <v>公共部分装修</v>
      </c>
      <c r="R36" s="705" t="s">
        <v>18</v>
      </c>
      <c r="S36" s="706">
        <f t="shared" si="12"/>
        <v>100</v>
      </c>
      <c r="T36" s="705" t="s">
        <v>18</v>
      </c>
      <c r="U36" s="706">
        <f t="shared" si="13"/>
        <v>100</v>
      </c>
      <c r="V36" s="705" t="s">
        <v>18</v>
      </c>
      <c r="W36" s="706">
        <f t="shared" si="14"/>
        <v>100</v>
      </c>
      <c r="X36" s="1355"/>
      <c r="Y36" s="3671"/>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69"/>
      <c r="Q37" s="1343" t="str">
        <f t="shared" si="11"/>
        <v>成新度</v>
      </c>
      <c r="R37" s="701" t="s">
        <v>18</v>
      </c>
      <c r="S37" s="702" t="e">
        <f t="shared" si="12"/>
        <v>#N/A</v>
      </c>
      <c r="T37" s="701" t="s">
        <v>18</v>
      </c>
      <c r="U37" s="702" t="e">
        <f t="shared" si="13"/>
        <v>#N/A</v>
      </c>
      <c r="V37" s="701" t="s">
        <v>18</v>
      </c>
      <c r="W37" s="702" t="e">
        <f t="shared" si="14"/>
        <v>#N/A</v>
      </c>
      <c r="X37" s="703"/>
      <c r="Y37" s="3671"/>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669" t="s">
        <v>1696</v>
      </c>
      <c r="Q38" s="1352" t="str">
        <f t="shared" si="11"/>
        <v>物业管理</v>
      </c>
      <c r="R38" s="705" t="s">
        <v>18</v>
      </c>
      <c r="S38" s="706">
        <f t="shared" si="12"/>
        <v>100</v>
      </c>
      <c r="T38" s="705" t="s">
        <v>18</v>
      </c>
      <c r="U38" s="706">
        <f t="shared" si="13"/>
        <v>100</v>
      </c>
      <c r="V38" s="705" t="s">
        <v>18</v>
      </c>
      <c r="W38" s="706">
        <f t="shared" si="14"/>
        <v>100</v>
      </c>
      <c r="X38" s="1355"/>
      <c r="Y38" s="3671"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669"/>
      <c r="Q39" s="1352" t="str">
        <f t="shared" si="11"/>
        <v>市政基础设施</v>
      </c>
      <c r="R39" s="705" t="s">
        <v>18</v>
      </c>
      <c r="S39" s="706">
        <f t="shared" si="12"/>
        <v>100</v>
      </c>
      <c r="T39" s="705" t="s">
        <v>18</v>
      </c>
      <c r="U39" s="706">
        <f t="shared" si="13"/>
        <v>100</v>
      </c>
      <c r="V39" s="705" t="s">
        <v>18</v>
      </c>
      <c r="W39" s="706">
        <f t="shared" si="14"/>
        <v>100</v>
      </c>
      <c r="X39" s="1355"/>
      <c r="Y39" s="3671"/>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669"/>
      <c r="Q40" s="1352" t="str">
        <f t="shared" si="11"/>
        <v>房型</v>
      </c>
      <c r="R40" s="705" t="s">
        <v>18</v>
      </c>
      <c r="S40" s="706">
        <f t="shared" si="12"/>
        <v>100</v>
      </c>
      <c r="T40" s="705" t="s">
        <v>18</v>
      </c>
      <c r="U40" s="706">
        <f t="shared" si="13"/>
        <v>100</v>
      </c>
      <c r="V40" s="705" t="s">
        <v>18</v>
      </c>
      <c r="W40" s="706">
        <f t="shared" si="14"/>
        <v>100</v>
      </c>
      <c r="X40" s="1355"/>
      <c r="Y40" s="3671"/>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669"/>
      <c r="Q41" s="707" t="str">
        <f t="shared" si="11"/>
        <v>单套/主力户型建筑面积</v>
      </c>
      <c r="R41" s="708" t="s">
        <v>18</v>
      </c>
      <c r="S41" s="709">
        <f t="shared" si="12"/>
        <v>100</v>
      </c>
      <c r="T41" s="708" t="s">
        <v>18</v>
      </c>
      <c r="U41" s="709">
        <f t="shared" si="13"/>
        <v>100</v>
      </c>
      <c r="V41" s="708" t="s">
        <v>18</v>
      </c>
      <c r="W41" s="709">
        <f t="shared" si="14"/>
        <v>100</v>
      </c>
      <c r="X41" s="710"/>
      <c r="Y41" s="3671"/>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669"/>
      <c r="Q42" s="1352" t="str">
        <f t="shared" si="11"/>
        <v>内部装修</v>
      </c>
      <c r="R42" s="705" t="s">
        <v>18</v>
      </c>
      <c r="S42" s="706">
        <f t="shared" si="12"/>
        <v>100</v>
      </c>
      <c r="T42" s="705" t="s">
        <v>18</v>
      </c>
      <c r="U42" s="706">
        <f t="shared" si="13"/>
        <v>100</v>
      </c>
      <c r="V42" s="705" t="s">
        <v>18</v>
      </c>
      <c r="W42" s="706">
        <f t="shared" si="14"/>
        <v>100</v>
      </c>
      <c r="X42" s="1355"/>
      <c r="Y42" s="3671"/>
      <c r="Z42" s="1356" t="str">
        <f t="shared" si="18"/>
        <v>内部装修</v>
      </c>
      <c r="AA42" s="1353">
        <f t="shared" si="15"/>
        <v>1</v>
      </c>
      <c r="AB42" s="1353">
        <f t="shared" si="16"/>
        <v>1</v>
      </c>
      <c r="AC42" s="1353">
        <f t="shared" si="17"/>
        <v>1</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669"/>
      <c r="Q43" s="1352" t="str">
        <f t="shared" si="11"/>
        <v>内部装修维护情况</v>
      </c>
      <c r="R43" s="705" t="s">
        <v>18</v>
      </c>
      <c r="S43" s="706">
        <f t="shared" si="12"/>
        <v>100</v>
      </c>
      <c r="T43" s="705" t="s">
        <v>18</v>
      </c>
      <c r="U43" s="706">
        <f t="shared" si="13"/>
        <v>100</v>
      </c>
      <c r="V43" s="705" t="s">
        <v>18</v>
      </c>
      <c r="W43" s="706">
        <f t="shared" si="14"/>
        <v>100</v>
      </c>
      <c r="X43" s="1355"/>
      <c r="Y43" s="367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669"/>
      <c r="Q44" s="1343">
        <f t="shared" si="11"/>
        <v>111</v>
      </c>
      <c r="R44" s="701" t="s">
        <v>18</v>
      </c>
      <c r="S44" s="702">
        <f t="shared" si="12"/>
        <v>100</v>
      </c>
      <c r="T44" s="701" t="s">
        <v>18</v>
      </c>
      <c r="U44" s="702">
        <f t="shared" si="13"/>
        <v>100</v>
      </c>
      <c r="V44" s="701" t="s">
        <v>18</v>
      </c>
      <c r="W44" s="702">
        <f t="shared" si="14"/>
        <v>100</v>
      </c>
      <c r="X44" s="703"/>
      <c r="Y44" s="367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669"/>
      <c r="Q45" s="1352">
        <f t="shared" si="11"/>
        <v>111</v>
      </c>
      <c r="R45" s="705" t="s">
        <v>18</v>
      </c>
      <c r="S45" s="706">
        <f t="shared" si="12"/>
        <v>100</v>
      </c>
      <c r="T45" s="705" t="s">
        <v>18</v>
      </c>
      <c r="U45" s="706">
        <f t="shared" si="13"/>
        <v>100</v>
      </c>
      <c r="V45" s="705" t="s">
        <v>18</v>
      </c>
      <c r="W45" s="706">
        <f t="shared" si="14"/>
        <v>100</v>
      </c>
      <c r="X45" s="1355"/>
      <c r="Y45" s="3671"/>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670"/>
      <c r="Q46" s="1352">
        <f t="shared" si="11"/>
        <v>111</v>
      </c>
      <c r="R46" s="705" t="s">
        <v>17</v>
      </c>
      <c r="S46" s="706">
        <f t="shared" si="12"/>
        <v>100</v>
      </c>
      <c r="T46" s="705" t="s">
        <v>17</v>
      </c>
      <c r="U46" s="706">
        <f t="shared" si="13"/>
        <v>100</v>
      </c>
      <c r="V46" s="705" t="s">
        <v>17</v>
      </c>
      <c r="W46" s="706">
        <f t="shared" si="14"/>
        <v>100</v>
      </c>
      <c r="X46" s="1355"/>
      <c r="Y46" s="3672"/>
      <c r="Z46" s="1356">
        <f t="shared" si="18"/>
        <v>111</v>
      </c>
      <c r="AA46" s="1353">
        <f t="shared" si="15"/>
        <v>1</v>
      </c>
      <c r="AB46" s="1353">
        <f t="shared" si="16"/>
        <v>1</v>
      </c>
      <c r="AC46" s="1353">
        <f t="shared" si="17"/>
        <v>1</v>
      </c>
    </row>
    <row r="47" spans="1:29" ht="14.4">
      <c r="A47" s="430" t="s">
        <v>1708</v>
      </c>
      <c r="B47" s="431"/>
      <c r="C47" s="1154" t="s">
        <v>16</v>
      </c>
      <c r="D47" s="1155"/>
      <c r="E47" s="1156"/>
      <c r="F47" s="1157"/>
      <c r="G47" s="1158"/>
      <c r="H47" s="1159"/>
      <c r="I47" s="1156"/>
      <c r="J47" s="1159"/>
      <c r="K47" s="1914"/>
      <c r="L47" s="2723"/>
      <c r="M47" s="2724"/>
      <c r="N47" s="2715"/>
      <c r="O47" s="2724"/>
      <c r="P47" s="3664" t="str">
        <f>A47</f>
        <v>成交单价（元/平方米）</v>
      </c>
      <c r="Q47" s="3664"/>
      <c r="R47" s="3665">
        <f>E47</f>
        <v>0</v>
      </c>
      <c r="S47" s="3665"/>
      <c r="T47" s="3665">
        <f>G47</f>
        <v>0</v>
      </c>
      <c r="U47" s="3665"/>
      <c r="V47" s="3665">
        <f>I47</f>
        <v>0</v>
      </c>
      <c r="W47" s="3665"/>
      <c r="X47" s="690"/>
      <c r="Y47" s="712"/>
      <c r="Z47" s="690"/>
      <c r="AA47" s="690"/>
      <c r="AB47" s="690"/>
      <c r="AC47" s="690"/>
    </row>
    <row r="48" spans="1:29" ht="15" thickBot="1">
      <c r="A48" s="437" t="s">
        <v>1709</v>
      </c>
      <c r="B48" s="438"/>
      <c r="C48" s="1160" t="e">
        <f>R49</f>
        <v>#DIV/0!</v>
      </c>
      <c r="D48" s="2317" t="s">
        <v>2138</v>
      </c>
      <c r="E48" s="1161" t="e">
        <f>R48</f>
        <v>#DIV/0!</v>
      </c>
      <c r="F48" s="2318"/>
      <c r="G48" s="1160" t="e">
        <f>T48</f>
        <v>#DIV/0!</v>
      </c>
      <c r="H48" s="2318"/>
      <c r="I48" s="1161" t="e">
        <f>V48</f>
        <v>#DIV/0!</v>
      </c>
      <c r="J48" s="2318"/>
      <c r="K48" s="2319">
        <f>F48+H48+J48</f>
        <v>0</v>
      </c>
      <c r="L48" s="2723"/>
      <c r="M48" s="2724"/>
      <c r="N48" s="2724"/>
      <c r="O48" s="2724"/>
      <c r="P48" s="3664" t="str">
        <f>A48</f>
        <v>比较价值（元/平方米）</v>
      </c>
      <c r="Q48" s="3664"/>
      <c r="R48" s="3665" t="e">
        <f>IF(F1="售价",ROUND(PRODUCT(R47,AA7:AA46),0),ROUND(PRODUCT(R47,AA7:AA46),1))</f>
        <v>#DIV/0!</v>
      </c>
      <c r="S48" s="3665"/>
      <c r="T48" s="3665" t="e">
        <f>IF(F1="售价",ROUND(PRODUCT(T47,AB7:AB46),0),ROUND(PRODUCT(T47,AB7:AB46),1))</f>
        <v>#DIV/0!</v>
      </c>
      <c r="U48" s="3665"/>
      <c r="V48" s="3665" t="e">
        <f>IF(F1="售价",ROUND(PRODUCT(V47,AC7:AC46),0),ROUND(PRODUCT(V47,AC7:AC46),1))</f>
        <v>#DIV/0!</v>
      </c>
      <c r="W48" s="3665"/>
      <c r="X48" s="690"/>
      <c r="Y48" s="690"/>
      <c r="Z48" s="690"/>
      <c r="AA48" s="690"/>
      <c r="AB48" s="690"/>
      <c r="AC48" s="690"/>
    </row>
    <row r="49" spans="1:29" ht="15" thickBot="1">
      <c r="A49" s="441" t="s">
        <v>1710</v>
      </c>
      <c r="B49" s="442"/>
      <c r="C49" s="1162" t="e">
        <f>R49</f>
        <v>#DIV/0!</v>
      </c>
      <c r="D49" s="1163"/>
      <c r="E49" s="1163"/>
      <c r="F49" s="1163"/>
      <c r="G49" s="1163"/>
      <c r="H49" s="1163"/>
      <c r="I49" s="1163"/>
      <c r="J49" s="1163"/>
      <c r="K49" s="1915"/>
      <c r="L49" s="2723"/>
      <c r="M49" s="2724"/>
      <c r="N49" s="2724"/>
      <c r="O49" s="2724"/>
      <c r="P49" s="3661" t="str">
        <f>A49</f>
        <v>估价对象XX用房的比较价值（楼面单价，元/平方米）</v>
      </c>
      <c r="Q49" s="3662"/>
      <c r="R49" s="3663" t="e">
        <f>IF(F1="售价",ROUND(IF(D48="简单平均",AVERAGE(R48:V48),R48*F48+T48*H48+V48*J48),0),ROUND(IF(D48="简单平均",AVERAGE(R48:V48),R48*F48+T48*H48+V48*J48),1))</f>
        <v>#DIV/0!</v>
      </c>
      <c r="S49" s="3663"/>
      <c r="T49" s="3663"/>
      <c r="U49" s="3663"/>
      <c r="V49" s="3663"/>
      <c r="W49" s="3663"/>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2024-9</v>
      </c>
      <c r="D58" s="1185">
        <f>EDATE(C58,-1)</f>
        <v>45505</v>
      </c>
      <c r="E58" s="1185">
        <f>EDATE(D58,-1)</f>
        <v>45474</v>
      </c>
      <c r="F58" s="1185">
        <f t="shared" ref="F58:O58" si="19">EDATE(E58,-1)</f>
        <v>45444</v>
      </c>
      <c r="G58" s="1185">
        <f t="shared" si="19"/>
        <v>45413</v>
      </c>
      <c r="H58" s="1185">
        <f t="shared" si="19"/>
        <v>45383</v>
      </c>
      <c r="I58" s="1185">
        <f t="shared" si="19"/>
        <v>45352</v>
      </c>
      <c r="J58" s="1185">
        <f t="shared" si="19"/>
        <v>45323</v>
      </c>
      <c r="K58" s="1185">
        <f t="shared" si="19"/>
        <v>45292</v>
      </c>
      <c r="L58" s="1185">
        <f t="shared" si="19"/>
        <v>45261</v>
      </c>
      <c r="M58" s="1185">
        <f t="shared" si="19"/>
        <v>45231</v>
      </c>
      <c r="N58" s="1185">
        <f t="shared" si="19"/>
        <v>45200</v>
      </c>
      <c r="O58" s="1185">
        <f t="shared" si="19"/>
        <v>45170</v>
      </c>
      <c r="P58" s="1181"/>
    </row>
    <row r="59" spans="1:29" s="108" customFormat="1">
      <c r="A59" s="458"/>
      <c r="B59" s="1919"/>
      <c r="C59" s="1183">
        <v>100</v>
      </c>
      <c r="D59" s="460"/>
      <c r="E59" s="461"/>
      <c r="F59" s="461"/>
      <c r="G59" s="461"/>
      <c r="H59" s="461"/>
      <c r="I59" s="461"/>
      <c r="J59" s="461"/>
      <c r="K59" s="461"/>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f>C9</f>
        <v>0</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c r="D68" s="498"/>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503"/>
      <c r="D88" s="503"/>
      <c r="E88" s="503"/>
      <c r="F88" s="1927"/>
      <c r="G88" s="503"/>
      <c r="H88" s="503"/>
      <c r="I88" s="503"/>
      <c r="J88" s="503"/>
      <c r="K88" s="503"/>
      <c r="L88" s="503"/>
      <c r="M88" s="530"/>
      <c r="N88" s="932"/>
      <c r="O88" s="932"/>
      <c r="P88" s="1922"/>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4.4" thickTop="1">
      <c r="A90" s="502"/>
      <c r="B90" s="487">
        <f>B27</f>
        <v>111</v>
      </c>
      <c r="C90" s="503"/>
      <c r="D90" s="503"/>
      <c r="E90" s="503"/>
      <c r="F90" s="503"/>
      <c r="G90" s="503"/>
      <c r="H90" s="504"/>
      <c r="I90" s="504"/>
      <c r="J90" s="504"/>
      <c r="K90" s="504"/>
      <c r="L90" s="505"/>
      <c r="M90" s="506"/>
      <c r="N90" s="935"/>
      <c r="O90" s="935"/>
      <c r="P90" s="1923"/>
      <c r="Q90" s="508"/>
    </row>
    <row r="91" spans="1:17" s="422" customFormat="1" ht="14.4" thickBot="1">
      <c r="A91" s="502"/>
      <c r="B91" s="492"/>
      <c r="C91" s="509"/>
      <c r="D91" s="509"/>
      <c r="E91" s="509"/>
      <c r="F91" s="509"/>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479"/>
      <c r="D100" s="479"/>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4.4"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4.4" thickBot="1">
      <c r="A127" s="502"/>
      <c r="B127" s="492"/>
      <c r="C127" s="509"/>
      <c r="D127" s="485"/>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195.03</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4.4">
      <c r="A4" s="355" t="s">
        <v>1769</v>
      </c>
      <c r="B4" s="356"/>
      <c r="C4" s="3679" t="s">
        <v>1770</v>
      </c>
      <c r="D4" s="3680"/>
      <c r="E4" s="3681" t="s">
        <v>1771</v>
      </c>
      <c r="F4" s="3682"/>
      <c r="G4" s="3679" t="s">
        <v>1772</v>
      </c>
      <c r="H4" s="3680"/>
      <c r="I4" s="3679" t="s">
        <v>1773</v>
      </c>
      <c r="J4" s="3680"/>
      <c r="K4" s="559" t="s">
        <v>1774</v>
      </c>
      <c r="L4" s="2714"/>
      <c r="M4" s="2715"/>
      <c r="N4" s="2715"/>
      <c r="O4" s="2715"/>
      <c r="P4" s="3683" t="s">
        <v>1775</v>
      </c>
      <c r="Q4" s="3684"/>
      <c r="R4" s="3689" t="s">
        <v>1771</v>
      </c>
      <c r="S4" s="3690"/>
      <c r="T4" s="3689" t="s">
        <v>1772</v>
      </c>
      <c r="U4" s="3690"/>
      <c r="V4" s="3695" t="s">
        <v>1773</v>
      </c>
      <c r="W4" s="3695"/>
      <c r="X4" s="1355"/>
      <c r="Y4" s="3689" t="s">
        <v>1775</v>
      </c>
      <c r="Z4" s="3690"/>
      <c r="AA4" s="3676" t="s">
        <v>1771</v>
      </c>
      <c r="AB4" s="3695" t="s">
        <v>1772</v>
      </c>
      <c r="AC4" s="3676" t="s">
        <v>1773</v>
      </c>
    </row>
    <row r="5" spans="1:29">
      <c r="A5" s="358"/>
      <c r="B5" s="359"/>
      <c r="C5" s="3698" t="s">
        <v>1673</v>
      </c>
      <c r="D5" s="3699"/>
      <c r="E5" s="3705" t="s">
        <v>1674</v>
      </c>
      <c r="F5" s="3706"/>
      <c r="G5" s="3698" t="s">
        <v>1675</v>
      </c>
      <c r="H5" s="3699"/>
      <c r="I5" s="3698" t="s">
        <v>1676</v>
      </c>
      <c r="J5" s="3699"/>
      <c r="K5" s="559"/>
      <c r="L5" s="2714"/>
      <c r="M5" s="2715"/>
      <c r="N5" s="2715"/>
      <c r="O5" s="2715"/>
      <c r="P5" s="3685"/>
      <c r="Q5" s="3686"/>
      <c r="R5" s="3691"/>
      <c r="S5" s="3692"/>
      <c r="T5" s="3691"/>
      <c r="U5" s="3692"/>
      <c r="V5" s="3695"/>
      <c r="W5" s="3695"/>
      <c r="X5" s="1355"/>
      <c r="Y5" s="3691"/>
      <c r="Z5" s="3692"/>
      <c r="AA5" s="3677"/>
      <c r="AB5" s="3695"/>
      <c r="AC5" s="3677"/>
    </row>
    <row r="6" spans="1:29" ht="15" thickBot="1">
      <c r="A6" s="360"/>
      <c r="B6" s="361"/>
      <c r="C6" s="3696" t="s">
        <v>1677</v>
      </c>
      <c r="D6" s="3697"/>
      <c r="E6" s="3703" t="s">
        <v>1677</v>
      </c>
      <c r="F6" s="3704"/>
      <c r="G6" s="3696" t="s">
        <v>1677</v>
      </c>
      <c r="H6" s="3697"/>
      <c r="I6" s="3696" t="s">
        <v>1677</v>
      </c>
      <c r="J6" s="3697"/>
      <c r="K6" s="559" t="s">
        <v>1678</v>
      </c>
      <c r="L6" s="2714"/>
      <c r="M6" s="2715"/>
      <c r="N6" s="2715"/>
      <c r="O6" s="2715"/>
      <c r="P6" s="3687"/>
      <c r="Q6" s="3688"/>
      <c r="R6" s="3691"/>
      <c r="S6" s="3692"/>
      <c r="T6" s="3693"/>
      <c r="U6" s="3694"/>
      <c r="V6" s="3695"/>
      <c r="W6" s="3695"/>
      <c r="X6" s="1355"/>
      <c r="Y6" s="3693"/>
      <c r="Z6" s="3694"/>
      <c r="AA6" s="3678"/>
      <c r="AB6" s="3695"/>
      <c r="AC6" s="3678"/>
    </row>
    <row r="7" spans="1:29" s="108" customFormat="1" ht="15" thickBot="1">
      <c r="A7" s="362" t="s">
        <v>1679</v>
      </c>
      <c r="B7" s="363"/>
      <c r="C7" s="364">
        <f>'数据-取费表'!B2</f>
        <v>45539</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0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00" t="s">
        <v>1683</v>
      </c>
      <c r="Q8" s="3701"/>
      <c r="R8" s="701" t="s">
        <v>14</v>
      </c>
      <c r="S8" s="702">
        <f t="shared" si="0"/>
        <v>100</v>
      </c>
      <c r="T8" s="701" t="s">
        <v>14</v>
      </c>
      <c r="U8" s="702">
        <f t="shared" si="1"/>
        <v>100</v>
      </c>
      <c r="V8" s="701" t="s">
        <v>14</v>
      </c>
      <c r="W8" s="702">
        <f t="shared" si="2"/>
        <v>100</v>
      </c>
      <c r="X8" s="703"/>
      <c r="Y8" s="3700" t="s">
        <v>1683</v>
      </c>
      <c r="Z8" s="3701"/>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75"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29" s="378" customFormat="1" ht="28.8">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75"/>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75"/>
      <c r="Q11" s="1343" t="str">
        <f t="shared" si="6"/>
        <v>容积率</v>
      </c>
      <c r="R11" s="701" t="s">
        <v>14</v>
      </c>
      <c r="S11" s="702" t="e">
        <f t="shared" si="0"/>
        <v>#N/A</v>
      </c>
      <c r="T11" s="701" t="s">
        <v>14</v>
      </c>
      <c r="U11" s="702" t="e">
        <f t="shared" si="1"/>
        <v>#N/A</v>
      </c>
      <c r="V11" s="701" t="s">
        <v>14</v>
      </c>
      <c r="W11" s="702" t="e">
        <f t="shared" si="2"/>
        <v>#N/A</v>
      </c>
      <c r="X11" s="703"/>
      <c r="Y11" s="353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75"/>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75"/>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75"/>
      <c r="Q14" s="1343">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73" t="s">
        <v>1691</v>
      </c>
      <c r="Q15" s="1352" t="str">
        <f t="shared" si="6"/>
        <v>商业繁华度</v>
      </c>
      <c r="R15" s="705" t="s">
        <v>14</v>
      </c>
      <c r="S15" s="706">
        <f t="shared" si="0"/>
        <v>100</v>
      </c>
      <c r="T15" s="705" t="s">
        <v>14</v>
      </c>
      <c r="U15" s="706">
        <f t="shared" si="1"/>
        <v>100</v>
      </c>
      <c r="V15" s="705" t="s">
        <v>14</v>
      </c>
      <c r="W15" s="706">
        <f t="shared" si="2"/>
        <v>100</v>
      </c>
      <c r="X15" s="1355"/>
      <c r="Y15" s="3666"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674"/>
      <c r="Q16" s="1352"/>
      <c r="R16" s="705"/>
      <c r="S16" s="706"/>
      <c r="T16" s="705"/>
      <c r="U16" s="706"/>
      <c r="V16" s="705"/>
      <c r="W16" s="706"/>
      <c r="X16" s="1355"/>
      <c r="Y16" s="3667"/>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74"/>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674"/>
      <c r="Q18" s="1352"/>
      <c r="R18" s="705"/>
      <c r="S18" s="706"/>
      <c r="T18" s="705"/>
      <c r="U18" s="706"/>
      <c r="V18" s="705"/>
      <c r="W18" s="706"/>
      <c r="X18" s="1355"/>
      <c r="Y18" s="3667"/>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74"/>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674"/>
      <c r="Q20" s="1352"/>
      <c r="R20" s="705"/>
      <c r="S20" s="706"/>
      <c r="T20" s="705"/>
      <c r="U20" s="706"/>
      <c r="V20" s="705"/>
      <c r="W20" s="706"/>
      <c r="X20" s="1355"/>
      <c r="Y20" s="3667"/>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74"/>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674"/>
      <c r="Q22" s="1352"/>
      <c r="R22" s="705"/>
      <c r="S22" s="706"/>
      <c r="T22" s="705"/>
      <c r="U22" s="706"/>
      <c r="V22" s="705"/>
      <c r="W22" s="706"/>
      <c r="X22" s="1355"/>
      <c r="Y22" s="3667"/>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74"/>
      <c r="Q23" s="1352" t="str">
        <f>B23</f>
        <v>自然及人文环境</v>
      </c>
      <c r="R23" s="705" t="s">
        <v>14</v>
      </c>
      <c r="S23" s="706">
        <f>F23</f>
        <v>100</v>
      </c>
      <c r="T23" s="705" t="s">
        <v>14</v>
      </c>
      <c r="U23" s="706">
        <f>H23</f>
        <v>100</v>
      </c>
      <c r="V23" s="705" t="s">
        <v>14</v>
      </c>
      <c r="W23" s="706">
        <f>J23</f>
        <v>100</v>
      </c>
      <c r="X23" s="1355"/>
      <c r="Y23" s="366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674"/>
      <c r="Q24" s="1352"/>
      <c r="R24" s="705"/>
      <c r="S24" s="706"/>
      <c r="T24" s="705"/>
      <c r="U24" s="706"/>
      <c r="V24" s="705"/>
      <c r="W24" s="706"/>
      <c r="X24" s="1355"/>
      <c r="Y24" s="3667"/>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74"/>
      <c r="Q25" s="1352" t="str">
        <f t="shared" ref="Q25:Q46" si="11">B25</f>
        <v>临街状况</v>
      </c>
      <c r="R25" s="705" t="s">
        <v>14</v>
      </c>
      <c r="S25" s="706">
        <f>F25</f>
        <v>100</v>
      </c>
      <c r="T25" s="705" t="s">
        <v>14</v>
      </c>
      <c r="U25" s="706">
        <f>H25</f>
        <v>100</v>
      </c>
      <c r="V25" s="705" t="s">
        <v>14</v>
      </c>
      <c r="W25" s="706">
        <f>J25</f>
        <v>100</v>
      </c>
      <c r="X25" s="1355"/>
      <c r="Y25" s="3667"/>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74"/>
      <c r="Q26" s="1352" t="str">
        <f t="shared" si="11"/>
        <v>平面位置/可视性</v>
      </c>
      <c r="R26" s="705" t="s">
        <v>14</v>
      </c>
      <c r="S26" s="706">
        <f>F26</f>
        <v>100</v>
      </c>
      <c r="T26" s="705" t="s">
        <v>14</v>
      </c>
      <c r="U26" s="706">
        <f>H26</f>
        <v>100</v>
      </c>
      <c r="V26" s="705" t="s">
        <v>14</v>
      </c>
      <c r="W26" s="706">
        <f>J26</f>
        <v>100</v>
      </c>
      <c r="X26" s="1355"/>
      <c r="Y26" s="3667"/>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674"/>
      <c r="Q27" s="1343" t="str">
        <f t="shared" si="11"/>
        <v>人流量</v>
      </c>
      <c r="R27" s="701" t="s">
        <v>14</v>
      </c>
      <c r="S27" s="702">
        <f>F27</f>
        <v>100</v>
      </c>
      <c r="T27" s="701" t="s">
        <v>14</v>
      </c>
      <c r="U27" s="702">
        <f>H27</f>
        <v>100</v>
      </c>
      <c r="V27" s="701" t="s">
        <v>14</v>
      </c>
      <c r="W27" s="702">
        <f>J27</f>
        <v>100</v>
      </c>
      <c r="X27" s="703"/>
      <c r="Y27" s="3667"/>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67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74"/>
      <c r="Q29" s="1352">
        <f t="shared" si="11"/>
        <v>111</v>
      </c>
      <c r="R29" s="705" t="s">
        <v>14</v>
      </c>
      <c r="S29" s="706">
        <f t="shared" si="12"/>
        <v>100</v>
      </c>
      <c r="T29" s="705" t="s">
        <v>14</v>
      </c>
      <c r="U29" s="706">
        <f t="shared" si="13"/>
        <v>100</v>
      </c>
      <c r="V29" s="705" t="s">
        <v>14</v>
      </c>
      <c r="W29" s="706">
        <f t="shared" si="14"/>
        <v>100</v>
      </c>
      <c r="X29" s="1355"/>
      <c r="Y29" s="366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74"/>
      <c r="Q30" s="1352">
        <f t="shared" si="11"/>
        <v>111</v>
      </c>
      <c r="R30" s="705" t="s">
        <v>14</v>
      </c>
      <c r="S30" s="706">
        <f t="shared" si="12"/>
        <v>100</v>
      </c>
      <c r="T30" s="705" t="s">
        <v>14</v>
      </c>
      <c r="U30" s="706">
        <f t="shared" si="13"/>
        <v>100</v>
      </c>
      <c r="V30" s="705" t="s">
        <v>14</v>
      </c>
      <c r="W30" s="706">
        <f t="shared" si="14"/>
        <v>100</v>
      </c>
      <c r="X30" s="1355"/>
      <c r="Y30" s="3667"/>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74"/>
      <c r="Q31" s="1352">
        <f t="shared" si="11"/>
        <v>111</v>
      </c>
      <c r="R31" s="705" t="s">
        <v>14</v>
      </c>
      <c r="S31" s="706">
        <f t="shared" si="12"/>
        <v>100</v>
      </c>
      <c r="T31" s="705" t="s">
        <v>14</v>
      </c>
      <c r="U31" s="706">
        <f t="shared" si="13"/>
        <v>100</v>
      </c>
      <c r="V31" s="705" t="s">
        <v>14</v>
      </c>
      <c r="W31" s="706">
        <f t="shared" si="14"/>
        <v>100</v>
      </c>
      <c r="X31" s="1355"/>
      <c r="Y31" s="3667"/>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668" t="s">
        <v>1696</v>
      </c>
      <c r="Q32" s="1352" t="str">
        <f t="shared" si="11"/>
        <v>商业类型</v>
      </c>
      <c r="R32" s="705" t="s">
        <v>14</v>
      </c>
      <c r="S32" s="706">
        <f t="shared" si="12"/>
        <v>100</v>
      </c>
      <c r="T32" s="705" t="s">
        <v>14</v>
      </c>
      <c r="U32" s="706">
        <f t="shared" si="13"/>
        <v>100</v>
      </c>
      <c r="V32" s="705" t="s">
        <v>14</v>
      </c>
      <c r="W32" s="706">
        <f t="shared" si="14"/>
        <v>100</v>
      </c>
      <c r="X32" s="1355"/>
      <c r="Y32" s="3671"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669"/>
      <c r="Q33" s="707" t="str">
        <f t="shared" si="11"/>
        <v>项目建筑规模</v>
      </c>
      <c r="R33" s="708" t="s">
        <v>14</v>
      </c>
      <c r="S33" s="709" t="e">
        <f t="shared" si="12"/>
        <v>#N/A</v>
      </c>
      <c r="T33" s="708" t="s">
        <v>14</v>
      </c>
      <c r="U33" s="709" t="e">
        <f t="shared" si="13"/>
        <v>#N/A</v>
      </c>
      <c r="V33" s="708" t="s">
        <v>14</v>
      </c>
      <c r="W33" s="709" t="e">
        <f t="shared" si="14"/>
        <v>#N/A</v>
      </c>
      <c r="X33" s="710"/>
      <c r="Y33" s="3671"/>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669"/>
      <c r="Q34" s="1352" t="str">
        <f t="shared" si="11"/>
        <v>建筑结构</v>
      </c>
      <c r="R34" s="705" t="s">
        <v>14</v>
      </c>
      <c r="S34" s="706">
        <f t="shared" si="12"/>
        <v>100</v>
      </c>
      <c r="T34" s="705" t="s">
        <v>14</v>
      </c>
      <c r="U34" s="706">
        <f t="shared" si="13"/>
        <v>100</v>
      </c>
      <c r="V34" s="705" t="s">
        <v>14</v>
      </c>
      <c r="W34" s="706">
        <f t="shared" si="14"/>
        <v>100</v>
      </c>
      <c r="X34" s="1355"/>
      <c r="Y34" s="3671"/>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669"/>
      <c r="Q35" s="1352" t="str">
        <f t="shared" si="11"/>
        <v>公共部分装修</v>
      </c>
      <c r="R35" s="705" t="s">
        <v>14</v>
      </c>
      <c r="S35" s="706">
        <f t="shared" si="12"/>
        <v>100</v>
      </c>
      <c r="T35" s="705" t="s">
        <v>14</v>
      </c>
      <c r="U35" s="706">
        <f t="shared" si="13"/>
        <v>100</v>
      </c>
      <c r="V35" s="705" t="s">
        <v>14</v>
      </c>
      <c r="W35" s="706">
        <f t="shared" si="14"/>
        <v>100</v>
      </c>
      <c r="X35" s="1355"/>
      <c r="Y35" s="3671"/>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669"/>
      <c r="Q36" s="1352" t="str">
        <f t="shared" si="11"/>
        <v>成新度</v>
      </c>
      <c r="R36" s="705" t="s">
        <v>14</v>
      </c>
      <c r="S36" s="706" t="e">
        <f t="shared" si="12"/>
        <v>#N/A</v>
      </c>
      <c r="T36" s="705" t="s">
        <v>14</v>
      </c>
      <c r="U36" s="706" t="e">
        <f t="shared" si="13"/>
        <v>#N/A</v>
      </c>
      <c r="V36" s="705" t="s">
        <v>14</v>
      </c>
      <c r="W36" s="706" t="e">
        <f t="shared" si="14"/>
        <v>#N/A</v>
      </c>
      <c r="X36" s="1355"/>
      <c r="Y36" s="3671"/>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669"/>
      <c r="Q37" s="1343" t="str">
        <f t="shared" si="11"/>
        <v>市政基础设施</v>
      </c>
      <c r="R37" s="701" t="s">
        <v>14</v>
      </c>
      <c r="S37" s="702">
        <f t="shared" si="12"/>
        <v>100</v>
      </c>
      <c r="T37" s="701" t="s">
        <v>14</v>
      </c>
      <c r="U37" s="702">
        <f t="shared" si="13"/>
        <v>100</v>
      </c>
      <c r="V37" s="701" t="s">
        <v>14</v>
      </c>
      <c r="W37" s="702">
        <f t="shared" si="14"/>
        <v>100</v>
      </c>
      <c r="X37" s="703"/>
      <c r="Y37" s="3671"/>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669" t="s">
        <v>1696</v>
      </c>
      <c r="Q38" s="1352" t="str">
        <f t="shared" si="11"/>
        <v>业态</v>
      </c>
      <c r="R38" s="705" t="s">
        <v>14</v>
      </c>
      <c r="S38" s="706">
        <f t="shared" si="12"/>
        <v>100</v>
      </c>
      <c r="T38" s="705" t="s">
        <v>14</v>
      </c>
      <c r="U38" s="706">
        <f t="shared" si="13"/>
        <v>100</v>
      </c>
      <c r="V38" s="705" t="s">
        <v>14</v>
      </c>
      <c r="W38" s="706">
        <f t="shared" si="14"/>
        <v>100</v>
      </c>
      <c r="X38" s="1355"/>
      <c r="Y38" s="3671"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669"/>
      <c r="Q39" s="1352" t="str">
        <f t="shared" si="11"/>
        <v>层高</v>
      </c>
      <c r="R39" s="705" t="s">
        <v>14</v>
      </c>
      <c r="S39" s="706">
        <f t="shared" si="12"/>
        <v>100</v>
      </c>
      <c r="T39" s="705" t="s">
        <v>14</v>
      </c>
      <c r="U39" s="706">
        <f t="shared" si="13"/>
        <v>100</v>
      </c>
      <c r="V39" s="705" t="s">
        <v>14</v>
      </c>
      <c r="W39" s="706">
        <f t="shared" si="14"/>
        <v>100</v>
      </c>
      <c r="X39" s="1355"/>
      <c r="Y39" s="3671"/>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69"/>
      <c r="Q40" s="1352" t="str">
        <f t="shared" si="11"/>
        <v>单套建筑面积</v>
      </c>
      <c r="R40" s="705" t="s">
        <v>14</v>
      </c>
      <c r="S40" s="706">
        <f t="shared" si="12"/>
        <v>100</v>
      </c>
      <c r="T40" s="705" t="s">
        <v>14</v>
      </c>
      <c r="U40" s="706">
        <f t="shared" si="13"/>
        <v>100</v>
      </c>
      <c r="V40" s="705" t="s">
        <v>14</v>
      </c>
      <c r="W40" s="706">
        <f t="shared" si="14"/>
        <v>100</v>
      </c>
      <c r="X40" s="1355"/>
      <c r="Y40" s="3671"/>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69"/>
      <c r="Q41" s="707" t="str">
        <f t="shared" si="11"/>
        <v>进深比</v>
      </c>
      <c r="R41" s="708" t="s">
        <v>14</v>
      </c>
      <c r="S41" s="709">
        <f t="shared" si="12"/>
        <v>100</v>
      </c>
      <c r="T41" s="708" t="s">
        <v>14</v>
      </c>
      <c r="U41" s="709">
        <f t="shared" si="13"/>
        <v>100</v>
      </c>
      <c r="V41" s="708" t="s">
        <v>14</v>
      </c>
      <c r="W41" s="709">
        <f t="shared" si="14"/>
        <v>100</v>
      </c>
      <c r="X41" s="710"/>
      <c r="Y41" s="3671"/>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669"/>
      <c r="Q42" s="1352" t="str">
        <f t="shared" si="11"/>
        <v>内部装修</v>
      </c>
      <c r="R42" s="705" t="s">
        <v>14</v>
      </c>
      <c r="S42" s="706">
        <f t="shared" si="12"/>
        <v>100</v>
      </c>
      <c r="T42" s="705" t="s">
        <v>14</v>
      </c>
      <c r="U42" s="706">
        <f t="shared" si="13"/>
        <v>100</v>
      </c>
      <c r="V42" s="705" t="s">
        <v>14</v>
      </c>
      <c r="W42" s="706">
        <f t="shared" si="14"/>
        <v>100</v>
      </c>
      <c r="X42" s="1355"/>
      <c r="Y42" s="3671"/>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669"/>
      <c r="Q43" s="1352" t="str">
        <f t="shared" si="11"/>
        <v>内部装修维护情况</v>
      </c>
      <c r="R43" s="705" t="s">
        <v>14</v>
      </c>
      <c r="S43" s="706">
        <f t="shared" si="12"/>
        <v>100</v>
      </c>
      <c r="T43" s="705" t="s">
        <v>14</v>
      </c>
      <c r="U43" s="706">
        <f t="shared" si="13"/>
        <v>100</v>
      </c>
      <c r="V43" s="705" t="s">
        <v>14</v>
      </c>
      <c r="W43" s="706">
        <f t="shared" si="14"/>
        <v>100</v>
      </c>
      <c r="X43" s="1355"/>
      <c r="Y43" s="367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69"/>
      <c r="Q44" s="1343">
        <f t="shared" si="11"/>
        <v>111</v>
      </c>
      <c r="R44" s="701" t="s">
        <v>14</v>
      </c>
      <c r="S44" s="702">
        <f t="shared" si="12"/>
        <v>100</v>
      </c>
      <c r="T44" s="701" t="s">
        <v>14</v>
      </c>
      <c r="U44" s="702">
        <f t="shared" si="13"/>
        <v>100</v>
      </c>
      <c r="V44" s="701" t="s">
        <v>14</v>
      </c>
      <c r="W44" s="702">
        <f t="shared" si="14"/>
        <v>100</v>
      </c>
      <c r="X44" s="703"/>
      <c r="Y44" s="367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69"/>
      <c r="Q45" s="1352">
        <f t="shared" si="11"/>
        <v>111</v>
      </c>
      <c r="R45" s="705" t="s">
        <v>14</v>
      </c>
      <c r="S45" s="706">
        <f t="shared" si="12"/>
        <v>100</v>
      </c>
      <c r="T45" s="705" t="s">
        <v>14</v>
      </c>
      <c r="U45" s="706">
        <f t="shared" si="13"/>
        <v>100</v>
      </c>
      <c r="V45" s="705" t="s">
        <v>14</v>
      </c>
      <c r="W45" s="706">
        <f t="shared" si="14"/>
        <v>100</v>
      </c>
      <c r="X45" s="1355"/>
      <c r="Y45" s="3671"/>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70"/>
      <c r="Q46" s="1352">
        <f t="shared" si="11"/>
        <v>111</v>
      </c>
      <c r="R46" s="705" t="s">
        <v>14</v>
      </c>
      <c r="S46" s="706">
        <f t="shared" si="12"/>
        <v>100</v>
      </c>
      <c r="T46" s="705" t="s">
        <v>14</v>
      </c>
      <c r="U46" s="706">
        <f t="shared" si="13"/>
        <v>100</v>
      </c>
      <c r="V46" s="705" t="s">
        <v>14</v>
      </c>
      <c r="W46" s="706">
        <f t="shared" si="14"/>
        <v>100</v>
      </c>
      <c r="X46" s="1355"/>
      <c r="Y46" s="3672"/>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3"/>
      <c r="M47" s="2724"/>
      <c r="N47" s="2715"/>
      <c r="O47" s="2724"/>
      <c r="P47" s="3664" t="str">
        <f>A47</f>
        <v>成交单价（元/平方米）</v>
      </c>
      <c r="Q47" s="3664"/>
      <c r="R47" s="3695">
        <f>E47</f>
        <v>0</v>
      </c>
      <c r="S47" s="3695"/>
      <c r="T47" s="3695">
        <f>G47</f>
        <v>0</v>
      </c>
      <c r="U47" s="3695"/>
      <c r="V47" s="3695">
        <f>I47</f>
        <v>0</v>
      </c>
      <c r="W47" s="3695"/>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3"/>
      <c r="M48" s="2724"/>
      <c r="N48" s="2715"/>
      <c r="O48" s="2724"/>
      <c r="P48" s="3664" t="str">
        <f>A48</f>
        <v>比较价值（元/平方米）</v>
      </c>
      <c r="Q48" s="3664"/>
      <c r="R48" s="3665" t="e">
        <f>IF(F1="售价",ROUND(PRODUCT(R47,AA7:AA46),0),ROUND(PRODUCT(R47,AA7:AA46),1))</f>
        <v>#DIV/0!</v>
      </c>
      <c r="S48" s="3665"/>
      <c r="T48" s="3665" t="e">
        <f>IF(F1="售价",ROUND(PRODUCT(T47,AB7:AB46),0),ROUND(PRODUCT(T47,AB7:AB46),1))</f>
        <v>#DIV/0!</v>
      </c>
      <c r="U48" s="3665"/>
      <c r="V48" s="3665" t="e">
        <f>IF(F1="售价",ROUND(PRODUCT(V47,AC7:AC46),0),ROUND(PRODUCT(V47,AC7:AC46),1))</f>
        <v>#DIV/0!</v>
      </c>
      <c r="W48" s="3665"/>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3"/>
      <c r="M49" s="2724"/>
      <c r="N49" s="2715"/>
      <c r="O49" s="2724"/>
      <c r="P49" s="3661" t="str">
        <f>A49</f>
        <v>估价对象XX用房的比较价值（楼面单价，元/平方米）</v>
      </c>
      <c r="Q49" s="3662"/>
      <c r="R49" s="3663" t="e">
        <f>IF(F1="售价",ROUND(IF(D48="简单平均",AVERAGE(R48:V48),R48*F48+T48*H48+V48*J48),0),ROUND(IF(D48="简单平均",AVERAGE(R48:V48),R48*F48+T48*H48+V48*J48),1))</f>
        <v>#DIV/0!</v>
      </c>
      <c r="S49" s="3663"/>
      <c r="T49" s="3663"/>
      <c r="U49" s="3663"/>
      <c r="V49" s="3663"/>
      <c r="W49" s="3663"/>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2.2"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4.4">
      <c r="A58" s="454" t="s">
        <v>1679</v>
      </c>
      <c r="B58" s="455"/>
      <c r="C58" s="1184" t="str">
        <f>YEAR(C7)&amp;"-"&amp;MONTH(C7)</f>
        <v>2024-9</v>
      </c>
      <c r="D58" s="1185">
        <f>EDATE(C58,-1)</f>
        <v>45505</v>
      </c>
      <c r="E58" s="1185">
        <f t="shared" ref="E58:N58" si="16">EDATE(D58,-1)</f>
        <v>45474</v>
      </c>
      <c r="F58" s="1185">
        <f t="shared" si="16"/>
        <v>45444</v>
      </c>
      <c r="G58" s="1185">
        <f t="shared" si="16"/>
        <v>45413</v>
      </c>
      <c r="H58" s="1185">
        <f t="shared" si="16"/>
        <v>45383</v>
      </c>
      <c r="I58" s="1185">
        <f t="shared" si="16"/>
        <v>45352</v>
      </c>
      <c r="J58" s="1185">
        <f t="shared" si="16"/>
        <v>45323</v>
      </c>
      <c r="K58" s="1185">
        <f t="shared" si="16"/>
        <v>45292</v>
      </c>
      <c r="L58" s="1185">
        <f t="shared" si="16"/>
        <v>45261</v>
      </c>
      <c r="M58" s="1185">
        <f t="shared" si="16"/>
        <v>45231</v>
      </c>
      <c r="N58" s="1185">
        <f t="shared" si="16"/>
        <v>45200</v>
      </c>
      <c r="O58" s="1185">
        <f>EDATE(N58,-1)</f>
        <v>45170</v>
      </c>
      <c r="P58" s="2739"/>
      <c r="Q58" s="2740"/>
      <c r="R58" s="2740"/>
      <c r="S58" s="2740"/>
      <c r="T58" s="2740"/>
      <c r="U58" s="2740"/>
      <c r="V58" s="2740"/>
      <c r="W58" s="2740"/>
      <c r="X58" s="2740"/>
      <c r="Y58" s="2740"/>
      <c r="Z58" s="2740"/>
      <c r="AA58" s="2740"/>
      <c r="AB58" s="2740"/>
      <c r="AC58" s="2740"/>
    </row>
    <row r="59" spans="1:29" s="108" customFormat="1">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4.4">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4.4"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ht="14.4">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4.4"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9.4"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4.4"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4.4"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4.4"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4.4"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4.4"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4.4"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4.4"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ht="14.4">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4.4"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4.4"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4.4"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4.4"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4.4"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4.4"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4.4"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4.4"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4.4"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4.4"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4.4"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ht="14.4">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4.4"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4.4"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4.4"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4.4"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4.4"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4.4"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4.4"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4.4"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195.03</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4.4">
      <c r="A4" s="355" t="s">
        <v>1769</v>
      </c>
      <c r="B4" s="356"/>
      <c r="C4" s="3679" t="s">
        <v>1770</v>
      </c>
      <c r="D4" s="3680"/>
      <c r="E4" s="3681" t="s">
        <v>1771</v>
      </c>
      <c r="F4" s="3682"/>
      <c r="G4" s="3679" t="s">
        <v>1772</v>
      </c>
      <c r="H4" s="3680"/>
      <c r="I4" s="3679" t="s">
        <v>1773</v>
      </c>
      <c r="J4" s="3680"/>
      <c r="K4" s="559" t="s">
        <v>1774</v>
      </c>
      <c r="L4" s="2714"/>
      <c r="M4" s="2715"/>
      <c r="N4" s="2715"/>
      <c r="O4" s="2715"/>
      <c r="P4" s="3713" t="s">
        <v>1775</v>
      </c>
      <c r="Q4" s="3714"/>
      <c r="R4" s="3717" t="s">
        <v>1771</v>
      </c>
      <c r="S4" s="3718"/>
      <c r="T4" s="3717" t="s">
        <v>1772</v>
      </c>
      <c r="U4" s="3718"/>
      <c r="V4" s="3719" t="s">
        <v>1773</v>
      </c>
      <c r="W4" s="3719"/>
      <c r="X4" s="1958"/>
      <c r="Y4" s="3717" t="s">
        <v>1775</v>
      </c>
      <c r="Z4" s="3718"/>
      <c r="AA4" s="3721" t="s">
        <v>1771</v>
      </c>
      <c r="AB4" s="3721" t="s">
        <v>1772</v>
      </c>
      <c r="AC4" s="3710" t="s">
        <v>1773</v>
      </c>
    </row>
    <row r="5" spans="1:29">
      <c r="A5" s="358"/>
      <c r="B5" s="359"/>
      <c r="C5" s="3698" t="s">
        <v>1673</v>
      </c>
      <c r="D5" s="3699"/>
      <c r="E5" s="3705" t="s">
        <v>1674</v>
      </c>
      <c r="F5" s="3706"/>
      <c r="G5" s="3698" t="s">
        <v>1675</v>
      </c>
      <c r="H5" s="3699"/>
      <c r="I5" s="3698" t="s">
        <v>1676</v>
      </c>
      <c r="J5" s="3699"/>
      <c r="K5" s="559"/>
      <c r="L5" s="2714"/>
      <c r="M5" s="2715"/>
      <c r="N5" s="2715"/>
      <c r="O5" s="2715"/>
      <c r="P5" s="3715"/>
      <c r="Q5" s="3686"/>
      <c r="R5" s="3691"/>
      <c r="S5" s="3692"/>
      <c r="T5" s="3691"/>
      <c r="U5" s="3692"/>
      <c r="V5" s="3695"/>
      <c r="W5" s="3695"/>
      <c r="X5" s="1355"/>
      <c r="Y5" s="3691"/>
      <c r="Z5" s="3692"/>
      <c r="AA5" s="3677"/>
      <c r="AB5" s="3677"/>
      <c r="AC5" s="3711"/>
    </row>
    <row r="6" spans="1:29" ht="15" thickBot="1">
      <c r="A6" s="360"/>
      <c r="B6" s="361"/>
      <c r="C6" s="3696" t="s">
        <v>1677</v>
      </c>
      <c r="D6" s="3697"/>
      <c r="E6" s="3703" t="s">
        <v>1677</v>
      </c>
      <c r="F6" s="3704"/>
      <c r="G6" s="3696" t="s">
        <v>1677</v>
      </c>
      <c r="H6" s="3697"/>
      <c r="I6" s="3696" t="s">
        <v>1677</v>
      </c>
      <c r="J6" s="3697"/>
      <c r="K6" s="559" t="s">
        <v>1678</v>
      </c>
      <c r="L6" s="2714"/>
      <c r="M6" s="2715"/>
      <c r="N6" s="2715"/>
      <c r="O6" s="2715"/>
      <c r="P6" s="3716"/>
      <c r="Q6" s="3688"/>
      <c r="R6" s="3691"/>
      <c r="S6" s="3692"/>
      <c r="T6" s="3693"/>
      <c r="U6" s="3694"/>
      <c r="V6" s="3695"/>
      <c r="W6" s="3695"/>
      <c r="X6" s="1355"/>
      <c r="Y6" s="3693"/>
      <c r="Z6" s="3694"/>
      <c r="AA6" s="3678"/>
      <c r="AB6" s="3678"/>
      <c r="AC6" s="3712"/>
    </row>
    <row r="7" spans="1:29" s="108" customFormat="1" ht="15" thickBot="1">
      <c r="A7" s="362" t="s">
        <v>1679</v>
      </c>
      <c r="B7" s="363"/>
      <c r="C7" s="364">
        <f>'数据-取费表'!B2</f>
        <v>45539</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2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20" t="s">
        <v>1683</v>
      </c>
      <c r="Q8" s="3701"/>
      <c r="R8" s="701" t="s">
        <v>14</v>
      </c>
      <c r="S8" s="702">
        <f t="shared" si="0"/>
        <v>100</v>
      </c>
      <c r="T8" s="701" t="s">
        <v>14</v>
      </c>
      <c r="U8" s="702">
        <f t="shared" si="1"/>
        <v>100</v>
      </c>
      <c r="V8" s="701" t="s">
        <v>14</v>
      </c>
      <c r="W8" s="702">
        <f t="shared" si="2"/>
        <v>100</v>
      </c>
      <c r="X8" s="703"/>
      <c r="Y8" s="3700" t="s">
        <v>1683</v>
      </c>
      <c r="Z8" s="3701"/>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75"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1959">
        <f t="shared" si="5"/>
        <v>1</v>
      </c>
    </row>
    <row r="10" spans="1:29" s="378" customFormat="1" ht="28.8">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75"/>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75"/>
      <c r="Q11" s="1343" t="str">
        <f t="shared" si="6"/>
        <v>容积率</v>
      </c>
      <c r="R11" s="701" t="s">
        <v>14</v>
      </c>
      <c r="S11" s="702">
        <f t="shared" si="0"/>
        <v>100</v>
      </c>
      <c r="T11" s="701" t="s">
        <v>14</v>
      </c>
      <c r="U11" s="702">
        <f t="shared" si="1"/>
        <v>100</v>
      </c>
      <c r="V11" s="701" t="s">
        <v>14</v>
      </c>
      <c r="W11" s="702">
        <f t="shared" si="2"/>
        <v>100</v>
      </c>
      <c r="X11" s="703"/>
      <c r="Y11" s="353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75"/>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75"/>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75"/>
      <c r="Q14" s="1343">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73" t="s">
        <v>1691</v>
      </c>
      <c r="Q15" s="1352" t="str">
        <f t="shared" si="6"/>
        <v>办公集聚程度</v>
      </c>
      <c r="R15" s="705" t="s">
        <v>14</v>
      </c>
      <c r="S15" s="706">
        <f t="shared" si="0"/>
        <v>100</v>
      </c>
      <c r="T15" s="705" t="s">
        <v>14</v>
      </c>
      <c r="U15" s="706">
        <f t="shared" si="1"/>
        <v>100</v>
      </c>
      <c r="V15" s="705" t="s">
        <v>14</v>
      </c>
      <c r="W15" s="706">
        <f t="shared" si="2"/>
        <v>100</v>
      </c>
      <c r="X15" s="1355"/>
      <c r="Y15" s="3666"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674"/>
      <c r="Q16" s="1352"/>
      <c r="R16" s="705"/>
      <c r="S16" s="706"/>
      <c r="T16" s="705"/>
      <c r="U16" s="706"/>
      <c r="V16" s="705"/>
      <c r="W16" s="706"/>
      <c r="X16" s="1355"/>
      <c r="Y16" s="3667"/>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74"/>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674"/>
      <c r="Q18" s="1352"/>
      <c r="R18" s="705"/>
      <c r="S18" s="706"/>
      <c r="T18" s="705"/>
      <c r="U18" s="706"/>
      <c r="V18" s="705"/>
      <c r="W18" s="706"/>
      <c r="X18" s="1355"/>
      <c r="Y18" s="3667"/>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74"/>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674"/>
      <c r="Q20" s="1352"/>
      <c r="R20" s="705"/>
      <c r="S20" s="706"/>
      <c r="T20" s="705"/>
      <c r="U20" s="706"/>
      <c r="V20" s="705"/>
      <c r="W20" s="706"/>
      <c r="X20" s="1355"/>
      <c r="Y20" s="3667"/>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74"/>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674"/>
      <c r="Q22" s="1352"/>
      <c r="R22" s="705"/>
      <c r="S22" s="706"/>
      <c r="T22" s="705"/>
      <c r="U22" s="706"/>
      <c r="V22" s="705"/>
      <c r="W22" s="706"/>
      <c r="X22" s="1355"/>
      <c r="Y22" s="3667"/>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74"/>
      <c r="Q23" s="1352" t="str">
        <f>B23</f>
        <v>环境质量</v>
      </c>
      <c r="R23" s="705" t="s">
        <v>14</v>
      </c>
      <c r="S23" s="706">
        <f>F23</f>
        <v>100</v>
      </c>
      <c r="T23" s="705" t="s">
        <v>14</v>
      </c>
      <c r="U23" s="706">
        <f>H23</f>
        <v>100</v>
      </c>
      <c r="V23" s="705" t="s">
        <v>14</v>
      </c>
      <c r="W23" s="706">
        <f>J23</f>
        <v>100</v>
      </c>
      <c r="X23" s="1355"/>
      <c r="Y23" s="366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674"/>
      <c r="Q24" s="1352"/>
      <c r="R24" s="705"/>
      <c r="S24" s="706"/>
      <c r="T24" s="705"/>
      <c r="U24" s="706"/>
      <c r="V24" s="705"/>
      <c r="W24" s="706"/>
      <c r="X24" s="1355"/>
      <c r="Y24" s="3667"/>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674"/>
      <c r="Q25" s="1352" t="str">
        <f>B25</f>
        <v>毗邻道路的类型与等级</v>
      </c>
      <c r="R25" s="705" t="s">
        <v>14</v>
      </c>
      <c r="S25" s="706">
        <f>F25</f>
        <v>100</v>
      </c>
      <c r="T25" s="705" t="s">
        <v>14</v>
      </c>
      <c r="U25" s="706">
        <f>H25</f>
        <v>100</v>
      </c>
      <c r="V25" s="705" t="s">
        <v>14</v>
      </c>
      <c r="W25" s="706">
        <f>J25</f>
        <v>100</v>
      </c>
      <c r="X25" s="1355"/>
      <c r="Y25" s="366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674"/>
      <c r="Q26" s="1352"/>
      <c r="R26" s="705"/>
      <c r="S26" s="706"/>
      <c r="T26" s="705"/>
      <c r="U26" s="706"/>
      <c r="V26" s="705"/>
      <c r="W26" s="706"/>
      <c r="X26" s="1355"/>
      <c r="Y26" s="3667"/>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674"/>
      <c r="Q27" s="1352" t="str">
        <f t="shared" ref="Q27:Q47" si="11">B27</f>
        <v>楼层</v>
      </c>
      <c r="R27" s="705" t="s">
        <v>14</v>
      </c>
      <c r="S27" s="706">
        <f>F27</f>
        <v>100</v>
      </c>
      <c r="T27" s="705" t="s">
        <v>14</v>
      </c>
      <c r="U27" s="706">
        <f>H27</f>
        <v>100</v>
      </c>
      <c r="V27" s="705" t="s">
        <v>14</v>
      </c>
      <c r="W27" s="706">
        <f>J27</f>
        <v>100</v>
      </c>
      <c r="X27" s="1355"/>
      <c r="Y27" s="3667"/>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674"/>
      <c r="Q28" s="1343" t="str">
        <f t="shared" si="11"/>
        <v>朝向</v>
      </c>
      <c r="R28" s="701" t="s">
        <v>14</v>
      </c>
      <c r="S28" s="702">
        <f>F28</f>
        <v>100</v>
      </c>
      <c r="T28" s="701" t="s">
        <v>14</v>
      </c>
      <c r="U28" s="702">
        <f>H28</f>
        <v>100</v>
      </c>
      <c r="V28" s="701" t="s">
        <v>14</v>
      </c>
      <c r="W28" s="702">
        <f>J28</f>
        <v>100</v>
      </c>
      <c r="X28" s="703"/>
      <c r="Y28" s="366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674"/>
      <c r="Q29" s="1352">
        <f t="shared" si="11"/>
        <v>111</v>
      </c>
      <c r="R29" s="705" t="s">
        <v>14</v>
      </c>
      <c r="S29" s="706">
        <f t="shared" ref="S29:S47" si="12">F29</f>
        <v>100</v>
      </c>
      <c r="T29" s="705" t="s">
        <v>14</v>
      </c>
      <c r="U29" s="706">
        <f t="shared" ref="U29:U47" si="13">H29</f>
        <v>100</v>
      </c>
      <c r="V29" s="705" t="s">
        <v>14</v>
      </c>
      <c r="W29" s="706">
        <f t="shared" ref="W29:W47" si="14">J29</f>
        <v>100</v>
      </c>
      <c r="X29" s="1355"/>
      <c r="Y29" s="366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674"/>
      <c r="Q30" s="1352">
        <f t="shared" si="11"/>
        <v>111</v>
      </c>
      <c r="R30" s="705" t="s">
        <v>14</v>
      </c>
      <c r="S30" s="706">
        <f t="shared" si="12"/>
        <v>100</v>
      </c>
      <c r="T30" s="705" t="s">
        <v>14</v>
      </c>
      <c r="U30" s="706">
        <f t="shared" si="13"/>
        <v>100</v>
      </c>
      <c r="V30" s="705" t="s">
        <v>14</v>
      </c>
      <c r="W30" s="706">
        <f t="shared" si="14"/>
        <v>100</v>
      </c>
      <c r="X30" s="1355"/>
      <c r="Y30" s="366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674"/>
      <c r="Q31" s="1352">
        <f t="shared" si="11"/>
        <v>111</v>
      </c>
      <c r="R31" s="705" t="s">
        <v>14</v>
      </c>
      <c r="S31" s="706">
        <f t="shared" si="12"/>
        <v>100</v>
      </c>
      <c r="T31" s="705" t="s">
        <v>14</v>
      </c>
      <c r="U31" s="706">
        <f t="shared" si="13"/>
        <v>100</v>
      </c>
      <c r="V31" s="705" t="s">
        <v>14</v>
      </c>
      <c r="W31" s="706">
        <f t="shared" si="14"/>
        <v>100</v>
      </c>
      <c r="X31" s="1355"/>
      <c r="Y31" s="3667"/>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674"/>
      <c r="Q32" s="1352">
        <f t="shared" si="11"/>
        <v>111</v>
      </c>
      <c r="R32" s="705" t="s">
        <v>14</v>
      </c>
      <c r="S32" s="706">
        <f t="shared" si="12"/>
        <v>100</v>
      </c>
      <c r="T32" s="705" t="s">
        <v>14</v>
      </c>
      <c r="U32" s="706">
        <f t="shared" si="13"/>
        <v>100</v>
      </c>
      <c r="V32" s="705" t="s">
        <v>14</v>
      </c>
      <c r="W32" s="706">
        <f t="shared" si="14"/>
        <v>100</v>
      </c>
      <c r="X32" s="1355"/>
      <c r="Y32" s="3667"/>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668" t="s">
        <v>1696</v>
      </c>
      <c r="Q33" s="1352" t="str">
        <f t="shared" si="11"/>
        <v>建筑类型</v>
      </c>
      <c r="R33" s="705" t="s">
        <v>14</v>
      </c>
      <c r="S33" s="706">
        <f t="shared" si="12"/>
        <v>100</v>
      </c>
      <c r="T33" s="705" t="s">
        <v>14</v>
      </c>
      <c r="U33" s="706">
        <f t="shared" si="13"/>
        <v>100</v>
      </c>
      <c r="V33" s="705" t="s">
        <v>14</v>
      </c>
      <c r="W33" s="706">
        <f t="shared" si="14"/>
        <v>100</v>
      </c>
      <c r="X33" s="1355"/>
      <c r="Y33" s="3671"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69"/>
      <c r="Q34" s="707" t="str">
        <f t="shared" si="11"/>
        <v>项目建筑规模</v>
      </c>
      <c r="R34" s="708" t="s">
        <v>14</v>
      </c>
      <c r="S34" s="709" t="e">
        <f t="shared" si="12"/>
        <v>#N/A</v>
      </c>
      <c r="T34" s="708" t="s">
        <v>14</v>
      </c>
      <c r="U34" s="709" t="e">
        <f t="shared" si="13"/>
        <v>#N/A</v>
      </c>
      <c r="V34" s="708" t="s">
        <v>14</v>
      </c>
      <c r="W34" s="709" t="e">
        <f t="shared" si="14"/>
        <v>#N/A</v>
      </c>
      <c r="X34" s="710"/>
      <c r="Y34" s="3671"/>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69"/>
      <c r="Q35" s="1352" t="str">
        <f t="shared" si="11"/>
        <v>建筑结构</v>
      </c>
      <c r="R35" s="705" t="s">
        <v>14</v>
      </c>
      <c r="S35" s="706">
        <f t="shared" si="12"/>
        <v>100</v>
      </c>
      <c r="T35" s="705" t="s">
        <v>14</v>
      </c>
      <c r="U35" s="706">
        <f t="shared" si="13"/>
        <v>100</v>
      </c>
      <c r="V35" s="705" t="s">
        <v>14</v>
      </c>
      <c r="W35" s="706">
        <f t="shared" si="14"/>
        <v>100</v>
      </c>
      <c r="X35" s="1355"/>
      <c r="Y35" s="3671"/>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69"/>
      <c r="Q36" s="1352" t="str">
        <f t="shared" si="11"/>
        <v>公共部分装修</v>
      </c>
      <c r="R36" s="705" t="s">
        <v>14</v>
      </c>
      <c r="S36" s="706">
        <f t="shared" si="12"/>
        <v>100</v>
      </c>
      <c r="T36" s="705" t="s">
        <v>14</v>
      </c>
      <c r="U36" s="706">
        <f t="shared" si="13"/>
        <v>100</v>
      </c>
      <c r="V36" s="705" t="s">
        <v>14</v>
      </c>
      <c r="W36" s="706">
        <f t="shared" si="14"/>
        <v>100</v>
      </c>
      <c r="X36" s="1355"/>
      <c r="Y36" s="3671"/>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69"/>
      <c r="Q37" s="1352" t="str">
        <f t="shared" si="11"/>
        <v>成新度</v>
      </c>
      <c r="R37" s="705" t="s">
        <v>14</v>
      </c>
      <c r="S37" s="706" t="e">
        <f t="shared" si="12"/>
        <v>#N/A</v>
      </c>
      <c r="T37" s="705" t="s">
        <v>14</v>
      </c>
      <c r="U37" s="706" t="e">
        <f t="shared" si="13"/>
        <v>#N/A</v>
      </c>
      <c r="V37" s="705" t="s">
        <v>14</v>
      </c>
      <c r="W37" s="706" t="e">
        <f t="shared" si="14"/>
        <v>#N/A</v>
      </c>
      <c r="X37" s="1355"/>
      <c r="Y37" s="3671"/>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69"/>
      <c r="Q38" s="1343" t="str">
        <f t="shared" si="11"/>
        <v>写字楼等级</v>
      </c>
      <c r="R38" s="701" t="s">
        <v>14</v>
      </c>
      <c r="S38" s="702">
        <f t="shared" si="12"/>
        <v>100</v>
      </c>
      <c r="T38" s="701" t="s">
        <v>14</v>
      </c>
      <c r="U38" s="702">
        <f t="shared" si="13"/>
        <v>100</v>
      </c>
      <c r="V38" s="701" t="s">
        <v>14</v>
      </c>
      <c r="W38" s="702">
        <f t="shared" si="14"/>
        <v>100</v>
      </c>
      <c r="X38" s="703"/>
      <c r="Y38" s="3671"/>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69" t="s">
        <v>1696</v>
      </c>
      <c r="Q39" s="1352" t="str">
        <f t="shared" si="11"/>
        <v>物业管理</v>
      </c>
      <c r="R39" s="705" t="s">
        <v>14</v>
      </c>
      <c r="S39" s="706">
        <f t="shared" si="12"/>
        <v>100</v>
      </c>
      <c r="T39" s="705" t="s">
        <v>14</v>
      </c>
      <c r="U39" s="706">
        <f t="shared" si="13"/>
        <v>100</v>
      </c>
      <c r="V39" s="705" t="s">
        <v>14</v>
      </c>
      <c r="W39" s="706">
        <f t="shared" si="14"/>
        <v>100</v>
      </c>
      <c r="X39" s="1355"/>
      <c r="Y39" s="3671"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69"/>
      <c r="Q40" s="1352" t="str">
        <f t="shared" si="11"/>
        <v>市政基础设施</v>
      </c>
      <c r="R40" s="705" t="s">
        <v>14</v>
      </c>
      <c r="S40" s="706">
        <f t="shared" si="12"/>
        <v>100</v>
      </c>
      <c r="T40" s="705" t="s">
        <v>14</v>
      </c>
      <c r="U40" s="706">
        <f t="shared" si="13"/>
        <v>100</v>
      </c>
      <c r="V40" s="705" t="s">
        <v>14</v>
      </c>
      <c r="W40" s="706">
        <f t="shared" si="14"/>
        <v>100</v>
      </c>
      <c r="X40" s="1355"/>
      <c r="Y40" s="3671"/>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69"/>
      <c r="Q41" s="1352" t="str">
        <f t="shared" si="11"/>
        <v>层高</v>
      </c>
      <c r="R41" s="705" t="s">
        <v>14</v>
      </c>
      <c r="S41" s="706">
        <f t="shared" si="12"/>
        <v>100</v>
      </c>
      <c r="T41" s="705" t="s">
        <v>14</v>
      </c>
      <c r="U41" s="706">
        <f t="shared" si="13"/>
        <v>100</v>
      </c>
      <c r="V41" s="705" t="s">
        <v>14</v>
      </c>
      <c r="W41" s="706">
        <f t="shared" si="14"/>
        <v>100</v>
      </c>
      <c r="X41" s="1355"/>
      <c r="Y41" s="3671"/>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69"/>
      <c r="Q42" s="707" t="str">
        <f t="shared" si="11"/>
        <v>单套建筑面积</v>
      </c>
      <c r="R42" s="708" t="s">
        <v>14</v>
      </c>
      <c r="S42" s="709">
        <f t="shared" si="12"/>
        <v>100</v>
      </c>
      <c r="T42" s="708" t="s">
        <v>14</v>
      </c>
      <c r="U42" s="709">
        <f t="shared" si="13"/>
        <v>100</v>
      </c>
      <c r="V42" s="708" t="s">
        <v>14</v>
      </c>
      <c r="W42" s="709">
        <f t="shared" si="14"/>
        <v>100</v>
      </c>
      <c r="X42" s="710"/>
      <c r="Y42" s="3671"/>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69"/>
      <c r="Q43" s="1352" t="str">
        <f t="shared" si="11"/>
        <v>内部装修</v>
      </c>
      <c r="R43" s="705" t="s">
        <v>14</v>
      </c>
      <c r="S43" s="706">
        <f t="shared" si="12"/>
        <v>100</v>
      </c>
      <c r="T43" s="705" t="s">
        <v>14</v>
      </c>
      <c r="U43" s="706">
        <f t="shared" si="13"/>
        <v>100</v>
      </c>
      <c r="V43" s="705" t="s">
        <v>14</v>
      </c>
      <c r="W43" s="706">
        <f t="shared" si="14"/>
        <v>100</v>
      </c>
      <c r="X43" s="1355"/>
      <c r="Y43" s="3671"/>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669"/>
      <c r="Q44" s="1352" t="str">
        <f t="shared" si="11"/>
        <v>内部装修维护情况</v>
      </c>
      <c r="R44" s="705" t="s">
        <v>14</v>
      </c>
      <c r="S44" s="706">
        <f t="shared" si="12"/>
        <v>100</v>
      </c>
      <c r="T44" s="705" t="s">
        <v>14</v>
      </c>
      <c r="U44" s="706">
        <f t="shared" si="13"/>
        <v>100</v>
      </c>
      <c r="V44" s="705" t="s">
        <v>14</v>
      </c>
      <c r="W44" s="706">
        <f t="shared" si="14"/>
        <v>100</v>
      </c>
      <c r="X44" s="1355"/>
      <c r="Y44" s="367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69"/>
      <c r="Q45" s="1343">
        <f t="shared" si="11"/>
        <v>111</v>
      </c>
      <c r="R45" s="701" t="s">
        <v>14</v>
      </c>
      <c r="S45" s="702">
        <f t="shared" si="12"/>
        <v>100</v>
      </c>
      <c r="T45" s="701" t="s">
        <v>14</v>
      </c>
      <c r="U45" s="702">
        <f t="shared" si="13"/>
        <v>100</v>
      </c>
      <c r="V45" s="701" t="s">
        <v>14</v>
      </c>
      <c r="W45" s="702">
        <f t="shared" si="14"/>
        <v>100</v>
      </c>
      <c r="X45" s="703"/>
      <c r="Y45" s="367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69"/>
      <c r="Q46" s="1352">
        <f t="shared" si="11"/>
        <v>111</v>
      </c>
      <c r="R46" s="705" t="s">
        <v>14</v>
      </c>
      <c r="S46" s="706">
        <f t="shared" si="12"/>
        <v>100</v>
      </c>
      <c r="T46" s="705" t="s">
        <v>14</v>
      </c>
      <c r="U46" s="706">
        <f t="shared" si="13"/>
        <v>100</v>
      </c>
      <c r="V46" s="705" t="s">
        <v>14</v>
      </c>
      <c r="W46" s="706">
        <f t="shared" si="14"/>
        <v>100</v>
      </c>
      <c r="X46" s="1355"/>
      <c r="Y46" s="3671"/>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70"/>
      <c r="Q47" s="1352">
        <f t="shared" si="11"/>
        <v>111</v>
      </c>
      <c r="R47" s="705" t="s">
        <v>14</v>
      </c>
      <c r="S47" s="706">
        <f t="shared" si="12"/>
        <v>100</v>
      </c>
      <c r="T47" s="705" t="s">
        <v>14</v>
      </c>
      <c r="U47" s="706">
        <f t="shared" si="13"/>
        <v>100</v>
      </c>
      <c r="V47" s="705" t="s">
        <v>14</v>
      </c>
      <c r="W47" s="706">
        <f t="shared" si="14"/>
        <v>100</v>
      </c>
      <c r="X47" s="1355"/>
      <c r="Y47" s="3672"/>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3"/>
      <c r="M48" s="2715"/>
      <c r="N48" s="2715"/>
      <c r="O48" s="2715"/>
      <c r="P48" s="3675" t="str">
        <f>A48</f>
        <v>成交单价（元/平方米）</v>
      </c>
      <c r="Q48" s="3664"/>
      <c r="R48" s="3665">
        <f>E48</f>
        <v>0</v>
      </c>
      <c r="S48" s="3665"/>
      <c r="T48" s="3665">
        <f>G48</f>
        <v>0</v>
      </c>
      <c r="U48" s="3665"/>
      <c r="V48" s="3665">
        <f>I48</f>
        <v>0</v>
      </c>
      <c r="W48" s="3665"/>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23"/>
      <c r="M49" s="2715"/>
      <c r="N49" s="2715"/>
      <c r="O49" s="2715"/>
      <c r="P49" s="3675" t="str">
        <f>A49</f>
        <v>比较价值（元/平方米）</v>
      </c>
      <c r="Q49" s="3664"/>
      <c r="R49" s="3665" t="e">
        <f>IF(F1="售价",ROUND(PRODUCT(R48,AA7:AA47),0),ROUND(PRODUCT(R48,AA7:AA47),1))</f>
        <v>#DIV/0!</v>
      </c>
      <c r="S49" s="3665"/>
      <c r="T49" s="3665" t="e">
        <f>IF(F1="售价",ROUND(PRODUCT(T48,AB7:AB47),0),ROUND(PRODUCT(T48,AB7:AB47),1))</f>
        <v>#DIV/0!</v>
      </c>
      <c r="U49" s="3665"/>
      <c r="V49" s="3665" t="e">
        <f>IF(F1="售价",ROUND(PRODUCT(V48,AC7:AC47),0),ROUND(PRODUCT(V48,AC7:AC47),1))</f>
        <v>#DIV/0!</v>
      </c>
      <c r="W49" s="3665"/>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3"/>
      <c r="M50" s="2715"/>
      <c r="N50" s="2715"/>
      <c r="O50" s="2715"/>
      <c r="P50" s="3707" t="str">
        <f>A50</f>
        <v>估价对象XX用房的比较价值（楼面单价，元/平方米）</v>
      </c>
      <c r="Q50" s="3708"/>
      <c r="R50" s="3709" t="e">
        <f>IF(F1="售价",ROUND(IF(D49="简单平均",AVERAGE(R49:V49),R49*F49+T49*H49+V49*J49),0),ROUND(IF(D49="简单平均",AVERAGE(R49:V49),R49*F49+T49*H49+V49*J49),1))</f>
        <v>#DIV/0!</v>
      </c>
      <c r="S50" s="3709"/>
      <c r="T50" s="3709"/>
      <c r="U50" s="3709"/>
      <c r="V50" s="3709"/>
      <c r="W50" s="3709"/>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2.2"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4.4">
      <c r="A59" s="454" t="s">
        <v>1679</v>
      </c>
      <c r="B59" s="455"/>
      <c r="C59" s="1184" t="str">
        <f>YEAR(C7)&amp;"-"&amp;MONTH(C7)</f>
        <v>2024-9</v>
      </c>
      <c r="D59" s="1185">
        <f>EDATE(C59,-1)</f>
        <v>45505</v>
      </c>
      <c r="E59" s="1185">
        <f>EDATE(D59,-1)</f>
        <v>45474</v>
      </c>
      <c r="F59" s="1185">
        <f t="shared" ref="F59:O59" si="16">EDATE(E59,-1)</f>
        <v>45444</v>
      </c>
      <c r="G59" s="1185">
        <f t="shared" si="16"/>
        <v>45413</v>
      </c>
      <c r="H59" s="1185">
        <f t="shared" si="16"/>
        <v>45383</v>
      </c>
      <c r="I59" s="1185">
        <f t="shared" si="16"/>
        <v>45352</v>
      </c>
      <c r="J59" s="1185">
        <f t="shared" si="16"/>
        <v>45323</v>
      </c>
      <c r="K59" s="1185">
        <f t="shared" si="16"/>
        <v>45292</v>
      </c>
      <c r="L59" s="1185">
        <f t="shared" si="16"/>
        <v>45261</v>
      </c>
      <c r="M59" s="1185">
        <f t="shared" si="16"/>
        <v>45231</v>
      </c>
      <c r="N59" s="1185">
        <f t="shared" si="16"/>
        <v>45200</v>
      </c>
      <c r="O59" s="1185">
        <f t="shared" si="16"/>
        <v>45170</v>
      </c>
      <c r="P59" s="2758"/>
      <c r="Q59" s="2740"/>
      <c r="R59" s="2740"/>
      <c r="S59" s="2740"/>
      <c r="T59" s="2740"/>
      <c r="U59" s="2740"/>
      <c r="V59" s="2740"/>
      <c r="W59" s="2740"/>
      <c r="X59" s="2740"/>
      <c r="Y59" s="2740"/>
      <c r="Z59" s="2740"/>
      <c r="AA59" s="2740"/>
      <c r="AB59" s="2740"/>
      <c r="AC59" s="2740"/>
    </row>
    <row r="60" spans="1:29" s="108" customFormat="1">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4.4">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4.4"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ht="14.4">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4.4"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9.4"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4.4"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4.4"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4.4"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4.4"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4.4"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4.4"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4.4"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ht="14.4">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9.4"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4.4" thickTop="1">
      <c r="A89" s="528"/>
      <c r="B89" s="487" t="str">
        <f>B27</f>
        <v>楼层</v>
      </c>
      <c r="C89" s="503"/>
      <c r="D89" s="503"/>
      <c r="E89" s="503"/>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4.4"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4.4"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4.4"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4.4"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4.4"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4.4"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4.4"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4.4"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4.4"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ht="14.4">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4.4"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4.4"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4.4"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4.4"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4.4"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4.4"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4.4"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4.4"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195.03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679" t="s">
        <v>1770</v>
      </c>
      <c r="D4" s="3680"/>
      <c r="E4" s="3681" t="s">
        <v>1771</v>
      </c>
      <c r="F4" s="3682"/>
      <c r="G4" s="3679" t="s">
        <v>1772</v>
      </c>
      <c r="H4" s="3680"/>
      <c r="I4" s="3679" t="s">
        <v>1773</v>
      </c>
      <c r="J4" s="3680"/>
      <c r="K4" s="559" t="s">
        <v>1774</v>
      </c>
      <c r="L4" s="913"/>
      <c r="M4" s="914"/>
      <c r="N4" s="914"/>
      <c r="O4" s="914"/>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29">
      <c r="A5" s="358"/>
      <c r="B5" s="359"/>
      <c r="C5" s="3698" t="s">
        <v>1673</v>
      </c>
      <c r="D5" s="3699"/>
      <c r="E5" s="3705" t="s">
        <v>1674</v>
      </c>
      <c r="F5" s="3706"/>
      <c r="G5" s="3698" t="s">
        <v>1675</v>
      </c>
      <c r="H5" s="3699"/>
      <c r="I5" s="3698" t="s">
        <v>1676</v>
      </c>
      <c r="J5" s="3699"/>
      <c r="K5" s="559"/>
      <c r="L5" s="913"/>
      <c r="M5" s="914"/>
      <c r="N5" s="914"/>
      <c r="O5" s="914"/>
      <c r="P5" s="3685"/>
      <c r="Q5" s="3686"/>
      <c r="R5" s="3691"/>
      <c r="S5" s="3692"/>
      <c r="T5" s="3691"/>
      <c r="U5" s="3692"/>
      <c r="V5" s="3695"/>
      <c r="W5" s="3695"/>
      <c r="X5" s="1355"/>
      <c r="Y5" s="3691"/>
      <c r="Z5" s="3692"/>
      <c r="AA5" s="3677"/>
      <c r="AB5" s="3677"/>
      <c r="AC5" s="3677"/>
    </row>
    <row r="6" spans="1:29" ht="15" thickBot="1">
      <c r="A6" s="360"/>
      <c r="B6" s="361"/>
      <c r="C6" s="3696" t="s">
        <v>1677</v>
      </c>
      <c r="D6" s="3697"/>
      <c r="E6" s="3703" t="s">
        <v>1677</v>
      </c>
      <c r="F6" s="3704"/>
      <c r="G6" s="3696" t="s">
        <v>1677</v>
      </c>
      <c r="H6" s="3697"/>
      <c r="I6" s="3696" t="s">
        <v>1677</v>
      </c>
      <c r="J6" s="3697"/>
      <c r="K6" s="559" t="s">
        <v>1678</v>
      </c>
      <c r="L6" s="913"/>
      <c r="M6" s="914"/>
      <c r="N6" s="914"/>
      <c r="O6" s="914"/>
      <c r="P6" s="3687"/>
      <c r="Q6" s="3688"/>
      <c r="R6" s="3691"/>
      <c r="S6" s="3692"/>
      <c r="T6" s="3693"/>
      <c r="U6" s="3694"/>
      <c r="V6" s="3695"/>
      <c r="W6" s="3695"/>
      <c r="X6" s="1355"/>
      <c r="Y6" s="3693"/>
      <c r="Z6" s="3694"/>
      <c r="AA6" s="3678"/>
      <c r="AB6" s="3678"/>
      <c r="AC6" s="3678"/>
    </row>
    <row r="7" spans="1:29" s="108" customFormat="1" ht="15" thickBot="1">
      <c r="A7" s="362" t="s">
        <v>1679</v>
      </c>
      <c r="B7" s="363"/>
      <c r="C7" s="364">
        <f>'数据-取费表'!B2</f>
        <v>45539</v>
      </c>
      <c r="D7" s="365">
        <v>100</v>
      </c>
      <c r="E7" s="366"/>
      <c r="F7" s="367">
        <f>SUMIF(52:52,YEAR(E7)&amp;"-"&amp;MONTH(E7),53:53)</f>
        <v>0</v>
      </c>
      <c r="G7" s="366"/>
      <c r="H7" s="365">
        <f>SUMIF(52:52,YEAR(G7)&amp;"-"&amp;MONTH(G7),53:53)</f>
        <v>0</v>
      </c>
      <c r="I7" s="366"/>
      <c r="J7" s="365">
        <f>SUMIF(52:52,YEAR(I7)&amp;"-"&amp;MONTH(I7),53:53)</f>
        <v>0</v>
      </c>
      <c r="K7" s="560"/>
      <c r="L7" s="915"/>
      <c r="M7" s="916"/>
      <c r="N7" s="916"/>
      <c r="O7" s="916"/>
      <c r="P7" s="370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0" t="s">
        <v>1683</v>
      </c>
      <c r="Q8" s="3701"/>
      <c r="R8" s="701" t="s">
        <v>14</v>
      </c>
      <c r="S8" s="702">
        <f t="shared" si="0"/>
        <v>100</v>
      </c>
      <c r="T8" s="701" t="s">
        <v>14</v>
      </c>
      <c r="U8" s="702">
        <f t="shared" si="1"/>
        <v>100</v>
      </c>
      <c r="V8" s="701" t="s">
        <v>14</v>
      </c>
      <c r="W8" s="702">
        <f t="shared" si="2"/>
        <v>100</v>
      </c>
      <c r="X8" s="703"/>
      <c r="Y8" s="3700" t="s">
        <v>1683</v>
      </c>
      <c r="Z8" s="3701"/>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4"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29" s="378" customFormat="1" ht="28.8">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64"/>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4"/>
      <c r="Q11" s="1343" t="str">
        <f t="shared" si="6"/>
        <v>容积率</v>
      </c>
      <c r="R11" s="701" t="s">
        <v>14</v>
      </c>
      <c r="S11" s="702">
        <f t="shared" si="0"/>
        <v>100</v>
      </c>
      <c r="T11" s="701" t="s">
        <v>14</v>
      </c>
      <c r="U11" s="702">
        <f t="shared" si="1"/>
        <v>100</v>
      </c>
      <c r="V11" s="701" t="s">
        <v>14</v>
      </c>
      <c r="W11" s="702">
        <f t="shared" si="2"/>
        <v>100</v>
      </c>
      <c r="X11" s="703"/>
      <c r="Y11" s="353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4"/>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4"/>
      <c r="Q14" s="1343">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6" t="s">
        <v>1691</v>
      </c>
      <c r="Q15" s="1352" t="str">
        <f t="shared" si="6"/>
        <v>产业集聚程度</v>
      </c>
      <c r="R15" s="705" t="s">
        <v>14</v>
      </c>
      <c r="S15" s="706">
        <f t="shared" si="0"/>
        <v>100</v>
      </c>
      <c r="T15" s="705" t="s">
        <v>14</v>
      </c>
      <c r="U15" s="706">
        <f t="shared" si="1"/>
        <v>100</v>
      </c>
      <c r="V15" s="705" t="s">
        <v>14</v>
      </c>
      <c r="W15" s="706">
        <f t="shared" si="2"/>
        <v>100</v>
      </c>
      <c r="X15" s="1355"/>
      <c r="Y15" s="3666"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7"/>
      <c r="Q16" s="1352"/>
      <c r="R16" s="705"/>
      <c r="S16" s="706"/>
      <c r="T16" s="705"/>
      <c r="U16" s="706"/>
      <c r="V16" s="705"/>
      <c r="W16" s="706"/>
      <c r="X16" s="1355"/>
      <c r="Y16" s="3667"/>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7"/>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7"/>
      <c r="Q18" s="1352"/>
      <c r="R18" s="705"/>
      <c r="S18" s="706"/>
      <c r="T18" s="705"/>
      <c r="U18" s="706"/>
      <c r="V18" s="705"/>
      <c r="W18" s="706"/>
      <c r="X18" s="1355"/>
      <c r="Y18" s="3667"/>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7"/>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7"/>
      <c r="Q20" s="1352"/>
      <c r="R20" s="705"/>
      <c r="S20" s="706"/>
      <c r="T20" s="705"/>
      <c r="U20" s="706"/>
      <c r="V20" s="705"/>
      <c r="W20" s="706"/>
      <c r="X20" s="1355"/>
      <c r="Y20" s="3667"/>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7"/>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7"/>
      <c r="Q22" s="1352"/>
      <c r="R22" s="705"/>
      <c r="S22" s="706"/>
      <c r="T22" s="705"/>
      <c r="U22" s="706"/>
      <c r="V22" s="705"/>
      <c r="W22" s="706"/>
      <c r="X22" s="1355"/>
      <c r="Y22" s="3667"/>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7"/>
      <c r="Q23" s="1352" t="str">
        <f>B23</f>
        <v>环境质量</v>
      </c>
      <c r="R23" s="705" t="s">
        <v>14</v>
      </c>
      <c r="S23" s="706">
        <f>F23</f>
        <v>100</v>
      </c>
      <c r="T23" s="705" t="s">
        <v>14</v>
      </c>
      <c r="U23" s="706">
        <f>H23</f>
        <v>100</v>
      </c>
      <c r="V23" s="705" t="s">
        <v>14</v>
      </c>
      <c r="W23" s="706">
        <f>J23</f>
        <v>100</v>
      </c>
      <c r="X23" s="1355"/>
      <c r="Y23" s="366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7"/>
      <c r="Q24" s="1352"/>
      <c r="R24" s="705"/>
      <c r="S24" s="706"/>
      <c r="T24" s="705"/>
      <c r="U24" s="706"/>
      <c r="V24" s="705"/>
      <c r="W24" s="706"/>
      <c r="X24" s="1355"/>
      <c r="Y24" s="366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7"/>
      <c r="Q25" s="1352">
        <f>B25</f>
        <v>111</v>
      </c>
      <c r="R25" s="705" t="s">
        <v>14</v>
      </c>
      <c r="S25" s="706">
        <f>F25</f>
        <v>100</v>
      </c>
      <c r="T25" s="705" t="s">
        <v>14</v>
      </c>
      <c r="U25" s="706">
        <f>H25</f>
        <v>100</v>
      </c>
      <c r="V25" s="705" t="s">
        <v>14</v>
      </c>
      <c r="W25" s="706">
        <f>J25</f>
        <v>100</v>
      </c>
      <c r="X25" s="1355"/>
      <c r="Y25" s="366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7"/>
      <c r="Q26" s="1352">
        <f t="shared" ref="Q26:Q40" si="11">B26</f>
        <v>111</v>
      </c>
      <c r="R26" s="705" t="s">
        <v>14</v>
      </c>
      <c r="S26" s="706">
        <f>F26</f>
        <v>100</v>
      </c>
      <c r="T26" s="705" t="s">
        <v>14</v>
      </c>
      <c r="U26" s="706">
        <f>H26</f>
        <v>100</v>
      </c>
      <c r="V26" s="705" t="s">
        <v>14</v>
      </c>
      <c r="W26" s="706">
        <f>J26</f>
        <v>100</v>
      </c>
      <c r="X26" s="1355"/>
      <c r="Y26" s="366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7"/>
      <c r="Q27" s="1343">
        <f t="shared" si="11"/>
        <v>111</v>
      </c>
      <c r="R27" s="701" t="s">
        <v>14</v>
      </c>
      <c r="S27" s="702">
        <f>F27</f>
        <v>100</v>
      </c>
      <c r="T27" s="701" t="s">
        <v>14</v>
      </c>
      <c r="U27" s="702">
        <f>H27</f>
        <v>100</v>
      </c>
      <c r="V27" s="701" t="s">
        <v>14</v>
      </c>
      <c r="W27" s="702">
        <f>J27</f>
        <v>100</v>
      </c>
      <c r="X27" s="703"/>
      <c r="Y27" s="3667"/>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7"/>
      <c r="Q28" s="1352">
        <f t="shared" si="11"/>
        <v>111</v>
      </c>
      <c r="R28" s="705" t="s">
        <v>14</v>
      </c>
      <c r="S28" s="706">
        <f t="shared" ref="S28:S40" si="12">F28</f>
        <v>100</v>
      </c>
      <c r="T28" s="705" t="s">
        <v>14</v>
      </c>
      <c r="U28" s="706">
        <f t="shared" ref="U28:U40" si="13">H28</f>
        <v>100</v>
      </c>
      <c r="V28" s="705" t="s">
        <v>14</v>
      </c>
      <c r="W28" s="706">
        <f t="shared" ref="W28:W40" si="14">J28</f>
        <v>100</v>
      </c>
      <c r="X28" s="1355"/>
      <c r="Y28" s="3667"/>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2" t="s">
        <v>1696</v>
      </c>
      <c r="Q29" s="1352" t="str">
        <f t="shared" si="11"/>
        <v>建筑类型</v>
      </c>
      <c r="R29" s="705" t="s">
        <v>14</v>
      </c>
      <c r="S29" s="706">
        <f t="shared" si="12"/>
        <v>100</v>
      </c>
      <c r="T29" s="705" t="s">
        <v>14</v>
      </c>
      <c r="U29" s="706">
        <f t="shared" si="13"/>
        <v>100</v>
      </c>
      <c r="V29" s="705" t="s">
        <v>14</v>
      </c>
      <c r="W29" s="706">
        <f t="shared" si="14"/>
        <v>100</v>
      </c>
      <c r="X29" s="1355"/>
      <c r="Y29" s="3671"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1"/>
      <c r="Q30" s="707" t="str">
        <f t="shared" si="11"/>
        <v>项目建筑规模</v>
      </c>
      <c r="R30" s="708" t="s">
        <v>14</v>
      </c>
      <c r="S30" s="709" t="e">
        <f t="shared" si="12"/>
        <v>#N/A</v>
      </c>
      <c r="T30" s="708" t="s">
        <v>14</v>
      </c>
      <c r="U30" s="709" t="e">
        <f t="shared" si="13"/>
        <v>#N/A</v>
      </c>
      <c r="V30" s="708" t="s">
        <v>14</v>
      </c>
      <c r="W30" s="709" t="e">
        <f t="shared" si="14"/>
        <v>#N/A</v>
      </c>
      <c r="X30" s="710"/>
      <c r="Y30" s="3671"/>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1"/>
      <c r="Q31" s="1352" t="str">
        <f t="shared" si="11"/>
        <v>建筑结构</v>
      </c>
      <c r="R31" s="705" t="s">
        <v>14</v>
      </c>
      <c r="S31" s="706">
        <f t="shared" si="12"/>
        <v>100</v>
      </c>
      <c r="T31" s="705" t="s">
        <v>14</v>
      </c>
      <c r="U31" s="706">
        <f t="shared" si="13"/>
        <v>100</v>
      </c>
      <c r="V31" s="705" t="s">
        <v>14</v>
      </c>
      <c r="W31" s="706">
        <f t="shared" si="14"/>
        <v>100</v>
      </c>
      <c r="X31" s="1355"/>
      <c r="Y31" s="3671"/>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1"/>
      <c r="Q32" s="1352" t="str">
        <f t="shared" si="11"/>
        <v>公共部分装修</v>
      </c>
      <c r="R32" s="705" t="s">
        <v>14</v>
      </c>
      <c r="S32" s="706">
        <f t="shared" si="12"/>
        <v>100</v>
      </c>
      <c r="T32" s="705" t="s">
        <v>14</v>
      </c>
      <c r="U32" s="706">
        <f t="shared" si="13"/>
        <v>100</v>
      </c>
      <c r="V32" s="705" t="s">
        <v>14</v>
      </c>
      <c r="W32" s="706">
        <f t="shared" si="14"/>
        <v>100</v>
      </c>
      <c r="X32" s="1355"/>
      <c r="Y32" s="3671"/>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1"/>
      <c r="Q33" s="1352" t="str">
        <f t="shared" si="11"/>
        <v>成新度</v>
      </c>
      <c r="R33" s="705" t="s">
        <v>14</v>
      </c>
      <c r="S33" s="706" t="e">
        <f t="shared" si="12"/>
        <v>#N/A</v>
      </c>
      <c r="T33" s="705" t="s">
        <v>14</v>
      </c>
      <c r="U33" s="706" t="e">
        <f t="shared" si="13"/>
        <v>#N/A</v>
      </c>
      <c r="V33" s="705" t="s">
        <v>14</v>
      </c>
      <c r="W33" s="706" t="e">
        <f t="shared" si="14"/>
        <v>#N/A</v>
      </c>
      <c r="X33" s="1355"/>
      <c r="Y33" s="3671"/>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1"/>
      <c r="Q34" s="1343" t="str">
        <f t="shared" si="11"/>
        <v>物业管理</v>
      </c>
      <c r="R34" s="701" t="s">
        <v>14</v>
      </c>
      <c r="S34" s="702">
        <f t="shared" si="12"/>
        <v>100</v>
      </c>
      <c r="T34" s="701" t="s">
        <v>14</v>
      </c>
      <c r="U34" s="702">
        <f t="shared" si="13"/>
        <v>100</v>
      </c>
      <c r="V34" s="701" t="s">
        <v>14</v>
      </c>
      <c r="W34" s="702">
        <f t="shared" si="14"/>
        <v>100</v>
      </c>
      <c r="X34" s="703"/>
      <c r="Y34" s="367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1" t="s">
        <v>1696</v>
      </c>
      <c r="Q35" s="1352" t="str">
        <f t="shared" si="11"/>
        <v>市政基础设施</v>
      </c>
      <c r="R35" s="705" t="s">
        <v>14</v>
      </c>
      <c r="S35" s="706">
        <f t="shared" si="12"/>
        <v>100</v>
      </c>
      <c r="T35" s="705" t="s">
        <v>14</v>
      </c>
      <c r="U35" s="706">
        <f t="shared" si="13"/>
        <v>100</v>
      </c>
      <c r="V35" s="705" t="s">
        <v>14</v>
      </c>
      <c r="W35" s="706">
        <f t="shared" si="14"/>
        <v>100</v>
      </c>
      <c r="X35" s="1355"/>
      <c r="Y35" s="3671"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1"/>
      <c r="Q36" s="1352" t="str">
        <f t="shared" si="11"/>
        <v>内部装修</v>
      </c>
      <c r="R36" s="705" t="s">
        <v>14</v>
      </c>
      <c r="S36" s="706">
        <f t="shared" si="12"/>
        <v>100</v>
      </c>
      <c r="T36" s="705" t="s">
        <v>14</v>
      </c>
      <c r="U36" s="706">
        <f t="shared" si="13"/>
        <v>100</v>
      </c>
      <c r="V36" s="705" t="s">
        <v>14</v>
      </c>
      <c r="W36" s="706">
        <f t="shared" si="14"/>
        <v>100</v>
      </c>
      <c r="X36" s="1355"/>
      <c r="Y36" s="3671"/>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1"/>
      <c r="Q37" s="1352" t="str">
        <f t="shared" si="11"/>
        <v>内部装修状况</v>
      </c>
      <c r="R37" s="705" t="s">
        <v>14</v>
      </c>
      <c r="S37" s="706">
        <f t="shared" si="12"/>
        <v>100</v>
      </c>
      <c r="T37" s="705" t="s">
        <v>14</v>
      </c>
      <c r="U37" s="706">
        <f t="shared" si="13"/>
        <v>100</v>
      </c>
      <c r="V37" s="705" t="s">
        <v>14</v>
      </c>
      <c r="W37" s="706">
        <f t="shared" si="14"/>
        <v>100</v>
      </c>
      <c r="X37" s="1355"/>
      <c r="Y37" s="367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1"/>
      <c r="Q38" s="707">
        <f t="shared" si="11"/>
        <v>111</v>
      </c>
      <c r="R38" s="708" t="s">
        <v>14</v>
      </c>
      <c r="S38" s="709">
        <f t="shared" si="12"/>
        <v>100</v>
      </c>
      <c r="T38" s="708" t="s">
        <v>14</v>
      </c>
      <c r="U38" s="709">
        <f t="shared" si="13"/>
        <v>100</v>
      </c>
      <c r="V38" s="708" t="s">
        <v>14</v>
      </c>
      <c r="W38" s="709">
        <f t="shared" si="14"/>
        <v>100</v>
      </c>
      <c r="X38" s="710"/>
      <c r="Y38" s="367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1"/>
      <c r="Q39" s="1352">
        <f t="shared" si="11"/>
        <v>111</v>
      </c>
      <c r="R39" s="705" t="s">
        <v>14</v>
      </c>
      <c r="S39" s="706">
        <f t="shared" si="12"/>
        <v>100</v>
      </c>
      <c r="T39" s="705" t="s">
        <v>14</v>
      </c>
      <c r="U39" s="706">
        <f t="shared" si="13"/>
        <v>100</v>
      </c>
      <c r="V39" s="705" t="s">
        <v>14</v>
      </c>
      <c r="W39" s="706">
        <f t="shared" si="14"/>
        <v>100</v>
      </c>
      <c r="X39" s="1355"/>
      <c r="Y39" s="3671"/>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2"/>
      <c r="Q40" s="1352">
        <f t="shared" si="11"/>
        <v>111</v>
      </c>
      <c r="R40" s="705" t="s">
        <v>14</v>
      </c>
      <c r="S40" s="706">
        <f t="shared" si="12"/>
        <v>100</v>
      </c>
      <c r="T40" s="705" t="s">
        <v>14</v>
      </c>
      <c r="U40" s="706">
        <f t="shared" si="13"/>
        <v>100</v>
      </c>
      <c r="V40" s="705" t="s">
        <v>14</v>
      </c>
      <c r="W40" s="706">
        <f t="shared" si="14"/>
        <v>100</v>
      </c>
      <c r="X40" s="1355"/>
      <c r="Y40" s="3672"/>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664" t="str">
        <f>A41</f>
        <v>成交单价（元/平方米）</v>
      </c>
      <c r="Q41" s="3664"/>
      <c r="R41" s="3665">
        <f>E41</f>
        <v>0</v>
      </c>
      <c r="S41" s="3665"/>
      <c r="T41" s="3665">
        <f>G41</f>
        <v>0</v>
      </c>
      <c r="U41" s="3665"/>
      <c r="V41" s="3665">
        <f>I41</f>
        <v>0</v>
      </c>
      <c r="W41" s="3665"/>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4" t="str">
        <f>A42</f>
        <v>比较价值（元/平方米）</v>
      </c>
      <c r="Q42" s="3664"/>
      <c r="R42" s="3665" t="e">
        <f>IF(F1="售价",ROUND(PRODUCT(R41,AA7:AA40),0),ROUND(PRODUCT(R41,AA7:AA40),1))</f>
        <v>#DIV/0!</v>
      </c>
      <c r="S42" s="3665"/>
      <c r="T42" s="3665" t="e">
        <f>IF(F1="售价",ROUND(PRODUCT(T41,AB7:AB40),0),ROUND(PRODUCT(T41,AB7:AB40),1))</f>
        <v>#DIV/0!</v>
      </c>
      <c r="U42" s="3665"/>
      <c r="V42" s="3665" t="e">
        <f>IF(F1="售价",ROUND(PRODUCT(V41,AC7:AC40),0),ROUND(PRODUCT(V41,AC7:AC40),1))</f>
        <v>#DIV/0!</v>
      </c>
      <c r="W42" s="3665"/>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661" t="str">
        <f>A43</f>
        <v>估价对象XX用房的比较价值（楼面单价，元/平方米）</v>
      </c>
      <c r="Q43" s="3662"/>
      <c r="R43" s="3663" t="e">
        <f>IF(F1="售价",ROUND(IF(D42="简单平均",AVERAGE(R42:V42),R42*F42+T42*H42+V42*J42),0),ROUND(IF(D42="简单平均",AVERAGE(R42:V42),R42*F42+T42*H42+V42*J42),1))</f>
        <v>#DIV/0!</v>
      </c>
      <c r="S43" s="3663"/>
      <c r="T43" s="3663"/>
      <c r="U43" s="3663"/>
      <c r="V43" s="3663"/>
      <c r="W43" s="3663"/>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2024-9</v>
      </c>
      <c r="D52" s="1185">
        <f>EDATE(C52,-1)</f>
        <v>45505</v>
      </c>
      <c r="E52" s="1185">
        <f t="shared" ref="E52:O52" si="16">EDATE(D52,-1)</f>
        <v>45474</v>
      </c>
      <c r="F52" s="1185">
        <f t="shared" si="16"/>
        <v>45444</v>
      </c>
      <c r="G52" s="1185">
        <f t="shared" si="16"/>
        <v>45413</v>
      </c>
      <c r="H52" s="1185">
        <f t="shared" si="16"/>
        <v>45383</v>
      </c>
      <c r="I52" s="1185">
        <f t="shared" si="16"/>
        <v>45352</v>
      </c>
      <c r="J52" s="1185">
        <f t="shared" si="16"/>
        <v>45323</v>
      </c>
      <c r="K52" s="1185">
        <f t="shared" si="16"/>
        <v>45292</v>
      </c>
      <c r="L52" s="1185">
        <f t="shared" si="16"/>
        <v>45261</v>
      </c>
      <c r="M52" s="1185">
        <f t="shared" si="16"/>
        <v>45231</v>
      </c>
      <c r="N52" s="1185">
        <f t="shared" si="16"/>
        <v>45200</v>
      </c>
      <c r="O52" s="1185">
        <f t="shared" si="16"/>
        <v>45170</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69"/>
      <c r="O54" s="2770"/>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34.799999999999997">
      <c r="A4" s="1480" t="str">
        <f>"受贵公司委托，我公司对"&amp;项目基本情况!S1&amp;"进行了预评估。"</f>
        <v>受贵公司委托，我公司对北京市东城区南竹杆胡同2号房地产抵押价值进行了预评估。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估价对象为北京市东城区南竹杆胡同2号房地产，为国建华所有。根据《国有土地使用证》[]，估价对象（分摊）出让国有建设用地使用权面积为0平方米，建筑面积为195.03平方米。</v>
      </c>
    </row>
    <row r="8" spans="1:1" ht="54.6">
      <c r="A8" s="1483" t="s">
        <v>901</v>
      </c>
    </row>
    <row r="9" spans="1:1" ht="17.399999999999999">
      <c r="A9" s="1482" t="s">
        <v>902</v>
      </c>
    </row>
    <row r="10" spans="1:1" ht="69.59999999999999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南竹杆胡同2号房地产,属国建华开发建设的办公项目，该项目尚在开发建设中。根据《国有土地使用证》[]，估价对象（分摊）出让国有建设用地使用权面积为0平方米，规划建筑面积为195.03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拟使用北京市东城区南竹杆胡同2号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5" t="s">
        <v>905</v>
      </c>
    </row>
    <row r="15" spans="1:1" ht="17.399999999999999">
      <c r="A15" s="1486" t="str">
        <f>TEXT(项目基本情况!D3,"yyyy年m月d日;;")&amp;IF(项目基本情况!D3=项目基本情况!B3,"（评估专业人员实地查勘之日）","")</f>
        <v>2024年9月4日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5" t="s">
        <v>896</v>
      </c>
    </row>
    <row r="24" spans="1:1" ht="17.399999999999999">
      <c r="A24" s="1487" t="str">
        <f>"本次评估采用的主估价方法为"&amp;结果表!K4&amp;"和"&amp;结果表!L4&amp;"。"</f>
        <v>本次评估采用的主估价方法为基准地价系数修正法和基准地价系数修正法。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3335</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4.4">
      <c r="A4" s="355" t="s">
        <v>1769</v>
      </c>
      <c r="B4" s="356"/>
      <c r="C4" s="3679" t="s">
        <v>1770</v>
      </c>
      <c r="D4" s="3680"/>
      <c r="E4" s="3681" t="s">
        <v>1771</v>
      </c>
      <c r="F4" s="3682"/>
      <c r="G4" s="3679" t="s">
        <v>1772</v>
      </c>
      <c r="H4" s="3680"/>
      <c r="I4" s="3679" t="s">
        <v>1773</v>
      </c>
      <c r="J4" s="3680"/>
      <c r="K4" s="559" t="s">
        <v>1774</v>
      </c>
      <c r="L4" s="2714"/>
      <c r="M4" s="2715"/>
      <c r="N4" s="2715"/>
      <c r="O4" s="2715"/>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29">
      <c r="A5" s="358"/>
      <c r="B5" s="359"/>
      <c r="C5" s="3698" t="s">
        <v>1673</v>
      </c>
      <c r="D5" s="3699"/>
      <c r="E5" s="3705" t="s">
        <v>1674</v>
      </c>
      <c r="F5" s="3706"/>
      <c r="G5" s="3698" t="s">
        <v>1675</v>
      </c>
      <c r="H5" s="3699"/>
      <c r="I5" s="3698" t="s">
        <v>1676</v>
      </c>
      <c r="J5" s="3699"/>
      <c r="K5" s="559"/>
      <c r="L5" s="2714"/>
      <c r="M5" s="2715"/>
      <c r="N5" s="2715"/>
      <c r="O5" s="2715"/>
      <c r="P5" s="3685"/>
      <c r="Q5" s="3686"/>
      <c r="R5" s="3691"/>
      <c r="S5" s="3692"/>
      <c r="T5" s="3691"/>
      <c r="U5" s="3692"/>
      <c r="V5" s="3695"/>
      <c r="W5" s="3695"/>
      <c r="X5" s="1355"/>
      <c r="Y5" s="3691"/>
      <c r="Z5" s="3692"/>
      <c r="AA5" s="3677"/>
      <c r="AB5" s="3677"/>
      <c r="AC5" s="3677"/>
    </row>
    <row r="6" spans="1:29" ht="15" thickBot="1">
      <c r="A6" s="360"/>
      <c r="B6" s="361"/>
      <c r="C6" s="3696" t="s">
        <v>1677</v>
      </c>
      <c r="D6" s="3697"/>
      <c r="E6" s="3703" t="s">
        <v>1677</v>
      </c>
      <c r="F6" s="3704"/>
      <c r="G6" s="3696" t="s">
        <v>1677</v>
      </c>
      <c r="H6" s="3697"/>
      <c r="I6" s="3696" t="s">
        <v>1677</v>
      </c>
      <c r="J6" s="3697"/>
      <c r="K6" s="559" t="s">
        <v>1678</v>
      </c>
      <c r="L6" s="2714"/>
      <c r="M6" s="2715"/>
      <c r="N6" s="2715"/>
      <c r="O6" s="2715"/>
      <c r="P6" s="3687"/>
      <c r="Q6" s="3688"/>
      <c r="R6" s="3691"/>
      <c r="S6" s="3692"/>
      <c r="T6" s="3693"/>
      <c r="U6" s="3694"/>
      <c r="V6" s="3695"/>
      <c r="W6" s="3695"/>
      <c r="X6" s="1355"/>
      <c r="Y6" s="3693"/>
      <c r="Z6" s="3694"/>
      <c r="AA6" s="3678"/>
      <c r="AB6" s="3678"/>
      <c r="AC6" s="3678"/>
    </row>
    <row r="7" spans="1:29" s="108" customFormat="1" ht="15" thickBot="1">
      <c r="A7" s="362" t="s">
        <v>1679</v>
      </c>
      <c r="B7" s="363"/>
      <c r="C7" s="364">
        <f>'数据-取费表'!B2</f>
        <v>45539</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00" t="s">
        <v>1680</v>
      </c>
      <c r="Q7" s="3702"/>
      <c r="R7" s="701" t="s">
        <v>14</v>
      </c>
      <c r="S7" s="702">
        <f t="shared" ref="S7:S14" si="0">F7</f>
        <v>0</v>
      </c>
      <c r="T7" s="701" t="s">
        <v>14</v>
      </c>
      <c r="U7" s="702">
        <f t="shared" ref="U7:U14" si="1">H7</f>
        <v>0</v>
      </c>
      <c r="V7" s="701" t="s">
        <v>14</v>
      </c>
      <c r="W7" s="702">
        <f t="shared" ref="W7:W14" si="2">J7</f>
        <v>0</v>
      </c>
      <c r="X7" s="703"/>
      <c r="Y7" s="3700" t="s">
        <v>1680</v>
      </c>
      <c r="Z7" s="3701"/>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00" t="s">
        <v>1683</v>
      </c>
      <c r="Q8" s="3701"/>
      <c r="R8" s="701" t="s">
        <v>14</v>
      </c>
      <c r="S8" s="702">
        <f t="shared" si="0"/>
        <v>100</v>
      </c>
      <c r="T8" s="701" t="s">
        <v>14</v>
      </c>
      <c r="U8" s="702">
        <f t="shared" si="1"/>
        <v>100</v>
      </c>
      <c r="V8" s="701" t="s">
        <v>14</v>
      </c>
      <c r="W8" s="702">
        <f t="shared" si="2"/>
        <v>100</v>
      </c>
      <c r="X8" s="703"/>
      <c r="Y8" s="3700" t="s">
        <v>1683</v>
      </c>
      <c r="Z8" s="3701"/>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64" t="s">
        <v>1686</v>
      </c>
      <c r="Q9" s="1343" t="str">
        <f t="shared" ref="Q9:Q14" si="6">B9</f>
        <v>用途</v>
      </c>
      <c r="R9" s="701" t="s">
        <v>14</v>
      </c>
      <c r="S9" s="702">
        <f t="shared" si="0"/>
        <v>100</v>
      </c>
      <c r="T9" s="701" t="s">
        <v>14</v>
      </c>
      <c r="U9" s="702">
        <f t="shared" si="1"/>
        <v>100</v>
      </c>
      <c r="V9" s="701" t="s">
        <v>14</v>
      </c>
      <c r="W9" s="702">
        <f t="shared" si="2"/>
        <v>100</v>
      </c>
      <c r="X9" s="703"/>
      <c r="Y9" s="3539" t="s">
        <v>1687</v>
      </c>
      <c r="Z9" s="52" t="str">
        <f t="shared" ref="Z9:Z14" si="7">Q9</f>
        <v>用途</v>
      </c>
      <c r="AA9" s="704">
        <f t="shared" si="3"/>
        <v>1</v>
      </c>
      <c r="AB9" s="704">
        <f t="shared" si="4"/>
        <v>1</v>
      </c>
      <c r="AC9" s="704">
        <f t="shared" si="5"/>
        <v>1</v>
      </c>
    </row>
    <row r="10" spans="1:29" s="378" customFormat="1" ht="28.8">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64"/>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64"/>
      <c r="Q11" s="1343">
        <f t="shared" si="6"/>
        <v>111</v>
      </c>
      <c r="R11" s="701" t="s">
        <v>14</v>
      </c>
      <c r="S11" s="702">
        <f t="shared" si="0"/>
        <v>100</v>
      </c>
      <c r="T11" s="701" t="s">
        <v>14</v>
      </c>
      <c r="U11" s="702">
        <f t="shared" si="1"/>
        <v>100</v>
      </c>
      <c r="V11" s="701" t="s">
        <v>14</v>
      </c>
      <c r="W11" s="702">
        <f t="shared" si="2"/>
        <v>100</v>
      </c>
      <c r="X11" s="703"/>
      <c r="Y11" s="353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64"/>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66" t="s">
        <v>1691</v>
      </c>
      <c r="Q14" s="1352" t="str">
        <f t="shared" si="6"/>
        <v>交通便捷度</v>
      </c>
      <c r="R14" s="705" t="s">
        <v>14</v>
      </c>
      <c r="S14" s="706">
        <f t="shared" si="0"/>
        <v>100</v>
      </c>
      <c r="T14" s="705" t="s">
        <v>14</v>
      </c>
      <c r="U14" s="706">
        <f t="shared" si="1"/>
        <v>100</v>
      </c>
      <c r="V14" s="705" t="s">
        <v>14</v>
      </c>
      <c r="W14" s="706">
        <f t="shared" si="2"/>
        <v>100</v>
      </c>
      <c r="X14" s="1355"/>
      <c r="Y14" s="366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667"/>
      <c r="Q15" s="1352"/>
      <c r="R15" s="705"/>
      <c r="S15" s="706"/>
      <c r="T15" s="705"/>
      <c r="U15" s="706"/>
      <c r="V15" s="705"/>
      <c r="W15" s="706"/>
      <c r="X15" s="1355"/>
      <c r="Y15" s="3667"/>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67"/>
      <c r="Q16" s="1352" t="str">
        <f>B16</f>
        <v>公共配套设施</v>
      </c>
      <c r="R16" s="705" t="s">
        <v>14</v>
      </c>
      <c r="S16" s="706">
        <f>F16</f>
        <v>100</v>
      </c>
      <c r="T16" s="705" t="s">
        <v>14</v>
      </c>
      <c r="U16" s="706">
        <f>H16</f>
        <v>100</v>
      </c>
      <c r="V16" s="705" t="s">
        <v>14</v>
      </c>
      <c r="W16" s="706">
        <f>J16</f>
        <v>100</v>
      </c>
      <c r="X16" s="1355"/>
      <c r="Y16" s="366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667"/>
      <c r="Q17" s="1352"/>
      <c r="R17" s="705"/>
      <c r="S17" s="706"/>
      <c r="T17" s="705"/>
      <c r="U17" s="706"/>
      <c r="V17" s="705"/>
      <c r="W17" s="706"/>
      <c r="X17" s="1355"/>
      <c r="Y17" s="3667"/>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67"/>
      <c r="Q18" s="1352" t="str">
        <f>B18</f>
        <v>基础设施水平</v>
      </c>
      <c r="R18" s="705" t="s">
        <v>14</v>
      </c>
      <c r="S18" s="706">
        <f>F18</f>
        <v>100</v>
      </c>
      <c r="T18" s="705" t="s">
        <v>14</v>
      </c>
      <c r="U18" s="706">
        <f>H18</f>
        <v>100</v>
      </c>
      <c r="V18" s="705" t="s">
        <v>14</v>
      </c>
      <c r="W18" s="706">
        <f>J18</f>
        <v>100</v>
      </c>
      <c r="X18" s="1355"/>
      <c r="Y18" s="366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667"/>
      <c r="Q19" s="1352"/>
      <c r="R19" s="705"/>
      <c r="S19" s="706"/>
      <c r="T19" s="705"/>
      <c r="U19" s="706"/>
      <c r="V19" s="705"/>
      <c r="W19" s="706"/>
      <c r="X19" s="1355"/>
      <c r="Y19" s="3667"/>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67"/>
      <c r="Q20" s="1352" t="str">
        <f>B20</f>
        <v>自然及人文环境</v>
      </c>
      <c r="R20" s="705" t="s">
        <v>14</v>
      </c>
      <c r="S20" s="706">
        <f>F20</f>
        <v>100</v>
      </c>
      <c r="T20" s="705" t="s">
        <v>14</v>
      </c>
      <c r="U20" s="706">
        <f>H20</f>
        <v>100</v>
      </c>
      <c r="V20" s="705" t="s">
        <v>14</v>
      </c>
      <c r="W20" s="706">
        <f>J20</f>
        <v>100</v>
      </c>
      <c r="X20" s="1355"/>
      <c r="Y20" s="366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667"/>
      <c r="Q21" s="1352"/>
      <c r="R21" s="705"/>
      <c r="S21" s="706"/>
      <c r="T21" s="705"/>
      <c r="U21" s="706"/>
      <c r="V21" s="705"/>
      <c r="W21" s="706"/>
      <c r="X21" s="1355"/>
      <c r="Y21" s="3667"/>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67"/>
      <c r="Q22" s="1352" t="str">
        <f>B22</f>
        <v>楼层</v>
      </c>
      <c r="R22" s="705" t="s">
        <v>14</v>
      </c>
      <c r="S22" s="706">
        <f>F22</f>
        <v>100</v>
      </c>
      <c r="T22" s="705" t="s">
        <v>14</v>
      </c>
      <c r="U22" s="706">
        <f>H22</f>
        <v>100</v>
      </c>
      <c r="V22" s="705" t="s">
        <v>14</v>
      </c>
      <c r="W22" s="706">
        <f>J22</f>
        <v>100</v>
      </c>
      <c r="X22" s="1355"/>
      <c r="Y22" s="366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67"/>
      <c r="Q23" s="1352">
        <f>B23</f>
        <v>111</v>
      </c>
      <c r="R23" s="705" t="s">
        <v>14</v>
      </c>
      <c r="S23" s="706">
        <f>F23</f>
        <v>100</v>
      </c>
      <c r="T23" s="705" t="s">
        <v>14</v>
      </c>
      <c r="U23" s="706">
        <f>H23</f>
        <v>100</v>
      </c>
      <c r="V23" s="705" t="s">
        <v>14</v>
      </c>
      <c r="W23" s="706">
        <f>J23</f>
        <v>100</v>
      </c>
      <c r="X23" s="1355"/>
      <c r="Y23" s="366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67"/>
      <c r="Q24" s="1352">
        <f t="shared" ref="Q24:Q36" si="11">B24</f>
        <v>111</v>
      </c>
      <c r="R24" s="705" t="s">
        <v>14</v>
      </c>
      <c r="S24" s="706">
        <f>F24</f>
        <v>100</v>
      </c>
      <c r="T24" s="705" t="s">
        <v>14</v>
      </c>
      <c r="U24" s="706">
        <f>H24</f>
        <v>100</v>
      </c>
      <c r="V24" s="705" t="s">
        <v>14</v>
      </c>
      <c r="W24" s="706">
        <f>J24</f>
        <v>100</v>
      </c>
      <c r="X24" s="1355"/>
      <c r="Y24" s="3667"/>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67"/>
      <c r="Q25" s="1343">
        <f t="shared" si="11"/>
        <v>111</v>
      </c>
      <c r="R25" s="701" t="s">
        <v>14</v>
      </c>
      <c r="S25" s="702">
        <f>F25</f>
        <v>100</v>
      </c>
      <c r="T25" s="701" t="s">
        <v>14</v>
      </c>
      <c r="U25" s="702">
        <f>H25</f>
        <v>100</v>
      </c>
      <c r="V25" s="701" t="s">
        <v>14</v>
      </c>
      <c r="W25" s="702">
        <f>J25</f>
        <v>100</v>
      </c>
      <c r="X25" s="703"/>
      <c r="Y25" s="3667"/>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2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1"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71"/>
      <c r="Q27" s="707" t="str">
        <f t="shared" si="11"/>
        <v>项目停车位配比</v>
      </c>
      <c r="R27" s="708" t="s">
        <v>14</v>
      </c>
      <c r="S27" s="709">
        <f t="shared" si="12"/>
        <v>100</v>
      </c>
      <c r="T27" s="708" t="s">
        <v>14</v>
      </c>
      <c r="U27" s="709">
        <f t="shared" si="13"/>
        <v>100</v>
      </c>
      <c r="V27" s="708" t="s">
        <v>14</v>
      </c>
      <c r="W27" s="709">
        <f t="shared" si="14"/>
        <v>100</v>
      </c>
      <c r="X27" s="710"/>
      <c r="Y27" s="3671"/>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71"/>
      <c r="Q28" s="1352" t="str">
        <f t="shared" si="11"/>
        <v>公共部分装修</v>
      </c>
      <c r="R28" s="705" t="s">
        <v>14</v>
      </c>
      <c r="S28" s="706">
        <f t="shared" si="12"/>
        <v>100</v>
      </c>
      <c r="T28" s="705" t="s">
        <v>14</v>
      </c>
      <c r="U28" s="706">
        <f t="shared" si="13"/>
        <v>100</v>
      </c>
      <c r="V28" s="705" t="s">
        <v>14</v>
      </c>
      <c r="W28" s="706">
        <f t="shared" si="14"/>
        <v>100</v>
      </c>
      <c r="X28" s="1355"/>
      <c r="Y28" s="3671"/>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71"/>
      <c r="Q29" s="1352" t="str">
        <f t="shared" si="11"/>
        <v>成新率</v>
      </c>
      <c r="R29" s="705" t="s">
        <v>14</v>
      </c>
      <c r="S29" s="706" t="e">
        <f t="shared" si="12"/>
        <v>#N/A</v>
      </c>
      <c r="T29" s="705" t="s">
        <v>14</v>
      </c>
      <c r="U29" s="706" t="e">
        <f t="shared" si="13"/>
        <v>#N/A</v>
      </c>
      <c r="V29" s="705" t="s">
        <v>14</v>
      </c>
      <c r="W29" s="706" t="e">
        <f t="shared" si="14"/>
        <v>#N/A</v>
      </c>
      <c r="X29" s="1355"/>
      <c r="Y29" s="3671"/>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71"/>
      <c r="Q30" s="1352" t="str">
        <f t="shared" si="11"/>
        <v>物业等级</v>
      </c>
      <c r="R30" s="705" t="s">
        <v>14</v>
      </c>
      <c r="S30" s="706">
        <f t="shared" si="12"/>
        <v>100</v>
      </c>
      <c r="T30" s="705" t="s">
        <v>14</v>
      </c>
      <c r="U30" s="706">
        <f t="shared" si="13"/>
        <v>100</v>
      </c>
      <c r="V30" s="705" t="s">
        <v>14</v>
      </c>
      <c r="W30" s="706">
        <f t="shared" si="14"/>
        <v>100</v>
      </c>
      <c r="X30" s="1355"/>
      <c r="Y30" s="3671"/>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71"/>
      <c r="Q31" s="1343" t="str">
        <f t="shared" si="11"/>
        <v>停车位面积</v>
      </c>
      <c r="R31" s="701" t="s">
        <v>14</v>
      </c>
      <c r="S31" s="702" t="e">
        <f t="shared" si="12"/>
        <v>#N/A</v>
      </c>
      <c r="T31" s="701" t="s">
        <v>14</v>
      </c>
      <c r="U31" s="702" t="e">
        <f t="shared" si="13"/>
        <v>#N/A</v>
      </c>
      <c r="V31" s="701" t="s">
        <v>14</v>
      </c>
      <c r="W31" s="702" t="e">
        <f t="shared" si="14"/>
        <v>#N/A</v>
      </c>
      <c r="X31" s="703"/>
      <c r="Y31" s="367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71" t="s">
        <v>1696</v>
      </c>
      <c r="Q32" s="1352" t="str">
        <f t="shared" si="11"/>
        <v>车位类型</v>
      </c>
      <c r="R32" s="705" t="s">
        <v>14</v>
      </c>
      <c r="S32" s="706">
        <f t="shared" si="12"/>
        <v>100</v>
      </c>
      <c r="T32" s="705" t="s">
        <v>14</v>
      </c>
      <c r="U32" s="706">
        <f t="shared" si="13"/>
        <v>100</v>
      </c>
      <c r="V32" s="705" t="s">
        <v>14</v>
      </c>
      <c r="W32" s="706">
        <f t="shared" si="14"/>
        <v>100</v>
      </c>
      <c r="X32" s="1355"/>
      <c r="Y32" s="3671"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71"/>
      <c r="Q33" s="1352" t="str">
        <f t="shared" si="11"/>
        <v>是否直接入户</v>
      </c>
      <c r="R33" s="705" t="s">
        <v>14</v>
      </c>
      <c r="S33" s="706">
        <f t="shared" si="12"/>
        <v>100</v>
      </c>
      <c r="T33" s="705" t="s">
        <v>14</v>
      </c>
      <c r="U33" s="706">
        <f t="shared" si="13"/>
        <v>100</v>
      </c>
      <c r="V33" s="705" t="s">
        <v>14</v>
      </c>
      <c r="W33" s="706">
        <f t="shared" si="14"/>
        <v>100</v>
      </c>
      <c r="X33" s="1355"/>
      <c r="Y33" s="367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71"/>
      <c r="Q34" s="1352">
        <f t="shared" si="11"/>
        <v>111</v>
      </c>
      <c r="R34" s="705" t="s">
        <v>14</v>
      </c>
      <c r="S34" s="706">
        <f t="shared" si="12"/>
        <v>100</v>
      </c>
      <c r="T34" s="705" t="s">
        <v>14</v>
      </c>
      <c r="U34" s="706">
        <f t="shared" si="13"/>
        <v>100</v>
      </c>
      <c r="V34" s="705" t="s">
        <v>14</v>
      </c>
      <c r="W34" s="706">
        <f t="shared" si="14"/>
        <v>100</v>
      </c>
      <c r="X34" s="1355"/>
      <c r="Y34" s="367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71"/>
      <c r="Q35" s="707">
        <f t="shared" si="11"/>
        <v>111</v>
      </c>
      <c r="R35" s="708" t="s">
        <v>14</v>
      </c>
      <c r="S35" s="709">
        <f t="shared" si="12"/>
        <v>100</v>
      </c>
      <c r="T35" s="708" t="s">
        <v>14</v>
      </c>
      <c r="U35" s="709">
        <f t="shared" si="13"/>
        <v>100</v>
      </c>
      <c r="V35" s="708" t="s">
        <v>14</v>
      </c>
      <c r="W35" s="709">
        <f t="shared" si="14"/>
        <v>100</v>
      </c>
      <c r="X35" s="710"/>
      <c r="Y35" s="3671"/>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71"/>
      <c r="Q36" s="1352">
        <f t="shared" si="11"/>
        <v>111</v>
      </c>
      <c r="R36" s="705" t="s">
        <v>14</v>
      </c>
      <c r="S36" s="706">
        <f t="shared" si="12"/>
        <v>100</v>
      </c>
      <c r="T36" s="705" t="s">
        <v>14</v>
      </c>
      <c r="U36" s="706">
        <f t="shared" si="13"/>
        <v>100</v>
      </c>
      <c r="V36" s="705" t="s">
        <v>14</v>
      </c>
      <c r="W36" s="706">
        <f t="shared" si="14"/>
        <v>100</v>
      </c>
      <c r="X36" s="1355"/>
      <c r="Y36" s="3671"/>
      <c r="Z36" s="1356">
        <f t="shared" si="15"/>
        <v>111</v>
      </c>
      <c r="AA36" s="1353">
        <f t="shared" si="3"/>
        <v>1</v>
      </c>
      <c r="AB36" s="1353">
        <f t="shared" si="4"/>
        <v>1</v>
      </c>
      <c r="AC36" s="1353">
        <f t="shared" si="5"/>
        <v>1</v>
      </c>
    </row>
    <row r="37" spans="1:29" ht="14.4">
      <c r="A37" s="430" t="s">
        <v>1844</v>
      </c>
      <c r="B37" s="1973" t="s">
        <v>3356</v>
      </c>
      <c r="C37" s="1154" t="s">
        <v>0</v>
      </c>
      <c r="D37" s="1155"/>
      <c r="E37" s="1156"/>
      <c r="F37" s="1157"/>
      <c r="G37" s="1158"/>
      <c r="H37" s="1159"/>
      <c r="I37" s="1156"/>
      <c r="J37" s="1159"/>
      <c r="K37" s="568"/>
      <c r="L37" s="2723"/>
      <c r="M37" s="2724"/>
      <c r="N37" s="2715"/>
      <c r="O37" s="2724"/>
      <c r="P37" s="3664" t="str">
        <f>A37</f>
        <v>成交单价</v>
      </c>
      <c r="Q37" s="3664"/>
      <c r="R37" s="3665">
        <f>E37</f>
        <v>0</v>
      </c>
      <c r="S37" s="3665"/>
      <c r="T37" s="3665">
        <f>G37</f>
        <v>0</v>
      </c>
      <c r="U37" s="3665"/>
      <c r="V37" s="3665">
        <f>I37</f>
        <v>0</v>
      </c>
      <c r="W37" s="3665"/>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3"/>
      <c r="M38" s="2724"/>
      <c r="N38" s="2724"/>
      <c r="O38" s="2724"/>
      <c r="P38" s="3664" t="str">
        <f>A38</f>
        <v>比较价值（元/平方米）</v>
      </c>
      <c r="Q38" s="3664"/>
      <c r="R38" s="3665" t="e">
        <f>IF(F1="售价",ROUND(PRODUCT(R37,AA7:AA36),0),ROUND(PRODUCT(R37,AA7:AA36),1))</f>
        <v>#DIV/0!</v>
      </c>
      <c r="S38" s="3665"/>
      <c r="T38" s="3665" t="e">
        <f>IF(F1="售价",ROUND(PRODUCT(T37,AB7:AB36),0),ROUND(PRODUCT(T37,AB7:AB36),1))</f>
        <v>#DIV/0!</v>
      </c>
      <c r="U38" s="3665"/>
      <c r="V38" s="3665" t="e">
        <f>IF(F1="售价",ROUND(PRODUCT(V37,AC7:AC36),0),ROUND(PRODUCT(V37,AC7:AC36),1))</f>
        <v>#DIV/0!</v>
      </c>
      <c r="W38" s="3665"/>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3"/>
      <c r="M39" s="2724"/>
      <c r="N39" s="2724"/>
      <c r="O39" s="2724"/>
      <c r="P39" s="3661" t="str">
        <f>A39</f>
        <v>估价对象XX用房的比较价值（楼面单价，元/平方米）</v>
      </c>
      <c r="Q39" s="3662"/>
      <c r="R39" s="3723" t="e">
        <f>IF(F1="售价",ROUND(IF(D38="简单平均",AVERAGE(R38:W38),R38*F38+T38*H38+V38*J38),0),ROUND(IF(D38="简单平均",AVERAGE(R38:V38),R38*F38+T38*H38+V38*J38),1))</f>
        <v>#DIV/0!</v>
      </c>
      <c r="S39" s="3723"/>
      <c r="T39" s="3723"/>
      <c r="U39" s="3723"/>
      <c r="V39" s="3723"/>
      <c r="W39" s="3723"/>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2.2"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4.4">
      <c r="A48" s="454" t="s">
        <v>1851</v>
      </c>
      <c r="B48" s="455"/>
      <c r="C48" s="1184" t="str">
        <f>YEAR(C7)&amp;"-"&amp;MONTH(C7)</f>
        <v>2024-9</v>
      </c>
      <c r="D48" s="1185">
        <f>EDATE(C48,-1)</f>
        <v>45505</v>
      </c>
      <c r="E48" s="1185">
        <f t="shared" ref="E48:O48" si="16">EDATE(D48,-1)</f>
        <v>45474</v>
      </c>
      <c r="F48" s="1185">
        <f t="shared" si="16"/>
        <v>45444</v>
      </c>
      <c r="G48" s="1185">
        <f t="shared" si="16"/>
        <v>45413</v>
      </c>
      <c r="H48" s="1185">
        <f t="shared" si="16"/>
        <v>45383</v>
      </c>
      <c r="I48" s="1185">
        <f t="shared" si="16"/>
        <v>45352</v>
      </c>
      <c r="J48" s="1185">
        <f t="shared" si="16"/>
        <v>45323</v>
      </c>
      <c r="K48" s="1185">
        <f t="shared" si="16"/>
        <v>45292</v>
      </c>
      <c r="L48" s="1185">
        <f t="shared" si="16"/>
        <v>45261</v>
      </c>
      <c r="M48" s="1185">
        <f t="shared" si="16"/>
        <v>45231</v>
      </c>
      <c r="N48" s="1185">
        <f t="shared" si="16"/>
        <v>45200</v>
      </c>
      <c r="O48" s="1185">
        <f t="shared" si="16"/>
        <v>45170</v>
      </c>
      <c r="P48" s="2758"/>
      <c r="Q48" s="2740"/>
      <c r="R48" s="2740"/>
      <c r="S48" s="2740"/>
      <c r="T48" s="2740"/>
      <c r="U48" s="2740"/>
      <c r="V48" s="2740"/>
      <c r="W48" s="2740"/>
      <c r="X48" s="2740"/>
      <c r="Y48" s="2740"/>
      <c r="Z48" s="2740"/>
      <c r="AA48" s="2740"/>
      <c r="AB48" s="2740"/>
      <c r="AC48" s="2740"/>
    </row>
    <row r="49" spans="1:29" s="108" customFormat="1">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4.4">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4.4"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ht="14.4">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4.4"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9.4"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4.4"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4.4"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4.4"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4.4"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4.4"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4.4"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4.4"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4.4"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4.4"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4.4"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4.4"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4.4"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4.4"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9.4"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4.4"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4.4"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4.4"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4.4"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4.4"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4.4"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4.4"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4.4"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4.4"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4.4">
      <c r="A4" s="355" t="s">
        <v>1769</v>
      </c>
      <c r="B4" s="356"/>
      <c r="C4" s="3679" t="s">
        <v>1770</v>
      </c>
      <c r="D4" s="3680"/>
      <c r="E4" s="3681" t="s">
        <v>1771</v>
      </c>
      <c r="F4" s="3682"/>
      <c r="G4" s="3679" t="s">
        <v>1772</v>
      </c>
      <c r="H4" s="3680"/>
      <c r="I4" s="3679" t="s">
        <v>1773</v>
      </c>
      <c r="J4" s="3680"/>
      <c r="K4" s="559" t="s">
        <v>1774</v>
      </c>
      <c r="L4" s="2714"/>
      <c r="M4" s="2715"/>
      <c r="N4" s="2715"/>
      <c r="O4" s="2715"/>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29">
      <c r="A5" s="358"/>
      <c r="B5" s="359"/>
      <c r="C5" s="3698" t="s">
        <v>1673</v>
      </c>
      <c r="D5" s="3699"/>
      <c r="E5" s="3705" t="s">
        <v>1674</v>
      </c>
      <c r="F5" s="3706"/>
      <c r="G5" s="3698" t="s">
        <v>1675</v>
      </c>
      <c r="H5" s="3699"/>
      <c r="I5" s="3698" t="s">
        <v>1676</v>
      </c>
      <c r="J5" s="3699"/>
      <c r="K5" s="559"/>
      <c r="L5" s="2714"/>
      <c r="M5" s="2715"/>
      <c r="N5" s="2715"/>
      <c r="O5" s="2715"/>
      <c r="P5" s="3685"/>
      <c r="Q5" s="3686"/>
      <c r="R5" s="3691"/>
      <c r="S5" s="3692"/>
      <c r="T5" s="3691"/>
      <c r="U5" s="3692"/>
      <c r="V5" s="3695"/>
      <c r="W5" s="3695"/>
      <c r="X5" s="1355"/>
      <c r="Y5" s="3691"/>
      <c r="Z5" s="3692"/>
      <c r="AA5" s="3677"/>
      <c r="AB5" s="3677"/>
      <c r="AC5" s="3677"/>
    </row>
    <row r="6" spans="1:29" ht="15" thickBot="1">
      <c r="A6" s="360"/>
      <c r="B6" s="361"/>
      <c r="C6" s="3696" t="s">
        <v>1677</v>
      </c>
      <c r="D6" s="3697"/>
      <c r="E6" s="3703" t="s">
        <v>1677</v>
      </c>
      <c r="F6" s="3704"/>
      <c r="G6" s="3696" t="s">
        <v>1677</v>
      </c>
      <c r="H6" s="3697"/>
      <c r="I6" s="3696" t="s">
        <v>1677</v>
      </c>
      <c r="J6" s="3697"/>
      <c r="K6" s="559" t="s">
        <v>1678</v>
      </c>
      <c r="L6" s="2714"/>
      <c r="M6" s="2715"/>
      <c r="N6" s="2715"/>
      <c r="O6" s="2715"/>
      <c r="P6" s="3687"/>
      <c r="Q6" s="3688"/>
      <c r="R6" s="3691"/>
      <c r="S6" s="3692"/>
      <c r="T6" s="3693"/>
      <c r="U6" s="3694"/>
      <c r="V6" s="3695"/>
      <c r="W6" s="3695"/>
      <c r="X6" s="1355"/>
      <c r="Y6" s="3693"/>
      <c r="Z6" s="3694"/>
      <c r="AA6" s="3678"/>
      <c r="AB6" s="3678"/>
      <c r="AC6" s="3678"/>
    </row>
    <row r="7" spans="1:29" s="108" customFormat="1" ht="15" thickBot="1">
      <c r="A7" s="362" t="s">
        <v>1679</v>
      </c>
      <c r="B7" s="363"/>
      <c r="C7" s="364">
        <f>'数据-取费表'!B2</f>
        <v>45539</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700" t="s">
        <v>1680</v>
      </c>
      <c r="Q7" s="3702"/>
      <c r="R7" s="701" t="s">
        <v>14</v>
      </c>
      <c r="S7" s="702">
        <f t="shared" ref="S7:S14" si="0">F7</f>
        <v>0</v>
      </c>
      <c r="T7" s="701" t="s">
        <v>14</v>
      </c>
      <c r="U7" s="702">
        <f t="shared" ref="U7:U14" si="1">H7</f>
        <v>0</v>
      </c>
      <c r="V7" s="701" t="s">
        <v>14</v>
      </c>
      <c r="W7" s="702">
        <f t="shared" ref="W7:W14" si="2">J7</f>
        <v>0</v>
      </c>
      <c r="X7" s="703"/>
      <c r="Y7" s="3700" t="s">
        <v>1680</v>
      </c>
      <c r="Z7" s="3701"/>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00" t="s">
        <v>1683</v>
      </c>
      <c r="Q8" s="3701"/>
      <c r="R8" s="701" t="s">
        <v>14</v>
      </c>
      <c r="S8" s="702">
        <f t="shared" si="0"/>
        <v>100</v>
      </c>
      <c r="T8" s="701" t="s">
        <v>14</v>
      </c>
      <c r="U8" s="702">
        <f t="shared" si="1"/>
        <v>100</v>
      </c>
      <c r="V8" s="701" t="s">
        <v>14</v>
      </c>
      <c r="W8" s="702">
        <f t="shared" si="2"/>
        <v>100</v>
      </c>
      <c r="X8" s="703"/>
      <c r="Y8" s="3700" t="s">
        <v>1683</v>
      </c>
      <c r="Z8" s="3701"/>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64" t="s">
        <v>1686</v>
      </c>
      <c r="Q9" s="1343" t="str">
        <f t="shared" ref="Q9:Q14" si="6">B9</f>
        <v>用途</v>
      </c>
      <c r="R9" s="701" t="s">
        <v>14</v>
      </c>
      <c r="S9" s="702">
        <f t="shared" si="0"/>
        <v>100</v>
      </c>
      <c r="T9" s="701" t="s">
        <v>14</v>
      </c>
      <c r="U9" s="702">
        <f t="shared" si="1"/>
        <v>100</v>
      </c>
      <c r="V9" s="701" t="s">
        <v>14</v>
      </c>
      <c r="W9" s="702">
        <f t="shared" si="2"/>
        <v>100</v>
      </c>
      <c r="X9" s="703"/>
      <c r="Y9" s="3539" t="s">
        <v>1687</v>
      </c>
      <c r="Z9" s="52" t="str">
        <f t="shared" ref="Z9:Z14" si="7">Q9</f>
        <v>用途</v>
      </c>
      <c r="AA9" s="704">
        <f t="shared" si="3"/>
        <v>1</v>
      </c>
      <c r="AB9" s="704">
        <f t="shared" si="4"/>
        <v>1</v>
      </c>
      <c r="AC9" s="704">
        <f t="shared" si="5"/>
        <v>1</v>
      </c>
    </row>
    <row r="10" spans="1:29" s="378" customFormat="1" ht="28.8">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64"/>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64"/>
      <c r="Q11" s="1343">
        <f t="shared" si="6"/>
        <v>111</v>
      </c>
      <c r="R11" s="701" t="s">
        <v>14</v>
      </c>
      <c r="S11" s="702">
        <f t="shared" si="0"/>
        <v>100</v>
      </c>
      <c r="T11" s="701" t="s">
        <v>14</v>
      </c>
      <c r="U11" s="702">
        <f t="shared" si="1"/>
        <v>100</v>
      </c>
      <c r="V11" s="701" t="s">
        <v>14</v>
      </c>
      <c r="W11" s="702">
        <f t="shared" si="2"/>
        <v>100</v>
      </c>
      <c r="X11" s="703"/>
      <c r="Y11" s="353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64"/>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66" t="s">
        <v>1691</v>
      </c>
      <c r="Q14" s="1352" t="str">
        <f t="shared" si="6"/>
        <v>交通便捷度</v>
      </c>
      <c r="R14" s="705" t="s">
        <v>14</v>
      </c>
      <c r="S14" s="706">
        <f t="shared" si="0"/>
        <v>100</v>
      </c>
      <c r="T14" s="705" t="s">
        <v>14</v>
      </c>
      <c r="U14" s="706">
        <f t="shared" si="1"/>
        <v>100</v>
      </c>
      <c r="V14" s="705" t="s">
        <v>14</v>
      </c>
      <c r="W14" s="706">
        <f t="shared" si="2"/>
        <v>100</v>
      </c>
      <c r="X14" s="1355"/>
      <c r="Y14" s="366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667"/>
      <c r="Q15" s="1352"/>
      <c r="R15" s="705"/>
      <c r="S15" s="706"/>
      <c r="T15" s="705"/>
      <c r="U15" s="706"/>
      <c r="V15" s="705"/>
      <c r="W15" s="706"/>
      <c r="X15" s="1355"/>
      <c r="Y15" s="3667"/>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67"/>
      <c r="Q16" s="1352" t="str">
        <f>B16</f>
        <v>公共配套设施</v>
      </c>
      <c r="R16" s="705" t="s">
        <v>14</v>
      </c>
      <c r="S16" s="706">
        <f>F16</f>
        <v>100</v>
      </c>
      <c r="T16" s="705" t="s">
        <v>14</v>
      </c>
      <c r="U16" s="706">
        <f>H16</f>
        <v>100</v>
      </c>
      <c r="V16" s="705" t="s">
        <v>14</v>
      </c>
      <c r="W16" s="706">
        <f>J16</f>
        <v>100</v>
      </c>
      <c r="X16" s="1355"/>
      <c r="Y16" s="366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667"/>
      <c r="Q17" s="1352"/>
      <c r="R17" s="705"/>
      <c r="S17" s="706"/>
      <c r="T17" s="705"/>
      <c r="U17" s="706"/>
      <c r="V17" s="705"/>
      <c r="W17" s="706"/>
      <c r="X17" s="1355"/>
      <c r="Y17" s="3667"/>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67"/>
      <c r="Q18" s="1352" t="str">
        <f>B18</f>
        <v>基础设施水平</v>
      </c>
      <c r="R18" s="705" t="s">
        <v>14</v>
      </c>
      <c r="S18" s="706">
        <f>F18</f>
        <v>100</v>
      </c>
      <c r="T18" s="705" t="s">
        <v>14</v>
      </c>
      <c r="U18" s="706">
        <f>H18</f>
        <v>100</v>
      </c>
      <c r="V18" s="705" t="s">
        <v>14</v>
      </c>
      <c r="W18" s="706">
        <f>J18</f>
        <v>100</v>
      </c>
      <c r="X18" s="1355"/>
      <c r="Y18" s="366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667"/>
      <c r="Q19" s="1352"/>
      <c r="R19" s="705"/>
      <c r="S19" s="706"/>
      <c r="T19" s="705"/>
      <c r="U19" s="706"/>
      <c r="V19" s="705"/>
      <c r="W19" s="706"/>
      <c r="X19" s="1355"/>
      <c r="Y19" s="3667"/>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67"/>
      <c r="Q20" s="1352" t="str">
        <f>B20</f>
        <v>自然及人文环境</v>
      </c>
      <c r="R20" s="705" t="s">
        <v>14</v>
      </c>
      <c r="S20" s="706">
        <f>F20</f>
        <v>100</v>
      </c>
      <c r="T20" s="705" t="s">
        <v>14</v>
      </c>
      <c r="U20" s="706">
        <f>H20</f>
        <v>100</v>
      </c>
      <c r="V20" s="705" t="s">
        <v>14</v>
      </c>
      <c r="W20" s="706">
        <f>J20</f>
        <v>100</v>
      </c>
      <c r="X20" s="1355"/>
      <c r="Y20" s="366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667"/>
      <c r="Q21" s="1352"/>
      <c r="R21" s="705"/>
      <c r="S21" s="706"/>
      <c r="T21" s="705"/>
      <c r="U21" s="706"/>
      <c r="V21" s="705"/>
      <c r="W21" s="706"/>
      <c r="X21" s="1355"/>
      <c r="Y21" s="3667"/>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67"/>
      <c r="Q22" s="1352" t="str">
        <f>B22</f>
        <v>楼层</v>
      </c>
      <c r="R22" s="705" t="s">
        <v>14</v>
      </c>
      <c r="S22" s="706">
        <f>F22</f>
        <v>100</v>
      </c>
      <c r="T22" s="705" t="s">
        <v>14</v>
      </c>
      <c r="U22" s="706">
        <f>H22</f>
        <v>100</v>
      </c>
      <c r="V22" s="705" t="s">
        <v>14</v>
      </c>
      <c r="W22" s="706">
        <f>J22</f>
        <v>100</v>
      </c>
      <c r="X22" s="1355"/>
      <c r="Y22" s="366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67"/>
      <c r="Q23" s="1352">
        <f>B23</f>
        <v>111</v>
      </c>
      <c r="R23" s="705" t="s">
        <v>14</v>
      </c>
      <c r="S23" s="706">
        <f>F23</f>
        <v>100</v>
      </c>
      <c r="T23" s="705" t="s">
        <v>14</v>
      </c>
      <c r="U23" s="706">
        <f>H23</f>
        <v>100</v>
      </c>
      <c r="V23" s="705" t="s">
        <v>14</v>
      </c>
      <c r="W23" s="706">
        <f>J23</f>
        <v>100</v>
      </c>
      <c r="X23" s="1355"/>
      <c r="Y23" s="366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67"/>
      <c r="Q24" s="1352">
        <f t="shared" ref="Q24:Q34" si="11">B24</f>
        <v>111</v>
      </c>
      <c r="R24" s="705" t="s">
        <v>14</v>
      </c>
      <c r="S24" s="706">
        <f>F24</f>
        <v>100</v>
      </c>
      <c r="T24" s="705" t="s">
        <v>14</v>
      </c>
      <c r="U24" s="706">
        <f>H24</f>
        <v>100</v>
      </c>
      <c r="V24" s="705" t="s">
        <v>14</v>
      </c>
      <c r="W24" s="706">
        <f>J24</f>
        <v>100</v>
      </c>
      <c r="X24" s="1355"/>
      <c r="Y24" s="3667"/>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667"/>
      <c r="Q25" s="1343">
        <f t="shared" si="11"/>
        <v>111</v>
      </c>
      <c r="R25" s="701" t="s">
        <v>14</v>
      </c>
      <c r="S25" s="702">
        <f>F25</f>
        <v>100</v>
      </c>
      <c r="T25" s="701" t="s">
        <v>14</v>
      </c>
      <c r="U25" s="702">
        <f>H25</f>
        <v>100</v>
      </c>
      <c r="V25" s="701" t="s">
        <v>14</v>
      </c>
      <c r="W25" s="702">
        <f>J25</f>
        <v>100</v>
      </c>
      <c r="X25" s="703"/>
      <c r="Y25" s="3667"/>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2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71"/>
      <c r="Q27" s="707" t="str">
        <f t="shared" si="11"/>
        <v>成新率</v>
      </c>
      <c r="R27" s="708" t="s">
        <v>14</v>
      </c>
      <c r="S27" s="709" t="e">
        <f t="shared" si="12"/>
        <v>#N/A</v>
      </c>
      <c r="T27" s="708" t="s">
        <v>14</v>
      </c>
      <c r="U27" s="709" t="e">
        <f t="shared" si="13"/>
        <v>#N/A</v>
      </c>
      <c r="V27" s="708" t="s">
        <v>14</v>
      </c>
      <c r="W27" s="709" t="e">
        <f t="shared" si="14"/>
        <v>#N/A</v>
      </c>
      <c r="X27" s="710"/>
      <c r="Y27" s="367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71"/>
      <c r="Q28" s="1352" t="str">
        <f t="shared" si="11"/>
        <v>物业等级</v>
      </c>
      <c r="R28" s="705" t="s">
        <v>14</v>
      </c>
      <c r="S28" s="706">
        <f t="shared" si="12"/>
        <v>100</v>
      </c>
      <c r="T28" s="705" t="s">
        <v>14</v>
      </c>
      <c r="U28" s="706">
        <f t="shared" si="13"/>
        <v>100</v>
      </c>
      <c r="V28" s="705" t="s">
        <v>14</v>
      </c>
      <c r="W28" s="706">
        <f t="shared" si="14"/>
        <v>100</v>
      </c>
      <c r="X28" s="1355"/>
      <c r="Y28" s="367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71"/>
      <c r="Q29" s="1352" t="str">
        <f t="shared" si="11"/>
        <v>有无电梯</v>
      </c>
      <c r="R29" s="705" t="s">
        <v>14</v>
      </c>
      <c r="S29" s="706">
        <f t="shared" si="12"/>
        <v>100</v>
      </c>
      <c r="T29" s="705" t="s">
        <v>14</v>
      </c>
      <c r="U29" s="706">
        <f t="shared" si="13"/>
        <v>100</v>
      </c>
      <c r="V29" s="705" t="s">
        <v>14</v>
      </c>
      <c r="W29" s="706">
        <f t="shared" si="14"/>
        <v>100</v>
      </c>
      <c r="X29" s="1355"/>
      <c r="Y29" s="367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71"/>
      <c r="Q30" s="1352" t="str">
        <f t="shared" si="11"/>
        <v>建筑面积</v>
      </c>
      <c r="R30" s="705" t="s">
        <v>14</v>
      </c>
      <c r="S30" s="706" t="e">
        <f t="shared" si="12"/>
        <v>#N/A</v>
      </c>
      <c r="T30" s="705" t="s">
        <v>14</v>
      </c>
      <c r="U30" s="706" t="e">
        <f t="shared" si="13"/>
        <v>#N/A</v>
      </c>
      <c r="V30" s="705" t="s">
        <v>14</v>
      </c>
      <c r="W30" s="706" t="e">
        <f t="shared" si="14"/>
        <v>#N/A</v>
      </c>
      <c r="X30" s="1355"/>
      <c r="Y30" s="367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71"/>
      <c r="Q31" s="1343" t="str">
        <f t="shared" si="11"/>
        <v>是否封闭</v>
      </c>
      <c r="R31" s="701" t="s">
        <v>14</v>
      </c>
      <c r="S31" s="702">
        <f t="shared" si="12"/>
        <v>100</v>
      </c>
      <c r="T31" s="701" t="s">
        <v>14</v>
      </c>
      <c r="U31" s="702">
        <f t="shared" si="13"/>
        <v>100</v>
      </c>
      <c r="V31" s="701" t="s">
        <v>14</v>
      </c>
      <c r="W31" s="702">
        <f t="shared" si="14"/>
        <v>100</v>
      </c>
      <c r="X31" s="703"/>
      <c r="Y31" s="367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71" t="s">
        <v>1696</v>
      </c>
      <c r="Q32" s="1352">
        <f t="shared" si="11"/>
        <v>111</v>
      </c>
      <c r="R32" s="705" t="s">
        <v>14</v>
      </c>
      <c r="S32" s="706">
        <f t="shared" si="12"/>
        <v>100</v>
      </c>
      <c r="T32" s="705" t="s">
        <v>14</v>
      </c>
      <c r="U32" s="706">
        <f t="shared" si="13"/>
        <v>100</v>
      </c>
      <c r="V32" s="705" t="s">
        <v>14</v>
      </c>
      <c r="W32" s="706">
        <f t="shared" si="14"/>
        <v>100</v>
      </c>
      <c r="X32" s="1355"/>
      <c r="Y32" s="367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71"/>
      <c r="Q33" s="1352">
        <f t="shared" si="11"/>
        <v>111</v>
      </c>
      <c r="R33" s="705" t="s">
        <v>14</v>
      </c>
      <c r="S33" s="706">
        <f t="shared" si="12"/>
        <v>100</v>
      </c>
      <c r="T33" s="705" t="s">
        <v>14</v>
      </c>
      <c r="U33" s="706">
        <f t="shared" si="13"/>
        <v>100</v>
      </c>
      <c r="V33" s="705" t="s">
        <v>14</v>
      </c>
      <c r="W33" s="706">
        <f t="shared" si="14"/>
        <v>100</v>
      </c>
      <c r="X33" s="1355"/>
      <c r="Y33" s="3671"/>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671"/>
      <c r="Q34" s="1352">
        <f t="shared" si="11"/>
        <v>111</v>
      </c>
      <c r="R34" s="705" t="s">
        <v>14</v>
      </c>
      <c r="S34" s="706">
        <f t="shared" si="12"/>
        <v>100</v>
      </c>
      <c r="T34" s="705" t="s">
        <v>14</v>
      </c>
      <c r="U34" s="706">
        <f t="shared" si="13"/>
        <v>100</v>
      </c>
      <c r="V34" s="705" t="s">
        <v>14</v>
      </c>
      <c r="W34" s="706">
        <f t="shared" si="14"/>
        <v>100</v>
      </c>
      <c r="X34" s="1355"/>
      <c r="Y34" s="3671"/>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3"/>
      <c r="M35" s="2724"/>
      <c r="N35" s="2715"/>
      <c r="O35" s="2724"/>
      <c r="P35" s="3664" t="str">
        <f>A35</f>
        <v>成交单价（元/平方米）</v>
      </c>
      <c r="Q35" s="3664"/>
      <c r="R35" s="3665">
        <f>E35</f>
        <v>0</v>
      </c>
      <c r="S35" s="3665"/>
      <c r="T35" s="3665">
        <f>G35</f>
        <v>0</v>
      </c>
      <c r="U35" s="3665"/>
      <c r="V35" s="3665">
        <f>I35</f>
        <v>0</v>
      </c>
      <c r="W35" s="3665"/>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23"/>
      <c r="M36" s="2724"/>
      <c r="N36" s="2715"/>
      <c r="O36" s="2724"/>
      <c r="P36" s="3664" t="str">
        <f>A36</f>
        <v>比较价值（元/平方米）</v>
      </c>
      <c r="Q36" s="3664"/>
      <c r="R36" s="3665" t="e">
        <f>IF(F1="售价",ROUND(PRODUCT(R35,AA7:AA34),0),ROUND(PRODUCT(R35,AA7:AA34),1))</f>
        <v>#DIV/0!</v>
      </c>
      <c r="S36" s="3665"/>
      <c r="T36" s="3665" t="e">
        <f>IF(F1="售价",ROUND(PRODUCT(T35,AB7:AB34),0),ROUND(PRODUCT(T35,AB7:AB34),1))</f>
        <v>#DIV/0!</v>
      </c>
      <c r="U36" s="3665"/>
      <c r="V36" s="3665" t="e">
        <f>IF(F1="售价",ROUND(PRODUCT(V35,AC7:AC34),0),ROUND(PRODUCT(V35,AC7:AC34),1))</f>
        <v>#DIV/0!</v>
      </c>
      <c r="W36" s="3665"/>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3"/>
      <c r="M37" s="2724"/>
      <c r="N37" s="2724"/>
      <c r="O37" s="2724"/>
      <c r="P37" s="3661" t="str">
        <f>A37</f>
        <v>估价对象XX用房的比较价值（楼面单价，元/平方米）</v>
      </c>
      <c r="Q37" s="3662"/>
      <c r="R37" s="3723" t="e">
        <f>IF(F1="售价",ROUND(IF(D36="简单平均",AVERAGE(R36:W36),R36*F36+T36*H36+V36*J36),0),ROUND(IF(D36="简单平均",AVERAGE(R36:V36),R36*F36+T36*H36+V36*J36),1))</f>
        <v>#DIV/0!</v>
      </c>
      <c r="S37" s="3723"/>
      <c r="T37" s="3723"/>
      <c r="U37" s="3723"/>
      <c r="V37" s="3723"/>
      <c r="W37" s="3723"/>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2.2"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4.4">
      <c r="A46" s="454" t="s">
        <v>1679</v>
      </c>
      <c r="B46" s="455"/>
      <c r="C46" s="1184" t="str">
        <f>YEAR(C7)&amp;"-"&amp;MONTH(C7)</f>
        <v>2024-9</v>
      </c>
      <c r="D46" s="1185">
        <f>EDATE(C46,-1)</f>
        <v>45505</v>
      </c>
      <c r="E46" s="1185">
        <f t="shared" ref="E46:O46" si="16">EDATE(D46,-1)</f>
        <v>45474</v>
      </c>
      <c r="F46" s="1185">
        <f t="shared" si="16"/>
        <v>45444</v>
      </c>
      <c r="G46" s="1185">
        <f t="shared" si="16"/>
        <v>45413</v>
      </c>
      <c r="H46" s="1185">
        <f t="shared" si="16"/>
        <v>45383</v>
      </c>
      <c r="I46" s="1185">
        <f t="shared" si="16"/>
        <v>45352</v>
      </c>
      <c r="J46" s="1185">
        <f t="shared" si="16"/>
        <v>45323</v>
      </c>
      <c r="K46" s="1185">
        <f t="shared" si="16"/>
        <v>45292</v>
      </c>
      <c r="L46" s="1185">
        <f t="shared" si="16"/>
        <v>45261</v>
      </c>
      <c r="M46" s="1185">
        <f t="shared" si="16"/>
        <v>45231</v>
      </c>
      <c r="N46" s="1185">
        <f t="shared" si="16"/>
        <v>45200</v>
      </c>
      <c r="O46" s="1185">
        <f t="shared" si="16"/>
        <v>45170</v>
      </c>
      <c r="P46" s="2775"/>
      <c r="Q46" s="2740"/>
      <c r="R46" s="2740"/>
      <c r="S46" s="2740"/>
      <c r="T46" s="2740"/>
      <c r="U46" s="2740"/>
      <c r="V46" s="2740"/>
      <c r="W46" s="2740"/>
      <c r="X46" s="2740"/>
      <c r="Y46" s="2740"/>
      <c r="Z46" s="2740"/>
      <c r="AA46" s="2740"/>
      <c r="AB46" s="2740"/>
      <c r="AC46" s="2740"/>
      <c r="AD46" s="2740"/>
    </row>
    <row r="47" spans="1:30" s="108" customFormat="1">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4.4">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4.4"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ht="14.4">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4.4"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9.4"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4.4"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4.4"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4.4"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4.4"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4.4"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4.4"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4.4"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9.4"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4.4"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4.4"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4.4"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4.4"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4.4"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4.4"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4.4"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4.4"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4.4"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4.4"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4.4"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4.4"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4.4"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4.4"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4.4"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4.4"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4.4">
      <c r="A4" s="355" t="s">
        <v>1769</v>
      </c>
      <c r="B4" s="356"/>
      <c r="C4" s="3679" t="s">
        <v>1770</v>
      </c>
      <c r="D4" s="3680"/>
      <c r="E4" s="3681" t="s">
        <v>1771</v>
      </c>
      <c r="F4" s="3682"/>
      <c r="G4" s="3679" t="s">
        <v>1772</v>
      </c>
      <c r="H4" s="3680"/>
      <c r="I4" s="3679" t="s">
        <v>1773</v>
      </c>
      <c r="J4" s="3680"/>
      <c r="K4" s="559" t="s">
        <v>1774</v>
      </c>
      <c r="L4" s="2714"/>
      <c r="M4" s="2715"/>
      <c r="N4" s="2715"/>
      <c r="O4" s="2715"/>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30">
      <c r="A5" s="358"/>
      <c r="B5" s="359"/>
      <c r="C5" s="3698" t="s">
        <v>1673</v>
      </c>
      <c r="D5" s="3699"/>
      <c r="E5" s="3705" t="s">
        <v>1674</v>
      </c>
      <c r="F5" s="3706"/>
      <c r="G5" s="3698" t="s">
        <v>1675</v>
      </c>
      <c r="H5" s="3699"/>
      <c r="I5" s="3698" t="s">
        <v>1676</v>
      </c>
      <c r="J5" s="3699"/>
      <c r="K5" s="559"/>
      <c r="L5" s="2714"/>
      <c r="M5" s="2715"/>
      <c r="N5" s="2715"/>
      <c r="O5" s="2715"/>
      <c r="P5" s="3685"/>
      <c r="Q5" s="3686"/>
      <c r="R5" s="3691"/>
      <c r="S5" s="3692"/>
      <c r="T5" s="3691"/>
      <c r="U5" s="3692"/>
      <c r="V5" s="3695"/>
      <c r="W5" s="3695"/>
      <c r="X5" s="1355"/>
      <c r="Y5" s="3691"/>
      <c r="Z5" s="3692"/>
      <c r="AA5" s="3677"/>
      <c r="AB5" s="3677"/>
      <c r="AC5" s="3677"/>
    </row>
    <row r="6" spans="1:30" ht="15" thickBot="1">
      <c r="A6" s="360"/>
      <c r="B6" s="361"/>
      <c r="C6" s="3696" t="s">
        <v>1677</v>
      </c>
      <c r="D6" s="3697"/>
      <c r="E6" s="3703" t="s">
        <v>1677</v>
      </c>
      <c r="F6" s="3704"/>
      <c r="G6" s="3696" t="s">
        <v>1677</v>
      </c>
      <c r="H6" s="3697"/>
      <c r="I6" s="3696" t="s">
        <v>1677</v>
      </c>
      <c r="J6" s="3697"/>
      <c r="K6" s="559" t="s">
        <v>1678</v>
      </c>
      <c r="L6" s="2714"/>
      <c r="M6" s="2715"/>
      <c r="N6" s="2715"/>
      <c r="O6" s="2715"/>
      <c r="P6" s="3687"/>
      <c r="Q6" s="3688"/>
      <c r="R6" s="3691"/>
      <c r="S6" s="3692"/>
      <c r="T6" s="3693"/>
      <c r="U6" s="3694"/>
      <c r="V6" s="3695"/>
      <c r="W6" s="3695"/>
      <c r="X6" s="1355"/>
      <c r="Y6" s="3693"/>
      <c r="Z6" s="3694"/>
      <c r="AA6" s="3678"/>
      <c r="AB6" s="3678"/>
      <c r="AC6" s="3678"/>
    </row>
    <row r="7" spans="1:30" s="108" customFormat="1" ht="15" thickBot="1">
      <c r="A7" s="362" t="s">
        <v>1679</v>
      </c>
      <c r="B7" s="363"/>
      <c r="C7" s="364">
        <f>'数据-取费表'!B2</f>
        <v>45539</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70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00" t="s">
        <v>1683</v>
      </c>
      <c r="Q8" s="3701"/>
      <c r="R8" s="701" t="s">
        <v>14</v>
      </c>
      <c r="S8" s="702">
        <f t="shared" si="0"/>
        <v>0</v>
      </c>
      <c r="T8" s="701" t="s">
        <v>14</v>
      </c>
      <c r="U8" s="702">
        <f t="shared" si="1"/>
        <v>0</v>
      </c>
      <c r="V8" s="701" t="s">
        <v>14</v>
      </c>
      <c r="W8" s="702">
        <f t="shared" si="2"/>
        <v>0</v>
      </c>
      <c r="X8" s="703"/>
      <c r="Y8" s="3700" t="s">
        <v>1683</v>
      </c>
      <c r="Z8" s="3701"/>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664"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8"/>
      <c r="M10" s="2719"/>
      <c r="N10" s="2719"/>
      <c r="O10" s="2772"/>
      <c r="P10" s="3664"/>
      <c r="Q10" s="1343" t="str">
        <f t="shared" si="6"/>
        <v>土地使用年限（年）</v>
      </c>
      <c r="R10" s="701" t="s">
        <v>14</v>
      </c>
      <c r="S10" s="702" t="e">
        <f t="shared" si="0"/>
        <v>#DIV/0!</v>
      </c>
      <c r="T10" s="701" t="s">
        <v>14</v>
      </c>
      <c r="U10" s="702" t="e">
        <f t="shared" si="1"/>
        <v>#DIV/0!</v>
      </c>
      <c r="V10" s="701" t="s">
        <v>14</v>
      </c>
      <c r="W10" s="702" t="e">
        <f t="shared" si="2"/>
        <v>#DIV/0!</v>
      </c>
      <c r="X10" s="703"/>
      <c r="Y10" s="3539"/>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64"/>
      <c r="Q11" s="1343" t="str">
        <f t="shared" si="6"/>
        <v>容积率</v>
      </c>
      <c r="R11" s="701" t="s">
        <v>14</v>
      </c>
      <c r="S11" s="702" t="e">
        <f t="shared" si="0"/>
        <v>#N/A</v>
      </c>
      <c r="T11" s="701" t="s">
        <v>14</v>
      </c>
      <c r="U11" s="702" t="e">
        <f t="shared" si="1"/>
        <v>#N/A</v>
      </c>
      <c r="V11" s="701" t="s">
        <v>14</v>
      </c>
      <c r="W11" s="702" t="e">
        <f t="shared" si="2"/>
        <v>#N/A</v>
      </c>
      <c r="X11" s="703"/>
      <c r="Y11" s="353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64"/>
      <c r="Q12" s="1343" t="str">
        <f t="shared" si="6"/>
        <v>配建</v>
      </c>
      <c r="R12" s="701" t="s">
        <v>14</v>
      </c>
      <c r="S12" s="702">
        <f t="shared" si="0"/>
        <v>100</v>
      </c>
      <c r="T12" s="701" t="s">
        <v>14</v>
      </c>
      <c r="U12" s="702">
        <f t="shared" si="1"/>
        <v>100</v>
      </c>
      <c r="V12" s="701" t="s">
        <v>14</v>
      </c>
      <c r="W12" s="702">
        <f t="shared" si="2"/>
        <v>100</v>
      </c>
      <c r="X12" s="703"/>
      <c r="Y12" s="353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64"/>
      <c r="Q14" s="1343">
        <f t="shared" si="6"/>
        <v>111</v>
      </c>
      <c r="R14" s="701" t="s">
        <v>14</v>
      </c>
      <c r="S14" s="702">
        <f t="shared" si="0"/>
        <v>100</v>
      </c>
      <c r="T14" s="701" t="s">
        <v>14</v>
      </c>
      <c r="U14" s="702">
        <f t="shared" si="1"/>
        <v>100</v>
      </c>
      <c r="V14" s="701" t="s">
        <v>14</v>
      </c>
      <c r="W14" s="702">
        <f t="shared" si="2"/>
        <v>100</v>
      </c>
      <c r="X14" s="703"/>
      <c r="Y14" s="3539"/>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66" t="s">
        <v>1691</v>
      </c>
      <c r="Q15" s="1352" t="str">
        <f t="shared" si="6"/>
        <v>居住社区成熟度</v>
      </c>
      <c r="R15" s="705" t="s">
        <v>14</v>
      </c>
      <c r="S15" s="706">
        <f t="shared" si="0"/>
        <v>100</v>
      </c>
      <c r="T15" s="705" t="s">
        <v>14</v>
      </c>
      <c r="U15" s="706">
        <f t="shared" si="1"/>
        <v>100</v>
      </c>
      <c r="V15" s="705" t="s">
        <v>14</v>
      </c>
      <c r="W15" s="706">
        <f t="shared" si="2"/>
        <v>100</v>
      </c>
      <c r="X15" s="1355"/>
      <c r="Y15" s="366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667"/>
      <c r="Q16" s="1352"/>
      <c r="R16" s="705"/>
      <c r="S16" s="706"/>
      <c r="T16" s="705"/>
      <c r="U16" s="706"/>
      <c r="V16" s="705"/>
      <c r="W16" s="706"/>
      <c r="X16" s="1355"/>
      <c r="Y16" s="3667"/>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67"/>
      <c r="Q17" s="1352" t="str">
        <f>B17</f>
        <v>商业繁华度</v>
      </c>
      <c r="R17" s="705" t="s">
        <v>14</v>
      </c>
      <c r="S17" s="706">
        <f>F17</f>
        <v>100</v>
      </c>
      <c r="T17" s="705" t="s">
        <v>14</v>
      </c>
      <c r="U17" s="706">
        <f>H17</f>
        <v>100</v>
      </c>
      <c r="V17" s="705" t="s">
        <v>14</v>
      </c>
      <c r="W17" s="706">
        <f>J17</f>
        <v>100</v>
      </c>
      <c r="X17" s="1355"/>
      <c r="Y17" s="366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667"/>
      <c r="Q18" s="1352"/>
      <c r="R18" s="705"/>
      <c r="S18" s="706"/>
      <c r="T18" s="705"/>
      <c r="U18" s="706"/>
      <c r="V18" s="705"/>
      <c r="W18" s="706"/>
      <c r="X18" s="1355"/>
      <c r="Y18" s="3667"/>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67"/>
      <c r="Q19" s="1352" t="str">
        <f>B19</f>
        <v>办公集聚程度</v>
      </c>
      <c r="R19" s="705" t="s">
        <v>14</v>
      </c>
      <c r="S19" s="706">
        <f>F19</f>
        <v>100</v>
      </c>
      <c r="T19" s="705" t="s">
        <v>14</v>
      </c>
      <c r="U19" s="706">
        <f>H19</f>
        <v>100</v>
      </c>
      <c r="V19" s="705" t="s">
        <v>14</v>
      </c>
      <c r="W19" s="706">
        <f>J19</f>
        <v>100</v>
      </c>
      <c r="X19" s="1355"/>
      <c r="Y19" s="366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667"/>
      <c r="Q20" s="1352"/>
      <c r="R20" s="705"/>
      <c r="S20" s="706"/>
      <c r="T20" s="705"/>
      <c r="U20" s="706"/>
      <c r="V20" s="705"/>
      <c r="W20" s="706"/>
      <c r="X20" s="1355"/>
      <c r="Y20" s="3667"/>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67"/>
      <c r="Q21" s="1352" t="str">
        <f>B21</f>
        <v>交通便捷度</v>
      </c>
      <c r="R21" s="705" t="s">
        <v>14</v>
      </c>
      <c r="S21" s="706">
        <f>F21</f>
        <v>100</v>
      </c>
      <c r="T21" s="705" t="s">
        <v>14</v>
      </c>
      <c r="U21" s="706">
        <f>H21</f>
        <v>100</v>
      </c>
      <c r="V21" s="705" t="s">
        <v>14</v>
      </c>
      <c r="W21" s="706">
        <f>J21</f>
        <v>100</v>
      </c>
      <c r="X21" s="1355"/>
      <c r="Y21" s="366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667"/>
      <c r="Q22" s="1352"/>
      <c r="R22" s="705"/>
      <c r="S22" s="706"/>
      <c r="T22" s="705"/>
      <c r="U22" s="706"/>
      <c r="V22" s="705"/>
      <c r="W22" s="706"/>
      <c r="X22" s="1355"/>
      <c r="Y22" s="3667"/>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67"/>
      <c r="Q23" s="1352" t="str">
        <f t="shared" ref="Q23:Q37" si="8">B23</f>
        <v>区域土地利用方向</v>
      </c>
      <c r="R23" s="705" t="s">
        <v>14</v>
      </c>
      <c r="S23" s="706">
        <f>F23</f>
        <v>100</v>
      </c>
      <c r="T23" s="705" t="s">
        <v>14</v>
      </c>
      <c r="U23" s="706">
        <f>H23</f>
        <v>100</v>
      </c>
      <c r="V23" s="705" t="s">
        <v>14</v>
      </c>
      <c r="W23" s="706">
        <f>J23</f>
        <v>100</v>
      </c>
      <c r="X23" s="1355"/>
      <c r="Y23" s="366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667"/>
      <c r="Q24" s="1352"/>
      <c r="R24" s="705"/>
      <c r="S24" s="706"/>
      <c r="T24" s="705"/>
      <c r="U24" s="706"/>
      <c r="V24" s="705"/>
      <c r="W24" s="706"/>
      <c r="X24" s="1355"/>
      <c r="Y24" s="3667"/>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67"/>
      <c r="Q25" s="1352" t="str">
        <f t="shared" si="8"/>
        <v>自然及人文环境状况</v>
      </c>
      <c r="R25" s="705" t="s">
        <v>14</v>
      </c>
      <c r="S25" s="706">
        <f>F25</f>
        <v>100</v>
      </c>
      <c r="T25" s="705" t="s">
        <v>14</v>
      </c>
      <c r="U25" s="706">
        <f>H25</f>
        <v>100</v>
      </c>
      <c r="V25" s="705" t="s">
        <v>14</v>
      </c>
      <c r="W25" s="706">
        <f>J25</f>
        <v>100</v>
      </c>
      <c r="X25" s="1355"/>
      <c r="Y25" s="366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667"/>
      <c r="Q26" s="1352"/>
      <c r="R26" s="705"/>
      <c r="S26" s="706"/>
      <c r="T26" s="705"/>
      <c r="U26" s="706"/>
      <c r="V26" s="705"/>
      <c r="W26" s="706"/>
      <c r="X26" s="1355"/>
      <c r="Y26" s="3667"/>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67"/>
      <c r="Q27" s="1343" t="str">
        <f t="shared" si="8"/>
        <v>公共配套设施</v>
      </c>
      <c r="R27" s="701" t="s">
        <v>14</v>
      </c>
      <c r="S27" s="702">
        <f>F27</f>
        <v>100</v>
      </c>
      <c r="T27" s="701" t="s">
        <v>14</v>
      </c>
      <c r="U27" s="702">
        <f>H27</f>
        <v>100</v>
      </c>
      <c r="V27" s="701" t="s">
        <v>14</v>
      </c>
      <c r="W27" s="702">
        <f>J27</f>
        <v>100</v>
      </c>
      <c r="X27" s="703"/>
      <c r="Y27" s="366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667"/>
      <c r="Q28" s="1343"/>
      <c r="R28" s="701"/>
      <c r="S28" s="702"/>
      <c r="T28" s="701"/>
      <c r="U28" s="702"/>
      <c r="V28" s="701"/>
      <c r="W28" s="702"/>
      <c r="X28" s="703"/>
      <c r="Y28" s="3667"/>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67"/>
      <c r="Q29" s="1343" t="str">
        <f t="shared" ref="Q29" si="9">B29</f>
        <v>基础设施水平</v>
      </c>
      <c r="R29" s="701" t="s">
        <v>14</v>
      </c>
      <c r="S29" s="702">
        <f>F29</f>
        <v>100</v>
      </c>
      <c r="T29" s="701" t="s">
        <v>14</v>
      </c>
      <c r="U29" s="702">
        <f>H29</f>
        <v>100</v>
      </c>
      <c r="V29" s="701" t="s">
        <v>14</v>
      </c>
      <c r="W29" s="702">
        <f>J29</f>
        <v>100</v>
      </c>
      <c r="X29" s="703"/>
      <c r="Y29" s="366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667"/>
      <c r="Q30" s="1343"/>
      <c r="R30" s="701"/>
      <c r="S30" s="702"/>
      <c r="T30" s="701"/>
      <c r="U30" s="702"/>
      <c r="V30" s="701"/>
      <c r="W30" s="702"/>
      <c r="X30" s="703"/>
      <c r="Y30" s="366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6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7"/>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67"/>
      <c r="Q32" s="1352" t="str">
        <f t="shared" si="8"/>
        <v>毗邻道路的类型与等级</v>
      </c>
      <c r="R32" s="705" t="s">
        <v>14</v>
      </c>
      <c r="S32" s="706">
        <f t="shared" si="10"/>
        <v>100</v>
      </c>
      <c r="T32" s="705" t="s">
        <v>14</v>
      </c>
      <c r="U32" s="706">
        <f t="shared" si="11"/>
        <v>100</v>
      </c>
      <c r="V32" s="705" t="s">
        <v>14</v>
      </c>
      <c r="W32" s="706">
        <f t="shared" si="12"/>
        <v>100</v>
      </c>
      <c r="X32" s="1355"/>
      <c r="Y32" s="366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667"/>
      <c r="Q33" s="1352"/>
      <c r="R33" s="705"/>
      <c r="S33" s="706"/>
      <c r="T33" s="705"/>
      <c r="U33" s="706"/>
      <c r="V33" s="705"/>
      <c r="W33" s="706"/>
      <c r="X33" s="1355"/>
      <c r="Y33" s="3667"/>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67"/>
      <c r="Q34" s="1352" t="str">
        <f t="shared" si="8"/>
        <v>土地级别</v>
      </c>
      <c r="R34" s="705" t="s">
        <v>14</v>
      </c>
      <c r="S34" s="706">
        <f t="shared" si="10"/>
        <v>100</v>
      </c>
      <c r="T34" s="705" t="s">
        <v>14</v>
      </c>
      <c r="U34" s="706">
        <f t="shared" si="11"/>
        <v>100</v>
      </c>
      <c r="V34" s="705" t="s">
        <v>14</v>
      </c>
      <c r="W34" s="706">
        <f t="shared" si="12"/>
        <v>100</v>
      </c>
      <c r="X34" s="1355"/>
      <c r="Y34" s="366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67"/>
      <c r="Q35" s="1352">
        <f t="shared" si="8"/>
        <v>111</v>
      </c>
      <c r="R35" s="705" t="s">
        <v>14</v>
      </c>
      <c r="S35" s="706">
        <f t="shared" si="10"/>
        <v>100</v>
      </c>
      <c r="T35" s="705" t="s">
        <v>14</v>
      </c>
      <c r="U35" s="706">
        <f t="shared" si="11"/>
        <v>100</v>
      </c>
      <c r="V35" s="705" t="s">
        <v>14</v>
      </c>
      <c r="W35" s="706">
        <f t="shared" si="12"/>
        <v>100</v>
      </c>
      <c r="X35" s="1355"/>
      <c r="Y35" s="366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22" t="s">
        <v>1696</v>
      </c>
      <c r="Q36" s="1352">
        <f t="shared" si="8"/>
        <v>111</v>
      </c>
      <c r="R36" s="705" t="s">
        <v>14</v>
      </c>
      <c r="S36" s="706">
        <f t="shared" si="10"/>
        <v>100</v>
      </c>
      <c r="T36" s="705" t="s">
        <v>14</v>
      </c>
      <c r="U36" s="706">
        <f t="shared" si="11"/>
        <v>100</v>
      </c>
      <c r="V36" s="705" t="s">
        <v>14</v>
      </c>
      <c r="W36" s="706">
        <f t="shared" si="12"/>
        <v>100</v>
      </c>
      <c r="X36" s="1355"/>
      <c r="Y36" s="3671"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71"/>
      <c r="Q37" s="1352">
        <f t="shared" si="8"/>
        <v>111</v>
      </c>
      <c r="R37" s="708" t="s">
        <v>14</v>
      </c>
      <c r="S37" s="709">
        <f t="shared" si="10"/>
        <v>100</v>
      </c>
      <c r="T37" s="708" t="s">
        <v>14</v>
      </c>
      <c r="U37" s="709">
        <f t="shared" si="11"/>
        <v>100</v>
      </c>
      <c r="V37" s="708" t="s">
        <v>14</v>
      </c>
      <c r="W37" s="709">
        <f t="shared" si="12"/>
        <v>100</v>
      </c>
      <c r="X37" s="710"/>
      <c r="Y37" s="3671"/>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71"/>
      <c r="Q38" s="1352" t="str">
        <f>B38</f>
        <v>宗地面积</v>
      </c>
      <c r="R38" s="705" t="s">
        <v>14</v>
      </c>
      <c r="S38" s="706" t="e">
        <f t="shared" si="10"/>
        <v>#N/A</v>
      </c>
      <c r="T38" s="705" t="s">
        <v>14</v>
      </c>
      <c r="U38" s="706" t="e">
        <f t="shared" si="11"/>
        <v>#N/A</v>
      </c>
      <c r="V38" s="705" t="s">
        <v>14</v>
      </c>
      <c r="W38" s="706" t="e">
        <f t="shared" si="12"/>
        <v>#N/A</v>
      </c>
      <c r="X38" s="1355"/>
      <c r="Y38" s="3671"/>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671"/>
      <c r="Q39" s="1352" t="str">
        <f t="shared" ref="Q39:Q45" si="14">B39</f>
        <v>宗地形状</v>
      </c>
      <c r="R39" s="705" t="s">
        <v>14</v>
      </c>
      <c r="S39" s="706">
        <f t="shared" si="10"/>
        <v>100</v>
      </c>
      <c r="T39" s="705" t="s">
        <v>14</v>
      </c>
      <c r="U39" s="706">
        <f t="shared" si="11"/>
        <v>100</v>
      </c>
      <c r="V39" s="705" t="s">
        <v>14</v>
      </c>
      <c r="W39" s="706">
        <f t="shared" si="12"/>
        <v>100</v>
      </c>
      <c r="X39" s="1355"/>
      <c r="Y39" s="3671"/>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671"/>
      <c r="Q40" s="1352" t="str">
        <f t="shared" si="14"/>
        <v>临街宽度及深度</v>
      </c>
      <c r="R40" s="705" t="s">
        <v>14</v>
      </c>
      <c r="S40" s="706">
        <f t="shared" si="10"/>
        <v>100</v>
      </c>
      <c r="T40" s="705" t="s">
        <v>14</v>
      </c>
      <c r="U40" s="706">
        <f t="shared" si="11"/>
        <v>100</v>
      </c>
      <c r="V40" s="705" t="s">
        <v>14</v>
      </c>
      <c r="W40" s="706">
        <f t="shared" si="12"/>
        <v>100</v>
      </c>
      <c r="X40" s="1355"/>
      <c r="Y40" s="3671"/>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671"/>
      <c r="Q41" s="1352" t="str">
        <f t="shared" si="14"/>
        <v>宗地开发程度</v>
      </c>
      <c r="R41" s="701" t="s">
        <v>14</v>
      </c>
      <c r="S41" s="702">
        <f t="shared" si="10"/>
        <v>100</v>
      </c>
      <c r="T41" s="701" t="s">
        <v>14</v>
      </c>
      <c r="U41" s="702">
        <f t="shared" si="11"/>
        <v>100</v>
      </c>
      <c r="V41" s="701" t="s">
        <v>14</v>
      </c>
      <c r="W41" s="702">
        <f t="shared" si="12"/>
        <v>100</v>
      </c>
      <c r="X41" s="703"/>
      <c r="Y41" s="3671"/>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671" t="s">
        <v>1696</v>
      </c>
      <c r="Q42" s="1352" t="str">
        <f t="shared" si="14"/>
        <v>工程地质条件</v>
      </c>
      <c r="R42" s="705" t="s">
        <v>14</v>
      </c>
      <c r="S42" s="706">
        <f t="shared" si="10"/>
        <v>100</v>
      </c>
      <c r="T42" s="705" t="s">
        <v>14</v>
      </c>
      <c r="U42" s="706">
        <f t="shared" si="11"/>
        <v>100</v>
      </c>
      <c r="V42" s="705" t="s">
        <v>14</v>
      </c>
      <c r="W42" s="706">
        <f t="shared" si="12"/>
        <v>100</v>
      </c>
      <c r="X42" s="1355"/>
      <c r="Y42" s="367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71"/>
      <c r="Q43" s="1352">
        <f t="shared" si="14"/>
        <v>111</v>
      </c>
      <c r="R43" s="705" t="s">
        <v>14</v>
      </c>
      <c r="S43" s="706">
        <f t="shared" si="10"/>
        <v>100</v>
      </c>
      <c r="T43" s="705" t="s">
        <v>14</v>
      </c>
      <c r="U43" s="706">
        <f t="shared" si="11"/>
        <v>100</v>
      </c>
      <c r="V43" s="705" t="s">
        <v>14</v>
      </c>
      <c r="W43" s="706">
        <f t="shared" si="12"/>
        <v>100</v>
      </c>
      <c r="X43" s="1355"/>
      <c r="Y43" s="367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71"/>
      <c r="Q44" s="1352">
        <f t="shared" si="14"/>
        <v>111</v>
      </c>
      <c r="R44" s="705" t="s">
        <v>14</v>
      </c>
      <c r="S44" s="706">
        <f t="shared" si="10"/>
        <v>100</v>
      </c>
      <c r="T44" s="705" t="s">
        <v>14</v>
      </c>
      <c r="U44" s="706">
        <f t="shared" si="11"/>
        <v>100</v>
      </c>
      <c r="V44" s="705" t="s">
        <v>14</v>
      </c>
      <c r="W44" s="706">
        <f t="shared" si="12"/>
        <v>100</v>
      </c>
      <c r="X44" s="1355"/>
      <c r="Y44" s="3671"/>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71"/>
      <c r="Q45" s="1352">
        <f t="shared" si="14"/>
        <v>111</v>
      </c>
      <c r="R45" s="708" t="s">
        <v>14</v>
      </c>
      <c r="S45" s="709">
        <f t="shared" si="10"/>
        <v>100</v>
      </c>
      <c r="T45" s="708" t="s">
        <v>14</v>
      </c>
      <c r="U45" s="709">
        <f t="shared" si="11"/>
        <v>100</v>
      </c>
      <c r="V45" s="708" t="s">
        <v>14</v>
      </c>
      <c r="W45" s="709">
        <f t="shared" si="12"/>
        <v>100</v>
      </c>
      <c r="X45" s="710"/>
      <c r="Y45" s="3671"/>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3"/>
      <c r="M46" s="2724"/>
      <c r="N46" s="2715"/>
      <c r="O46" s="2724"/>
      <c r="P46" s="3664" t="str">
        <f>A46</f>
        <v>成交单价</v>
      </c>
      <c r="Q46" s="3664"/>
      <c r="R46" s="3695">
        <f>E46</f>
        <v>0</v>
      </c>
      <c r="S46" s="3695"/>
      <c r="T46" s="3695">
        <f>G46</f>
        <v>0</v>
      </c>
      <c r="U46" s="3695"/>
      <c r="V46" s="3695">
        <f>I46</f>
        <v>0</v>
      </c>
      <c r="W46" s="3695"/>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3"/>
      <c r="M47" s="2724"/>
      <c r="N47" s="2724"/>
      <c r="O47" s="2724"/>
      <c r="P47" s="3664" t="str">
        <f>A47</f>
        <v>比较价值（元/平方米）</v>
      </c>
      <c r="Q47" s="3664"/>
      <c r="R47" s="3724" t="e">
        <f>ROUND(PRODUCT(R46,AA7:AA45),0)</f>
        <v>#DIV/0!</v>
      </c>
      <c r="S47" s="3724"/>
      <c r="T47" s="3724" t="e">
        <f>ROUND(PRODUCT(T46,AB7:AB45),0)</f>
        <v>#DIV/0!</v>
      </c>
      <c r="U47" s="3724"/>
      <c r="V47" s="3724" t="e">
        <f>ROUND(PRODUCT(V46,AC7:AC45),0)</f>
        <v>#DIV/0!</v>
      </c>
      <c r="W47" s="3724"/>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3"/>
      <c r="M48" s="2724"/>
      <c r="N48" s="2724"/>
      <c r="O48" s="2724"/>
      <c r="P48" s="3661" t="str">
        <f>A48</f>
        <v>估价对象XX用房的比较价值（楼面单价，元/平方米）</v>
      </c>
      <c r="Q48" s="3662"/>
      <c r="R48" s="3725" t="e">
        <f>ROUND(IF(D47="简单平均",AVERAGE(R47:W47),R47*F47+T47*H47+V47*J47),0)</f>
        <v>#DIV/0!</v>
      </c>
      <c r="S48" s="3725"/>
      <c r="T48" s="3725"/>
      <c r="U48" s="3725"/>
      <c r="V48" s="3725"/>
      <c r="W48" s="3725"/>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4.4"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679" t="s">
        <v>1887</v>
      </c>
      <c r="H55" s="3726"/>
      <c r="I55" s="135" t="s">
        <v>1888</v>
      </c>
      <c r="J55" s="1985">
        <f>项目基本情况!F35</f>
        <v>0</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195.03</v>
      </c>
      <c r="F56" s="886" t="e">
        <f t="shared" ref="F56:F64" si="15">ROUND(B56*E56/10000,0)</f>
        <v>#DIV/0!</v>
      </c>
      <c r="G56" s="3675"/>
      <c r="H56" s="3664"/>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0.3</v>
      </c>
      <c r="D60" s="945">
        <v>0.25</v>
      </c>
      <c r="E60" s="217">
        <f>'数据-汇总表'!E11</f>
        <v>0</v>
      </c>
      <c r="F60" s="886" t="e">
        <f t="shared" si="15"/>
        <v>#DIV/0!</v>
      </c>
      <c r="G60" s="1987" t="s">
        <v>1896</v>
      </c>
      <c r="H60" s="887" t="str">
        <f>项目基本情况!C37</f>
        <v>一级</v>
      </c>
      <c r="I60" s="891">
        <f>SUMIF(修正!A57:A68,H60,修正!E57:E68)</f>
        <v>0.3</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0.3</v>
      </c>
      <c r="D61" s="945">
        <v>0.25</v>
      </c>
      <c r="E61" s="217">
        <f>'数据-汇总表'!E12</f>
        <v>0</v>
      </c>
      <c r="F61" s="886" t="e">
        <f t="shared" si="15"/>
        <v>#DIV/0!</v>
      </c>
      <c r="G61" s="892" t="s">
        <v>1898</v>
      </c>
      <c r="H61" s="887" t="str">
        <f>IF(G61="商业",项目基本情况!B37,IF(G61="办公",项目基本情况!C37,IF(G61="住宅",项目基本情况!D37,项目基本情况!E37)))</f>
        <v>一级</v>
      </c>
      <c r="I61" s="891">
        <f>SUMIF(修正!A57:A68,H61,修正!F57:F68)</f>
        <v>0.3</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4.4" thickBot="1">
      <c r="A64" s="641" t="s">
        <v>1902</v>
      </c>
      <c r="B64" s="218" t="e">
        <f t="shared" si="17"/>
        <v>#DIV/0!</v>
      </c>
      <c r="C64" s="171">
        <f t="shared" si="16"/>
        <v>0.2</v>
      </c>
      <c r="D64" s="945">
        <v>0.25</v>
      </c>
      <c r="E64" s="217">
        <f>'数据-汇总表'!E15</f>
        <v>0</v>
      </c>
      <c r="F64" s="886" t="e">
        <f t="shared" si="15"/>
        <v>#DIV/0!</v>
      </c>
      <c r="G64" s="1988" t="s">
        <v>1896</v>
      </c>
      <c r="H64" s="897" t="str">
        <f>项目基本情况!C37</f>
        <v>一级</v>
      </c>
      <c r="I64" s="893">
        <f>SUMIF(修正!A57:A68,H64,修正!G57:G68)</f>
        <v>0.2</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thickBot="1">
      <c r="A65" s="643" t="s">
        <v>1903</v>
      </c>
      <c r="B65" s="644" t="s">
        <v>22</v>
      </c>
      <c r="C65" s="644" t="s">
        <v>23</v>
      </c>
      <c r="D65" s="644" t="s">
        <v>392</v>
      </c>
      <c r="E65" s="644">
        <f>IF(B46="楼面地价",SUM(E56:E64),'数据-汇总表'!D3)</f>
        <v>195.03</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2024-9-1</v>
      </c>
      <c r="D67" s="692">
        <f>EDATE(C67,-3)</f>
        <v>45444</v>
      </c>
      <c r="E67" s="692">
        <f>EDATE(D67,-3)</f>
        <v>45352</v>
      </c>
      <c r="F67" s="692">
        <f t="shared" ref="F67:O67" si="18">EDATE(E67,-3)</f>
        <v>45261</v>
      </c>
      <c r="G67" s="692">
        <f t="shared" si="18"/>
        <v>45170</v>
      </c>
      <c r="H67" s="692">
        <f t="shared" si="18"/>
        <v>45078</v>
      </c>
      <c r="I67" s="692">
        <f t="shared" si="18"/>
        <v>44986</v>
      </c>
      <c r="J67" s="692">
        <f t="shared" si="18"/>
        <v>44896</v>
      </c>
      <c r="K67" s="692">
        <f t="shared" si="18"/>
        <v>44805</v>
      </c>
      <c r="L67" s="692">
        <f t="shared" si="18"/>
        <v>44713</v>
      </c>
      <c r="M67" s="692">
        <f t="shared" si="18"/>
        <v>44621</v>
      </c>
      <c r="N67" s="692">
        <f t="shared" si="18"/>
        <v>44531</v>
      </c>
      <c r="O67" s="692">
        <f t="shared" si="18"/>
        <v>44440</v>
      </c>
      <c r="P67" s="2724"/>
      <c r="Q67" s="2724"/>
      <c r="R67" s="2724"/>
      <c r="S67" s="2724"/>
      <c r="T67" s="2724"/>
      <c r="U67" s="2724"/>
      <c r="V67" s="2724"/>
      <c r="W67" s="2724"/>
      <c r="X67" s="2724"/>
      <c r="Y67" s="2724"/>
      <c r="Z67" s="2724"/>
      <c r="AA67" s="2724"/>
      <c r="AB67" s="2724"/>
      <c r="AC67" s="2724"/>
    </row>
    <row r="68" spans="1:29" ht="22.2"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4.4">
      <c r="A69" s="1989" t="s">
        <v>1904</v>
      </c>
      <c r="B69" s="1109"/>
      <c r="C69" s="1182" t="str">
        <f>YEAR(C67)&amp;"-"&amp;ROUNDUP(MONTH(C67)/3,0)</f>
        <v>2024-3</v>
      </c>
      <c r="D69" s="1182" t="str">
        <f>YEAR(D67)&amp;"-"&amp;ROUNDUP(MONTH(D67)/3,0)</f>
        <v>2024-2</v>
      </c>
      <c r="E69" s="1182" t="str">
        <f t="shared" ref="E69:O69" si="19">YEAR(E67)&amp;"-"&amp;ROUNDUP(MONTH(E67)/3,0)</f>
        <v>2024-1</v>
      </c>
      <c r="F69" s="1182" t="str">
        <f t="shared" si="19"/>
        <v>2023-4</v>
      </c>
      <c r="G69" s="1182" t="str">
        <f t="shared" si="19"/>
        <v>2023-3</v>
      </c>
      <c r="H69" s="1182" t="str">
        <f t="shared" si="19"/>
        <v>2023-2</v>
      </c>
      <c r="I69" s="1182" t="str">
        <f t="shared" si="19"/>
        <v>2023-1</v>
      </c>
      <c r="J69" s="1182" t="str">
        <f t="shared" si="19"/>
        <v>2022-4</v>
      </c>
      <c r="K69" s="1182" t="str">
        <f t="shared" si="19"/>
        <v>2022-3</v>
      </c>
      <c r="L69" s="1182" t="str">
        <f t="shared" si="19"/>
        <v>2022-2</v>
      </c>
      <c r="M69" s="1182" t="str">
        <f t="shared" si="19"/>
        <v>2022-1</v>
      </c>
      <c r="N69" s="1182" t="str">
        <f t="shared" si="19"/>
        <v>2021-4</v>
      </c>
      <c r="O69" s="1182" t="str">
        <f t="shared" si="19"/>
        <v>2021-3</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4.4">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4.4"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ht="14.4">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4.4"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9.4"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4.4"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4.4"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4.4"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4.4"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4.4"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4.4"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4.4"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ht="14.4">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9.4"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4.4"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4.4"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4.4"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4.4"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4.4"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4.4"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4.4"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4.4"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4.4"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4.4"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4.4"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4.4"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4.4"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4.4">
      <c r="A4" s="355" t="s">
        <v>1769</v>
      </c>
      <c r="B4" s="356"/>
      <c r="C4" s="3679" t="s">
        <v>1770</v>
      </c>
      <c r="D4" s="3680"/>
      <c r="E4" s="3681" t="s">
        <v>1771</v>
      </c>
      <c r="F4" s="3682"/>
      <c r="G4" s="3679" t="s">
        <v>1772</v>
      </c>
      <c r="H4" s="3680"/>
      <c r="I4" s="3679" t="s">
        <v>1773</v>
      </c>
      <c r="J4" s="3680"/>
      <c r="K4" s="559" t="s">
        <v>1774</v>
      </c>
      <c r="L4" s="2714"/>
      <c r="M4" s="2715"/>
      <c r="N4" s="2715"/>
      <c r="O4" s="2715"/>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29">
      <c r="A5" s="358"/>
      <c r="B5" s="359"/>
      <c r="C5" s="3698" t="s">
        <v>1673</v>
      </c>
      <c r="D5" s="3699"/>
      <c r="E5" s="3705" t="s">
        <v>1674</v>
      </c>
      <c r="F5" s="3706"/>
      <c r="G5" s="3698" t="s">
        <v>1675</v>
      </c>
      <c r="H5" s="3699"/>
      <c r="I5" s="3698" t="s">
        <v>1676</v>
      </c>
      <c r="J5" s="3699"/>
      <c r="K5" s="559"/>
      <c r="L5" s="2714"/>
      <c r="M5" s="2715"/>
      <c r="N5" s="2715"/>
      <c r="O5" s="2715"/>
      <c r="P5" s="3685"/>
      <c r="Q5" s="3686"/>
      <c r="R5" s="3691"/>
      <c r="S5" s="3692"/>
      <c r="T5" s="3691"/>
      <c r="U5" s="3692"/>
      <c r="V5" s="3695"/>
      <c r="W5" s="3695"/>
      <c r="X5" s="1355"/>
      <c r="Y5" s="3691"/>
      <c r="Z5" s="3692"/>
      <c r="AA5" s="3677"/>
      <c r="AB5" s="3677"/>
      <c r="AC5" s="3677"/>
    </row>
    <row r="6" spans="1:29" ht="15" thickBot="1">
      <c r="A6" s="360"/>
      <c r="B6" s="361"/>
      <c r="C6" s="3727" t="s">
        <v>1919</v>
      </c>
      <c r="D6" s="3728"/>
      <c r="E6" s="3729" t="s">
        <v>1919</v>
      </c>
      <c r="F6" s="3730"/>
      <c r="G6" s="3727" t="s">
        <v>1919</v>
      </c>
      <c r="H6" s="3728"/>
      <c r="I6" s="3727" t="s">
        <v>1919</v>
      </c>
      <c r="J6" s="3728"/>
      <c r="K6" s="559" t="s">
        <v>1678</v>
      </c>
      <c r="L6" s="2714"/>
      <c r="M6" s="2715"/>
      <c r="N6" s="2715"/>
      <c r="O6" s="2715"/>
      <c r="P6" s="3687"/>
      <c r="Q6" s="3688"/>
      <c r="R6" s="3691"/>
      <c r="S6" s="3692"/>
      <c r="T6" s="3693"/>
      <c r="U6" s="3694"/>
      <c r="V6" s="3695"/>
      <c r="W6" s="3695"/>
      <c r="X6" s="1355"/>
      <c r="Y6" s="3693"/>
      <c r="Z6" s="3694"/>
      <c r="AA6" s="3678"/>
      <c r="AB6" s="3678"/>
      <c r="AC6" s="3678"/>
    </row>
    <row r="7" spans="1:29" s="108" customFormat="1" ht="15" thickBot="1">
      <c r="A7" s="362" t="s">
        <v>1679</v>
      </c>
      <c r="B7" s="363"/>
      <c r="C7" s="364">
        <f>'数据-取费表'!B2</f>
        <v>45539</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70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00" t="s">
        <v>1683</v>
      </c>
      <c r="Q8" s="3701"/>
      <c r="R8" s="701" t="s">
        <v>14</v>
      </c>
      <c r="S8" s="702">
        <f t="shared" si="0"/>
        <v>0</v>
      </c>
      <c r="T8" s="701" t="s">
        <v>14</v>
      </c>
      <c r="U8" s="702">
        <f t="shared" si="1"/>
        <v>0</v>
      </c>
      <c r="V8" s="701" t="s">
        <v>14</v>
      </c>
      <c r="W8" s="702">
        <f t="shared" si="2"/>
        <v>0</v>
      </c>
      <c r="X8" s="703"/>
      <c r="Y8" s="3700" t="s">
        <v>1683</v>
      </c>
      <c r="Z8" s="3701"/>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664"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8"/>
      <c r="M10" s="2719"/>
      <c r="N10" s="2719"/>
      <c r="O10" s="2772"/>
      <c r="P10" s="3664"/>
      <c r="Q10" s="1343" t="str">
        <f t="shared" si="6"/>
        <v>土地使用年限（年）</v>
      </c>
      <c r="R10" s="701" t="s">
        <v>14</v>
      </c>
      <c r="S10" s="702" t="e">
        <f t="shared" si="0"/>
        <v>#DIV/0!</v>
      </c>
      <c r="T10" s="701" t="s">
        <v>14</v>
      </c>
      <c r="U10" s="702" t="e">
        <f t="shared" si="1"/>
        <v>#DIV/0!</v>
      </c>
      <c r="V10" s="701" t="s">
        <v>14</v>
      </c>
      <c r="W10" s="702" t="e">
        <f t="shared" si="2"/>
        <v>#DIV/0!</v>
      </c>
      <c r="X10" s="703"/>
      <c r="Y10" s="3539"/>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64"/>
      <c r="Q11" s="1343" t="str">
        <f t="shared" si="6"/>
        <v>容积率</v>
      </c>
      <c r="R11" s="701" t="s">
        <v>14</v>
      </c>
      <c r="S11" s="702" t="e">
        <f t="shared" si="0"/>
        <v>#N/A</v>
      </c>
      <c r="T11" s="701" t="s">
        <v>14</v>
      </c>
      <c r="U11" s="702" t="e">
        <f t="shared" si="1"/>
        <v>#N/A</v>
      </c>
      <c r="V11" s="701" t="s">
        <v>14</v>
      </c>
      <c r="W11" s="702" t="e">
        <f t="shared" si="2"/>
        <v>#N/A</v>
      </c>
      <c r="X11" s="703"/>
      <c r="Y11" s="353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64"/>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64"/>
      <c r="Q14" s="1343">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66" t="s">
        <v>1691</v>
      </c>
      <c r="Q15" s="1352" t="str">
        <f t="shared" si="6"/>
        <v>产业集聚程度</v>
      </c>
      <c r="R15" s="705" t="s">
        <v>14</v>
      </c>
      <c r="S15" s="706">
        <f t="shared" si="0"/>
        <v>100</v>
      </c>
      <c r="T15" s="705" t="s">
        <v>14</v>
      </c>
      <c r="U15" s="706">
        <f t="shared" si="1"/>
        <v>100</v>
      </c>
      <c r="V15" s="705" t="s">
        <v>14</v>
      </c>
      <c r="W15" s="706">
        <f t="shared" si="2"/>
        <v>100</v>
      </c>
      <c r="X15" s="1355"/>
      <c r="Y15" s="366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667"/>
      <c r="Q16" s="1352"/>
      <c r="R16" s="705"/>
      <c r="S16" s="706"/>
      <c r="T16" s="705"/>
      <c r="U16" s="706"/>
      <c r="V16" s="705"/>
      <c r="W16" s="706"/>
      <c r="X16" s="1355"/>
      <c r="Y16" s="3667"/>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67"/>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667"/>
      <c r="Q18" s="1352"/>
      <c r="R18" s="705"/>
      <c r="S18" s="706"/>
      <c r="T18" s="705"/>
      <c r="U18" s="706"/>
      <c r="V18" s="705"/>
      <c r="W18" s="706"/>
      <c r="X18" s="1355"/>
      <c r="Y18" s="3667"/>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67"/>
      <c r="Q19" s="1352" t="str">
        <f t="shared" ref="Q19:Q33" si="8">B19</f>
        <v>区域土地利用方向</v>
      </c>
      <c r="R19" s="705" t="s">
        <v>14</v>
      </c>
      <c r="S19" s="706">
        <f>F19</f>
        <v>100</v>
      </c>
      <c r="T19" s="705" t="s">
        <v>14</v>
      </c>
      <c r="U19" s="706">
        <f>H19</f>
        <v>100</v>
      </c>
      <c r="V19" s="705" t="s">
        <v>14</v>
      </c>
      <c r="W19" s="706">
        <f>J19</f>
        <v>100</v>
      </c>
      <c r="X19" s="1355"/>
      <c r="Y19" s="366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667"/>
      <c r="Q20" s="1352"/>
      <c r="R20" s="705"/>
      <c r="S20" s="706"/>
      <c r="T20" s="705"/>
      <c r="U20" s="706"/>
      <c r="V20" s="705"/>
      <c r="W20" s="706"/>
      <c r="X20" s="1355"/>
      <c r="Y20" s="3667"/>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67"/>
      <c r="Q21" s="1352" t="str">
        <f t="shared" si="8"/>
        <v>环境状况</v>
      </c>
      <c r="R21" s="705" t="s">
        <v>14</v>
      </c>
      <c r="S21" s="706">
        <f>F21</f>
        <v>100</v>
      </c>
      <c r="T21" s="705" t="s">
        <v>14</v>
      </c>
      <c r="U21" s="706">
        <f>H21</f>
        <v>100</v>
      </c>
      <c r="V21" s="705" t="s">
        <v>14</v>
      </c>
      <c r="W21" s="706">
        <f>J21</f>
        <v>100</v>
      </c>
      <c r="X21" s="1355"/>
      <c r="Y21" s="366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667"/>
      <c r="Q22" s="1352"/>
      <c r="R22" s="705"/>
      <c r="S22" s="706"/>
      <c r="T22" s="705"/>
      <c r="U22" s="706"/>
      <c r="V22" s="705"/>
      <c r="W22" s="706"/>
      <c r="X22" s="1355"/>
      <c r="Y22" s="3667"/>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67"/>
      <c r="Q23" s="1343" t="str">
        <f t="shared" si="8"/>
        <v>公共配套设施</v>
      </c>
      <c r="R23" s="701" t="s">
        <v>14</v>
      </c>
      <c r="S23" s="702">
        <f>F23</f>
        <v>100</v>
      </c>
      <c r="T23" s="701" t="s">
        <v>14</v>
      </c>
      <c r="U23" s="702">
        <f>H23</f>
        <v>100</v>
      </c>
      <c r="V23" s="701" t="s">
        <v>14</v>
      </c>
      <c r="W23" s="702">
        <f>J23</f>
        <v>100</v>
      </c>
      <c r="X23" s="703"/>
      <c r="Y23" s="366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667"/>
      <c r="Q24" s="1343"/>
      <c r="R24" s="701"/>
      <c r="S24" s="702"/>
      <c r="T24" s="701"/>
      <c r="U24" s="702"/>
      <c r="V24" s="701"/>
      <c r="W24" s="702"/>
      <c r="X24" s="703"/>
      <c r="Y24" s="3667"/>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67"/>
      <c r="Q25" s="1343" t="str">
        <f t="shared" ref="Q25" si="9">B25</f>
        <v>基础设施水平</v>
      </c>
      <c r="R25" s="701" t="s">
        <v>14</v>
      </c>
      <c r="S25" s="702">
        <f>F25</f>
        <v>100</v>
      </c>
      <c r="T25" s="701" t="s">
        <v>14</v>
      </c>
      <c r="U25" s="702">
        <f>H25</f>
        <v>100</v>
      </c>
      <c r="V25" s="701" t="s">
        <v>14</v>
      </c>
      <c r="W25" s="702">
        <f>J25</f>
        <v>100</v>
      </c>
      <c r="X25" s="703"/>
      <c r="Y25" s="366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667"/>
      <c r="Q26" s="1343"/>
      <c r="R26" s="701"/>
      <c r="S26" s="702"/>
      <c r="T26" s="701"/>
      <c r="U26" s="702"/>
      <c r="V26" s="701"/>
      <c r="W26" s="702"/>
      <c r="X26" s="703"/>
      <c r="Y26" s="366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6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7"/>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67"/>
      <c r="Q28" s="1352" t="str">
        <f t="shared" si="8"/>
        <v>毗邻道路的类型与等级</v>
      </c>
      <c r="R28" s="705" t="s">
        <v>14</v>
      </c>
      <c r="S28" s="706">
        <f t="shared" si="10"/>
        <v>100</v>
      </c>
      <c r="T28" s="705" t="s">
        <v>14</v>
      </c>
      <c r="U28" s="706">
        <f t="shared" si="11"/>
        <v>100</v>
      </c>
      <c r="V28" s="705" t="s">
        <v>14</v>
      </c>
      <c r="W28" s="706">
        <f t="shared" si="12"/>
        <v>100</v>
      </c>
      <c r="X28" s="1355"/>
      <c r="Y28" s="366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667"/>
      <c r="Q29" s="1352"/>
      <c r="R29" s="705"/>
      <c r="S29" s="706"/>
      <c r="T29" s="705"/>
      <c r="U29" s="706"/>
      <c r="V29" s="705"/>
      <c r="W29" s="706"/>
      <c r="X29" s="1355"/>
      <c r="Y29" s="3667"/>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67"/>
      <c r="Q30" s="1352" t="str">
        <f t="shared" si="8"/>
        <v>土地级别</v>
      </c>
      <c r="R30" s="705" t="s">
        <v>14</v>
      </c>
      <c r="S30" s="706">
        <f t="shared" si="10"/>
        <v>100</v>
      </c>
      <c r="T30" s="705" t="s">
        <v>14</v>
      </c>
      <c r="U30" s="706">
        <f t="shared" si="11"/>
        <v>100</v>
      </c>
      <c r="V30" s="705" t="s">
        <v>14</v>
      </c>
      <c r="W30" s="706">
        <f t="shared" si="12"/>
        <v>100</v>
      </c>
      <c r="X30" s="1355"/>
      <c r="Y30" s="366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67"/>
      <c r="Q31" s="1352">
        <f t="shared" si="8"/>
        <v>111</v>
      </c>
      <c r="R31" s="705" t="s">
        <v>14</v>
      </c>
      <c r="S31" s="706">
        <f t="shared" si="10"/>
        <v>100</v>
      </c>
      <c r="T31" s="705" t="s">
        <v>14</v>
      </c>
      <c r="U31" s="706">
        <f t="shared" si="11"/>
        <v>100</v>
      </c>
      <c r="V31" s="705" t="s">
        <v>14</v>
      </c>
      <c r="W31" s="706">
        <f t="shared" si="12"/>
        <v>100</v>
      </c>
      <c r="X31" s="1355"/>
      <c r="Y31" s="366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22" t="s">
        <v>1696</v>
      </c>
      <c r="Q32" s="1352">
        <f t="shared" si="8"/>
        <v>111</v>
      </c>
      <c r="R32" s="705" t="s">
        <v>14</v>
      </c>
      <c r="S32" s="706">
        <f t="shared" si="10"/>
        <v>100</v>
      </c>
      <c r="T32" s="705" t="s">
        <v>14</v>
      </c>
      <c r="U32" s="706">
        <f t="shared" si="11"/>
        <v>100</v>
      </c>
      <c r="V32" s="705" t="s">
        <v>14</v>
      </c>
      <c r="W32" s="706">
        <f t="shared" si="12"/>
        <v>100</v>
      </c>
      <c r="X32" s="1355"/>
      <c r="Y32" s="3671"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71"/>
      <c r="Q33" s="1352">
        <f t="shared" si="8"/>
        <v>111</v>
      </c>
      <c r="R33" s="708" t="s">
        <v>14</v>
      </c>
      <c r="S33" s="709">
        <f t="shared" si="10"/>
        <v>100</v>
      </c>
      <c r="T33" s="708" t="s">
        <v>14</v>
      </c>
      <c r="U33" s="709">
        <f t="shared" si="11"/>
        <v>100</v>
      </c>
      <c r="V33" s="708" t="s">
        <v>14</v>
      </c>
      <c r="W33" s="709">
        <f t="shared" si="12"/>
        <v>100</v>
      </c>
      <c r="X33" s="710"/>
      <c r="Y33" s="367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71"/>
      <c r="Q34" s="1352" t="str">
        <f>B34</f>
        <v>宗地面积</v>
      </c>
      <c r="R34" s="705" t="s">
        <v>14</v>
      </c>
      <c r="S34" s="706" t="e">
        <f t="shared" si="10"/>
        <v>#N/A</v>
      </c>
      <c r="T34" s="705" t="s">
        <v>14</v>
      </c>
      <c r="U34" s="706" t="e">
        <f t="shared" si="11"/>
        <v>#N/A</v>
      </c>
      <c r="V34" s="705" t="s">
        <v>14</v>
      </c>
      <c r="W34" s="706" t="e">
        <f t="shared" si="12"/>
        <v>#N/A</v>
      </c>
      <c r="X34" s="1355"/>
      <c r="Y34" s="3671"/>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671"/>
      <c r="Q35" s="1352" t="str">
        <f t="shared" ref="Q35:Q40" si="14">B35</f>
        <v>宗地形状</v>
      </c>
      <c r="R35" s="705" t="s">
        <v>14</v>
      </c>
      <c r="S35" s="706">
        <f t="shared" si="10"/>
        <v>100</v>
      </c>
      <c r="T35" s="705" t="s">
        <v>14</v>
      </c>
      <c r="U35" s="706">
        <f t="shared" si="11"/>
        <v>100</v>
      </c>
      <c r="V35" s="705" t="s">
        <v>14</v>
      </c>
      <c r="W35" s="706">
        <f t="shared" si="12"/>
        <v>100</v>
      </c>
      <c r="X35" s="1355"/>
      <c r="Y35" s="3671"/>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671"/>
      <c r="Q36" s="1352" t="str">
        <f t="shared" si="14"/>
        <v>宗地开发程度</v>
      </c>
      <c r="R36" s="701" t="s">
        <v>14</v>
      </c>
      <c r="S36" s="702">
        <f t="shared" si="10"/>
        <v>100</v>
      </c>
      <c r="T36" s="701" t="s">
        <v>14</v>
      </c>
      <c r="U36" s="702">
        <f t="shared" si="11"/>
        <v>100</v>
      </c>
      <c r="V36" s="701" t="s">
        <v>14</v>
      </c>
      <c r="W36" s="702">
        <f t="shared" si="12"/>
        <v>100</v>
      </c>
      <c r="X36" s="703"/>
      <c r="Y36" s="3671"/>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671" t="s">
        <v>1696</v>
      </c>
      <c r="Q37" s="1352" t="str">
        <f t="shared" si="14"/>
        <v>工程地质条件</v>
      </c>
      <c r="R37" s="705" t="s">
        <v>14</v>
      </c>
      <c r="S37" s="706">
        <f t="shared" si="10"/>
        <v>100</v>
      </c>
      <c r="T37" s="705" t="s">
        <v>14</v>
      </c>
      <c r="U37" s="706">
        <f t="shared" si="11"/>
        <v>100</v>
      </c>
      <c r="V37" s="705" t="s">
        <v>14</v>
      </c>
      <c r="W37" s="706">
        <f t="shared" si="12"/>
        <v>100</v>
      </c>
      <c r="X37" s="1355"/>
      <c r="Y37" s="367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71"/>
      <c r="Q38" s="1352">
        <f t="shared" si="14"/>
        <v>111</v>
      </c>
      <c r="R38" s="705" t="s">
        <v>14</v>
      </c>
      <c r="S38" s="706">
        <f t="shared" si="10"/>
        <v>100</v>
      </c>
      <c r="T38" s="705" t="s">
        <v>14</v>
      </c>
      <c r="U38" s="706">
        <f t="shared" si="11"/>
        <v>100</v>
      </c>
      <c r="V38" s="705" t="s">
        <v>14</v>
      </c>
      <c r="W38" s="706">
        <f t="shared" si="12"/>
        <v>100</v>
      </c>
      <c r="X38" s="1355"/>
      <c r="Y38" s="367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71"/>
      <c r="Q39" s="1352">
        <f t="shared" si="14"/>
        <v>111</v>
      </c>
      <c r="R39" s="705" t="s">
        <v>14</v>
      </c>
      <c r="S39" s="706">
        <f t="shared" si="10"/>
        <v>100</v>
      </c>
      <c r="T39" s="705" t="s">
        <v>14</v>
      </c>
      <c r="U39" s="706">
        <f t="shared" si="11"/>
        <v>100</v>
      </c>
      <c r="V39" s="705" t="s">
        <v>14</v>
      </c>
      <c r="W39" s="706">
        <f t="shared" si="12"/>
        <v>100</v>
      </c>
      <c r="X39" s="1355"/>
      <c r="Y39" s="3671"/>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71"/>
      <c r="Q40" s="1352">
        <f t="shared" si="14"/>
        <v>111</v>
      </c>
      <c r="R40" s="708" t="s">
        <v>14</v>
      </c>
      <c r="S40" s="709">
        <f t="shared" si="10"/>
        <v>100</v>
      </c>
      <c r="T40" s="708" t="s">
        <v>14</v>
      </c>
      <c r="U40" s="709">
        <f t="shared" si="11"/>
        <v>100</v>
      </c>
      <c r="V40" s="708" t="s">
        <v>14</v>
      </c>
      <c r="W40" s="709">
        <f t="shared" si="12"/>
        <v>100</v>
      </c>
      <c r="X40" s="710"/>
      <c r="Y40" s="3671"/>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3"/>
      <c r="M41" s="2715"/>
      <c r="N41" s="2715"/>
      <c r="O41" s="2724"/>
      <c r="P41" s="3664" t="str">
        <f>A41</f>
        <v>成交单价</v>
      </c>
      <c r="Q41" s="3664"/>
      <c r="R41" s="3695">
        <f>E41</f>
        <v>0</v>
      </c>
      <c r="S41" s="3695"/>
      <c r="T41" s="3695">
        <f>G41</f>
        <v>0</v>
      </c>
      <c r="U41" s="3695"/>
      <c r="V41" s="3695">
        <f>I41</f>
        <v>0</v>
      </c>
      <c r="W41" s="3695"/>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3"/>
      <c r="M42" s="2715"/>
      <c r="N42" s="2715"/>
      <c r="O42" s="2724"/>
      <c r="P42" s="3664" t="str">
        <f>A42</f>
        <v>比较价值（元/平方米）</v>
      </c>
      <c r="Q42" s="3664"/>
      <c r="R42" s="3724" t="e">
        <f>ROUND(PRODUCT(R41,AA7:AA40),0)</f>
        <v>#DIV/0!</v>
      </c>
      <c r="S42" s="3724"/>
      <c r="T42" s="3724" t="e">
        <f>ROUND(PRODUCT(T41,AB7:AB40),0)</f>
        <v>#DIV/0!</v>
      </c>
      <c r="U42" s="3724"/>
      <c r="V42" s="3724" t="e">
        <f>ROUND(PRODUCT(V41,AC7:AC40),0)</f>
        <v>#DIV/0!</v>
      </c>
      <c r="W42" s="3724"/>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3"/>
      <c r="M43" s="2715"/>
      <c r="N43" s="2715"/>
      <c r="O43" s="2724"/>
      <c r="P43" s="3661" t="str">
        <f>A43</f>
        <v>估价对象XX用房的比较价值（楼面单价，元/平方米）</v>
      </c>
      <c r="Q43" s="3662"/>
      <c r="R43" s="3725" t="e">
        <f>ROUND(IF(D42="简单平均",AVERAGE(R42:W42),R42*F42+T42*H42+V42*J42),0)</f>
        <v>#DIV/0!</v>
      </c>
      <c r="S43" s="3725"/>
      <c r="T43" s="3725"/>
      <c r="U43" s="3725"/>
      <c r="V43" s="3725"/>
      <c r="W43" s="3725"/>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4.4"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8.8">
      <c r="A50" s="632" t="s">
        <v>1881</v>
      </c>
      <c r="B50" s="633" t="s">
        <v>1882</v>
      </c>
      <c r="C50" s="1983" t="s">
        <v>1883</v>
      </c>
      <c r="D50" s="1984" t="s">
        <v>1884</v>
      </c>
      <c r="E50" s="634" t="s">
        <v>1885</v>
      </c>
      <c r="F50" s="635" t="s">
        <v>1886</v>
      </c>
      <c r="G50" s="3679" t="s">
        <v>1887</v>
      </c>
      <c r="H50" s="3726"/>
      <c r="I50" s="1356" t="s">
        <v>1923</v>
      </c>
      <c r="J50" s="1356">
        <f>项目基本情况!F35</f>
        <v>0</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195.03</v>
      </c>
      <c r="F51" s="639" t="e">
        <f t="shared" ref="F51:F60" si="15">ROUND(B51*E51/10000,0)</f>
        <v>#DIV/0!</v>
      </c>
      <c r="G51" s="3675"/>
      <c r="H51" s="3664"/>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0.3</v>
      </c>
      <c r="D56" s="945">
        <v>0.25</v>
      </c>
      <c r="E56" s="217">
        <f>'数据-汇总表'!E11</f>
        <v>0</v>
      </c>
      <c r="F56" s="639" t="e">
        <f t="shared" si="15"/>
        <v>#DIV/0!</v>
      </c>
      <c r="G56" s="1987" t="s">
        <v>1896</v>
      </c>
      <c r="H56" s="887" t="str">
        <f>项目基本情况!C37</f>
        <v>一级</v>
      </c>
      <c r="I56" s="773">
        <f>SUMIF(修正!A57:A68,H56,修正!E57:E68)</f>
        <v>0.3</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0.3</v>
      </c>
      <c r="D57" s="945">
        <v>0.25</v>
      </c>
      <c r="E57" s="217">
        <f>'数据-汇总表'!E12</f>
        <v>0</v>
      </c>
      <c r="F57" s="639" t="e">
        <f t="shared" si="15"/>
        <v>#DIV/0!</v>
      </c>
      <c r="G57" s="892" t="s">
        <v>1898</v>
      </c>
      <c r="H57" s="887" t="str">
        <f>IF(G57="商业",项目基本情况!B37,IF(G57="办公",项目基本情况!C37,IF(G57="住宅",项目基本情况!D37,项目基本情况!E37)))</f>
        <v>一级</v>
      </c>
      <c r="I57" s="773">
        <f>SUMIF(修正!A57:A68,H57,修正!F57:F68)</f>
        <v>0.3</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4.4" thickBot="1">
      <c r="A60" s="641" t="s">
        <v>1902</v>
      </c>
      <c r="B60" s="218" t="e">
        <f t="shared" si="17"/>
        <v>#DIV/0!</v>
      </c>
      <c r="C60" s="171">
        <f t="shared" si="16"/>
        <v>0.2</v>
      </c>
      <c r="D60" s="945">
        <v>0.25</v>
      </c>
      <c r="E60" s="217">
        <f>'数据-汇总表'!E15</f>
        <v>0</v>
      </c>
      <c r="F60" s="639" t="e">
        <f t="shared" si="15"/>
        <v>#DIV/0!</v>
      </c>
      <c r="G60" s="1988" t="s">
        <v>1896</v>
      </c>
      <c r="H60" s="897" t="str">
        <f>项目基本情况!C37</f>
        <v>一级</v>
      </c>
      <c r="I60" s="773">
        <f>SUMIF(修正!A57:A68,H60,修正!G57:G68)</f>
        <v>0.2</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2024-9-1</v>
      </c>
      <c r="D63" s="692">
        <f>EDATE(C63,-3)</f>
        <v>45444</v>
      </c>
      <c r="E63" s="692">
        <f>EDATE(D63,-3)</f>
        <v>45352</v>
      </c>
      <c r="F63" s="692">
        <f t="shared" ref="F63:O63" si="18">EDATE(E63,-3)</f>
        <v>45261</v>
      </c>
      <c r="G63" s="692">
        <f t="shared" si="18"/>
        <v>45170</v>
      </c>
      <c r="H63" s="692">
        <f t="shared" si="18"/>
        <v>45078</v>
      </c>
      <c r="I63" s="692">
        <f t="shared" si="18"/>
        <v>44986</v>
      </c>
      <c r="J63" s="692">
        <f t="shared" si="18"/>
        <v>44896</v>
      </c>
      <c r="K63" s="692">
        <f t="shared" si="18"/>
        <v>44805</v>
      </c>
      <c r="L63" s="692">
        <f t="shared" si="18"/>
        <v>44713</v>
      </c>
      <c r="M63" s="692">
        <f t="shared" si="18"/>
        <v>44621</v>
      </c>
      <c r="N63" s="692">
        <f t="shared" si="18"/>
        <v>44531</v>
      </c>
      <c r="O63" s="692">
        <f t="shared" si="18"/>
        <v>44440</v>
      </c>
      <c r="P63" s="2724"/>
      <c r="Q63" s="2724"/>
      <c r="R63" s="2724"/>
      <c r="S63" s="2724"/>
      <c r="T63" s="2724"/>
      <c r="U63" s="2724"/>
      <c r="V63" s="2724"/>
      <c r="W63" s="2724"/>
      <c r="X63" s="2724"/>
      <c r="Y63" s="2724"/>
      <c r="Z63" s="2724"/>
      <c r="AA63" s="2724"/>
      <c r="AB63" s="2724"/>
      <c r="AC63" s="2724"/>
      <c r="AD63" s="2724"/>
      <c r="AE63" s="2724"/>
    </row>
    <row r="64" spans="1:31" ht="22.2"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4.4">
      <c r="A65" s="1989" t="s">
        <v>1904</v>
      </c>
      <c r="B65" s="1109"/>
      <c r="C65" s="1182" t="str">
        <f>YEAR(C63)&amp;"-"&amp;ROUNDUP(MONTH(C63)/3,0)</f>
        <v>2024-3</v>
      </c>
      <c r="D65" s="1182" t="str">
        <f t="shared" ref="D65:O65" si="19">YEAR(D63)&amp;"-"&amp;ROUNDUP(MONTH(D63)/3,0)</f>
        <v>2024-2</v>
      </c>
      <c r="E65" s="1182" t="str">
        <f t="shared" si="19"/>
        <v>2024-1</v>
      </c>
      <c r="F65" s="1182" t="str">
        <f t="shared" si="19"/>
        <v>2023-4</v>
      </c>
      <c r="G65" s="1182" t="str">
        <f t="shared" si="19"/>
        <v>2023-3</v>
      </c>
      <c r="H65" s="1182" t="str">
        <f t="shared" si="19"/>
        <v>2023-2</v>
      </c>
      <c r="I65" s="1182" t="str">
        <f t="shared" si="19"/>
        <v>2023-1</v>
      </c>
      <c r="J65" s="1182" t="str">
        <f t="shared" si="19"/>
        <v>2022-4</v>
      </c>
      <c r="K65" s="1182" t="str">
        <f t="shared" si="19"/>
        <v>2022-3</v>
      </c>
      <c r="L65" s="1182" t="str">
        <f t="shared" si="19"/>
        <v>2022-2</v>
      </c>
      <c r="M65" s="1182" t="str">
        <f t="shared" si="19"/>
        <v>2022-1</v>
      </c>
      <c r="N65" s="1182" t="str">
        <f t="shared" si="19"/>
        <v>2021-4</v>
      </c>
      <c r="O65" s="1182" t="str">
        <f t="shared" si="19"/>
        <v>2021-3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4.4">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4.4"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ht="14.4">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4.4"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9.4"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4.4"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4.4"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4.4"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4.4"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4.4"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4.4"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4.4"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ht="14.4">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9.4"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4.4"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4.4"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4.4"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4.4"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4.4"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4.4"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4.4"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4.4"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4.4"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4.4"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4.4"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4.4"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4.4"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4" t="s">
        <v>2084</v>
      </c>
      <c r="D1" s="3735"/>
      <c r="E1" s="3735"/>
      <c r="F1" s="3735"/>
      <c r="G1" s="3735"/>
      <c r="H1" s="3735"/>
      <c r="I1" s="3735"/>
      <c r="J1" s="3735"/>
      <c r="K1" s="3735"/>
      <c r="L1" s="3735"/>
      <c r="M1" s="3735"/>
      <c r="N1" s="3735"/>
      <c r="O1" s="3735"/>
      <c r="P1" s="3735"/>
      <c r="Q1" s="3735"/>
      <c r="R1" s="3735"/>
      <c r="S1" s="373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1" t="s">
        <v>27</v>
      </c>
      <c r="D22" s="3732"/>
      <c r="E22" s="3732"/>
      <c r="F22" s="3732"/>
      <c r="G22" s="3732"/>
      <c r="H22" s="3732"/>
      <c r="I22" s="3732"/>
      <c r="J22" s="3732"/>
      <c r="K22" s="3732"/>
      <c r="L22" s="3732"/>
      <c r="M22" s="3732"/>
      <c r="N22" s="3732"/>
      <c r="O22" s="3732"/>
      <c r="P22" s="3732"/>
      <c r="Q22" s="373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2"/>
      <c r="G1" s="2792"/>
      <c r="H1" s="2792"/>
      <c r="I1" s="2792"/>
      <c r="J1" s="2792"/>
      <c r="K1" s="2792"/>
      <c r="L1" s="2792"/>
      <c r="M1" s="2792"/>
      <c r="N1" s="2792"/>
      <c r="O1" s="2792"/>
      <c r="P1" s="2792"/>
    </row>
    <row r="2" spans="1:16" ht="15.6">
      <c r="A2" s="2145" t="s">
        <v>2073</v>
      </c>
      <c r="B2" s="2601" t="e">
        <f ca="1">SUMIF(B6:B13,"&lt;&gt;#ref!",B6:B13)</f>
        <v>#DIV/0!</v>
      </c>
      <c r="C2" s="2145" t="s">
        <v>2074</v>
      </c>
      <c r="D2" s="2145" t="s">
        <v>2075</v>
      </c>
      <c r="E2" s="2611">
        <f ca="1">SUMIF(E6:E13,"&lt;&gt;#ref!",E6:E13)</f>
        <v>0</v>
      </c>
      <c r="F2" s="2792"/>
      <c r="G2" s="2792"/>
      <c r="H2" s="2792"/>
      <c r="I2" s="2792"/>
      <c r="J2" s="2792"/>
      <c r="K2" s="2792"/>
      <c r="L2" s="2792"/>
      <c r="M2" s="2792"/>
      <c r="N2" s="2792"/>
      <c r="O2" s="2792"/>
      <c r="P2" s="2792"/>
    </row>
    <row r="3" spans="1:16" ht="15.6">
      <c r="A3" s="2145" t="s">
        <v>2076</v>
      </c>
      <c r="B3" s="2601" t="e">
        <f ca="1">ROUND(B2*10000/E2,0)</f>
        <v>#DIV/0!</v>
      </c>
      <c r="C3" s="2145" t="s">
        <v>2082</v>
      </c>
      <c r="D3" s="2792"/>
      <c r="E3" s="2792"/>
      <c r="F3" s="2792"/>
      <c r="G3" s="2792"/>
      <c r="H3" s="2792"/>
      <c r="I3" s="2792"/>
      <c r="J3" s="2792"/>
      <c r="K3" s="2792"/>
      <c r="L3" s="2792"/>
      <c r="M3" s="2792"/>
      <c r="N3" s="2792"/>
      <c r="O3" s="2792"/>
      <c r="P3" s="2792"/>
    </row>
    <row r="4" spans="1:16" ht="15.6">
      <c r="A4" s="2793"/>
      <c r="B4" s="2792"/>
      <c r="C4" s="2792"/>
      <c r="D4" s="2792"/>
      <c r="E4" s="2792"/>
      <c r="F4" s="2792"/>
      <c r="G4" s="2792"/>
      <c r="H4" s="2792"/>
      <c r="I4" s="2792"/>
      <c r="J4" s="2792"/>
      <c r="K4" s="2792"/>
      <c r="L4" s="2792"/>
      <c r="M4" s="2792"/>
      <c r="N4" s="2792"/>
      <c r="O4" s="2792"/>
      <c r="P4" s="2792"/>
    </row>
    <row r="5" spans="1:16" ht="31.2">
      <c r="A5" s="2607" t="s">
        <v>2077</v>
      </c>
      <c r="B5" s="2609" t="s">
        <v>2078</v>
      </c>
      <c r="C5" s="2146"/>
      <c r="D5" s="2792"/>
      <c r="E5" s="2610" t="s">
        <v>2079</v>
      </c>
      <c r="F5" s="2792"/>
      <c r="G5" s="2792"/>
      <c r="H5" s="2792"/>
      <c r="I5" s="2792"/>
      <c r="J5" s="2792"/>
      <c r="K5" s="2792"/>
      <c r="L5" s="2792"/>
      <c r="M5" s="2792"/>
      <c r="N5" s="2792"/>
      <c r="O5" s="2792"/>
      <c r="P5" s="2792"/>
    </row>
    <row r="6" spans="1:16" ht="15.6">
      <c r="A6" s="2608" t="s">
        <v>2080</v>
      </c>
      <c r="B6" s="2601" t="e">
        <f ca="1">SUMIF(INDIRECT("'"&amp;A6&amp;"'"&amp;"!A:A"),"总价",INDIRECT("'"&amp;A6&amp;"'"&amp;"!B:B"))</f>
        <v>#DIV/0!</v>
      </c>
      <c r="C6" s="2145" t="s">
        <v>2074</v>
      </c>
      <c r="D6" s="2792"/>
      <c r="E6" s="2611">
        <f ca="1">SUMIF(INDIRECT("'"&amp;A6&amp;"'"&amp;"!C:C"),"建筑面积",INDIRECT("'"&amp;A6&amp;"'"&amp;"!D:D"))</f>
        <v>0</v>
      </c>
      <c r="F6" s="2792"/>
      <c r="G6" s="2792"/>
      <c r="H6" s="2792"/>
      <c r="I6" s="2792"/>
      <c r="J6" s="2792"/>
      <c r="K6" s="2792"/>
      <c r="L6" s="2792"/>
      <c r="M6" s="2792"/>
      <c r="N6" s="2792"/>
      <c r="O6" s="2792"/>
      <c r="P6" s="2792"/>
    </row>
    <row r="7" spans="1:16" ht="15.6">
      <c r="A7" s="2608"/>
      <c r="B7" s="2601" t="e">
        <f ca="1">SUMIF(INDIRECT("'"&amp;A7&amp;"'"&amp;"!A:A"),"总价",INDIRECT("'"&amp;A7&amp;"'"&amp;"!B:B"))</f>
        <v>#REF!</v>
      </c>
      <c r="C7" s="2145"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6">
      <c r="A8" s="2608"/>
      <c r="B8" s="2601" t="e">
        <f t="shared" ref="B8:B13" ca="1" si="1">SUMIF(INDIRECT("'"&amp;A8&amp;"'"&amp;"!A:A"),"总价",INDIRECT("'"&amp;A8&amp;"'"&amp;"!B:B"))</f>
        <v>#REF!</v>
      </c>
      <c r="C8" s="2145" t="s">
        <v>2074</v>
      </c>
      <c r="D8" s="2792"/>
      <c r="E8" s="2611" t="e">
        <f t="shared" ca="1" si="0"/>
        <v>#REF!</v>
      </c>
      <c r="F8" s="2792"/>
      <c r="G8" s="2792"/>
      <c r="H8" s="2792"/>
      <c r="I8" s="2792"/>
      <c r="J8" s="2792"/>
      <c r="K8" s="2792"/>
      <c r="L8" s="2792"/>
      <c r="M8" s="2792"/>
      <c r="N8" s="2792"/>
      <c r="O8" s="2792"/>
      <c r="P8" s="2792"/>
    </row>
    <row r="9" spans="1:16" ht="15.6">
      <c r="A9" s="2608"/>
      <c r="B9" s="2601" t="e">
        <f t="shared" ca="1" si="1"/>
        <v>#REF!</v>
      </c>
      <c r="C9" s="2145" t="s">
        <v>2074</v>
      </c>
      <c r="D9" s="2792"/>
      <c r="E9" s="2611" t="e">
        <f t="shared" ca="1" si="0"/>
        <v>#REF!</v>
      </c>
      <c r="F9" s="2792"/>
      <c r="G9" s="2792"/>
      <c r="H9" s="2792"/>
      <c r="I9" s="2792"/>
      <c r="J9" s="2792"/>
      <c r="K9" s="2792"/>
      <c r="L9" s="2792"/>
      <c r="M9" s="2792"/>
      <c r="N9" s="2792"/>
      <c r="O9" s="2792"/>
      <c r="P9" s="2792"/>
    </row>
    <row r="10" spans="1:16" ht="15.6">
      <c r="A10" s="2608"/>
      <c r="B10" s="2601" t="e">
        <f t="shared" ca="1" si="1"/>
        <v>#REF!</v>
      </c>
      <c r="C10" s="2145" t="s">
        <v>2074</v>
      </c>
      <c r="D10" s="2792"/>
      <c r="E10" s="2611" t="e">
        <f t="shared" ca="1" si="0"/>
        <v>#REF!</v>
      </c>
      <c r="F10" s="2792"/>
      <c r="G10" s="2792"/>
      <c r="H10" s="2792"/>
      <c r="I10" s="2792"/>
      <c r="J10" s="2792"/>
      <c r="K10" s="2792"/>
      <c r="L10" s="2792"/>
      <c r="M10" s="2792"/>
      <c r="N10" s="2792"/>
      <c r="O10" s="2792"/>
      <c r="P10" s="2792"/>
    </row>
    <row r="11" spans="1:16" ht="15.6">
      <c r="A11" s="2608"/>
      <c r="B11" s="2601" t="e">
        <f t="shared" ca="1" si="1"/>
        <v>#REF!</v>
      </c>
      <c r="C11" s="2145" t="s">
        <v>2074</v>
      </c>
      <c r="D11" s="2792"/>
      <c r="E11" s="2611" t="e">
        <f t="shared" ca="1" si="0"/>
        <v>#REF!</v>
      </c>
      <c r="F11" s="2792"/>
      <c r="G11" s="2792"/>
      <c r="H11" s="2792"/>
      <c r="I11" s="2792"/>
      <c r="J11" s="2792"/>
      <c r="K11" s="2792"/>
      <c r="L11" s="2792"/>
      <c r="M11" s="2792"/>
      <c r="N11" s="2792"/>
      <c r="O11" s="2792"/>
      <c r="P11" s="2792"/>
    </row>
    <row r="12" spans="1:16" ht="15.6">
      <c r="A12" s="2608"/>
      <c r="B12" s="2601" t="e">
        <f t="shared" ca="1" si="1"/>
        <v>#REF!</v>
      </c>
      <c r="C12" s="2145" t="s">
        <v>2074</v>
      </c>
      <c r="D12" s="2792"/>
      <c r="E12" s="2611" t="e">
        <f t="shared" ca="1" si="0"/>
        <v>#REF!</v>
      </c>
      <c r="F12" s="2792"/>
      <c r="G12" s="2792"/>
      <c r="H12" s="2792"/>
      <c r="I12" s="2792"/>
      <c r="J12" s="2792"/>
      <c r="K12" s="2792"/>
      <c r="L12" s="2792"/>
      <c r="M12" s="2792"/>
      <c r="N12" s="2792"/>
      <c r="O12" s="2792"/>
      <c r="P12" s="2792"/>
    </row>
    <row r="13" spans="1:16" ht="15.6">
      <c r="A13" s="2608"/>
      <c r="B13" s="2601" t="e">
        <f t="shared" ca="1" si="1"/>
        <v>#REF!</v>
      </c>
      <c r="C13" s="2145"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C23" sqref="C23"/>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t="e">
        <f>C30</f>
        <v>#DIV/0!</v>
      </c>
      <c r="C2" s="1999" t="s">
        <v>1935</v>
      </c>
      <c r="D2" s="2000" t="s">
        <v>1936</v>
      </c>
      <c r="E2" s="3421"/>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0</v>
      </c>
      <c r="T2" s="3360" t="e">
        <f t="shared" ref="T2:T16" si="0">ROUND($C$5*$C$22*$C$23*$C$24*S2*$C$28,0)</f>
        <v>#DIV/0!</v>
      </c>
      <c r="U2" s="1213"/>
      <c r="V2" s="3360" t="e">
        <f>ROUND(T2*U2/10000,0)</f>
        <v>#DIV/0!</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9" t="s">
        <v>1941</v>
      </c>
      <c r="D3" s="2000" t="s">
        <v>1942</v>
      </c>
      <c r="E3" s="3419"/>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0</v>
      </c>
      <c r="T3" s="3360" t="e">
        <f t="shared" si="0"/>
        <v>#DIV/0!</v>
      </c>
      <c r="U3" s="1213"/>
      <c r="V3" s="3360" t="e">
        <f t="shared" ref="V3:V16" si="1">ROUND(T3*U3/10000,0)</f>
        <v>#DIV/0!</v>
      </c>
      <c r="W3" s="1216"/>
      <c r="X3" s="1216"/>
      <c r="Y3" s="1216"/>
      <c r="Z3" s="1216"/>
      <c r="AA3" s="1216"/>
      <c r="AB3" s="1216"/>
      <c r="AC3" s="1217"/>
      <c r="AD3" s="1218"/>
      <c r="AE3" s="1218"/>
      <c r="AF3" s="1218"/>
      <c r="AG3" s="1218"/>
      <c r="AH3" s="1218"/>
      <c r="AI3" s="1218"/>
      <c r="AJ3" s="1219"/>
    </row>
    <row r="4" spans="1:36" ht="15.6">
      <c r="A4" s="3744"/>
      <c r="B4" s="3745"/>
      <c r="C4" s="3745"/>
      <c r="D4" s="3746"/>
      <c r="E4" s="3746"/>
      <c r="F4" s="3746"/>
      <c r="G4" s="3746"/>
      <c r="H4" s="3746"/>
      <c r="I4" s="3746"/>
      <c r="J4" s="374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v>
      </c>
      <c r="T4" s="3360" t="e">
        <f t="shared" si="0"/>
        <v>#DIV/0!</v>
      </c>
      <c r="U4" s="1213"/>
      <c r="V4" s="3360" t="e">
        <f t="shared" si="1"/>
        <v>#DIV/0!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v>
      </c>
      <c r="T5" s="3360" t="e">
        <f t="shared" si="0"/>
        <v>#DIV/0!</v>
      </c>
      <c r="U5" s="1213"/>
      <c r="V5" s="3360" t="e">
        <f t="shared" si="1"/>
        <v>#DIV/0!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v>
      </c>
      <c r="T6" s="3360" t="e">
        <f t="shared" si="0"/>
        <v>#DIV/0!</v>
      </c>
      <c r="U6" s="1213"/>
      <c r="V6" s="3360" t="e">
        <f t="shared" si="1"/>
        <v>#DIV/0!</v>
      </c>
      <c r="W6" s="1216"/>
      <c r="X6" s="1216"/>
      <c r="Y6" s="1216"/>
      <c r="Z6" s="1216"/>
      <c r="AA6" s="1216"/>
      <c r="AB6" s="1216"/>
      <c r="AC6" s="2011"/>
      <c r="AD6" s="2012"/>
      <c r="AE6" s="2012"/>
      <c r="AF6" s="2012"/>
      <c r="AG6" s="2012"/>
      <c r="AH6" s="2012"/>
      <c r="AI6" s="2012"/>
      <c r="AJ6" s="2013"/>
    </row>
    <row r="7" spans="1:36" ht="24.6" thickBot="1">
      <c r="A7" s="3303" t="s">
        <v>3239</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t="e">
        <f t="shared" si="0"/>
        <v>#DIV/0!</v>
      </c>
      <c r="U7" s="1213"/>
      <c r="V7" s="3360"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8"/>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t="e">
        <f t="shared" si="0"/>
        <v>#DIV/0!</v>
      </c>
      <c r="U8" s="1213"/>
      <c r="V8" s="3360" t="e">
        <f t="shared" si="1"/>
        <v>#DIV/0!</v>
      </c>
      <c r="W8" s="3741" t="s">
        <v>1960</v>
      </c>
      <c r="X8" s="374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t="e">
        <f t="shared" si="0"/>
        <v>#DIV/0!</v>
      </c>
      <c r="U9" s="1213"/>
      <c r="V9" s="3360" t="e">
        <f t="shared" si="1"/>
        <v>#DIV/0!</v>
      </c>
      <c r="W9" s="3743"/>
      <c r="X9" s="3361" t="s">
        <v>3270</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t="e">
        <f t="shared" si="0"/>
        <v>#DIV/0!</v>
      </c>
      <c r="U10" s="1213"/>
      <c r="V10" s="3360" t="e">
        <f t="shared" si="1"/>
        <v>#DIV/0!</v>
      </c>
      <c r="W10" s="3743"/>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6"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t="e">
        <f t="shared" si="0"/>
        <v>#DIV/0!</v>
      </c>
      <c r="U11" s="1213"/>
      <c r="V11" s="3360" t="e">
        <f t="shared" si="1"/>
        <v>#DIV/0!</v>
      </c>
      <c r="W11" s="1216"/>
      <c r="X11" s="1216"/>
      <c r="Y11" s="1216"/>
      <c r="Z11" s="1216"/>
      <c r="AA11" s="1216"/>
      <c r="AB11" s="1216"/>
      <c r="AC11" s="1217"/>
      <c r="AD11" s="2788"/>
      <c r="AE11" s="2788"/>
      <c r="AF11" s="2788"/>
      <c r="AG11" s="2788"/>
      <c r="AH11" s="2788"/>
      <c r="AI11" s="2788"/>
      <c r="AJ11" s="2789"/>
    </row>
    <row r="12" spans="1:36" ht="25.8" thickBot="1">
      <c r="A12" s="3303" t="s">
        <v>3240</v>
      </c>
      <c r="B12" s="3304" t="s">
        <v>3241</v>
      </c>
      <c r="C12" s="3305"/>
      <c r="D12" s="3306" t="s">
        <v>3242</v>
      </c>
      <c r="E12" s="3307" t="s">
        <v>3243</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t="e">
        <f t="shared" si="0"/>
        <v>#DIV/0!</v>
      </c>
      <c r="U12" s="1213"/>
      <c r="V12" s="3360" t="e">
        <f t="shared" si="1"/>
        <v>#DIV/0!</v>
      </c>
      <c r="W12" s="1216"/>
      <c r="X12" s="1216"/>
      <c r="Y12" s="1216"/>
      <c r="Z12" s="1216"/>
      <c r="AA12" s="1216"/>
      <c r="AB12" s="1216"/>
      <c r="AC12" s="1217"/>
      <c r="AD12" s="2788"/>
      <c r="AE12" s="2788"/>
      <c r="AF12" s="2788"/>
      <c r="AG12" s="2788"/>
      <c r="AH12" s="2788"/>
      <c r="AI12" s="2788"/>
      <c r="AJ12" s="2789"/>
    </row>
    <row r="13" spans="1:36" ht="24.6" thickBot="1">
      <c r="A13" s="3303" t="s">
        <v>3244</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t="e">
        <f t="shared" si="0"/>
        <v>#DIV/0!</v>
      </c>
      <c r="U13" s="1213"/>
      <c r="V13" s="3360" t="e">
        <f t="shared" si="1"/>
        <v>#DIV/0!</v>
      </c>
      <c r="W13" s="1216"/>
      <c r="X13" s="1216"/>
      <c r="Y13" s="1216"/>
      <c r="Z13" s="1216"/>
      <c r="AA13" s="1216"/>
      <c r="AB13" s="1216"/>
      <c r="AC13" s="1217"/>
      <c r="AD13" s="2788"/>
      <c r="AE13" s="2788"/>
      <c r="AF13" s="2788"/>
      <c r="AG13" s="2788"/>
      <c r="AH13" s="2788"/>
      <c r="AI13" s="2788"/>
      <c r="AJ13" s="2789"/>
    </row>
    <row r="14" spans="1:36" ht="24">
      <c r="A14" s="3297"/>
      <c r="B14" s="2040" t="s">
        <v>1985</v>
      </c>
      <c r="C14" s="2041" t="s">
        <v>1986</v>
      </c>
      <c r="D14" s="1350" t="s">
        <v>1987</v>
      </c>
      <c r="E14" s="27" t="s">
        <v>1988</v>
      </c>
      <c r="F14" s="3311" t="s">
        <v>3245</v>
      </c>
      <c r="G14" s="3311" t="s">
        <v>3245</v>
      </c>
      <c r="H14" s="3311" t="s">
        <v>3245</v>
      </c>
      <c r="I14" s="3311" t="s">
        <v>3245</v>
      </c>
      <c r="J14" s="3311" t="s">
        <v>3245</v>
      </c>
      <c r="K14" s="1119"/>
      <c r="L14" s="1119"/>
      <c r="M14" s="1119"/>
      <c r="N14" s="1119"/>
      <c r="O14" s="1119"/>
      <c r="P14" s="1119"/>
      <c r="Q14" s="1119"/>
      <c r="R14" s="1212">
        <v>13</v>
      </c>
      <c r="S14" s="1213"/>
      <c r="T14" s="3360" t="e">
        <f t="shared" si="0"/>
        <v>#DIV/0!</v>
      </c>
      <c r="U14" s="1213"/>
      <c r="V14" s="3360" t="e">
        <f t="shared" si="1"/>
        <v>#DIV/0!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3246</v>
      </c>
      <c r="G15" s="3313"/>
      <c r="H15" s="3314"/>
      <c r="I15" s="3315"/>
      <c r="J15" s="3316"/>
      <c r="K15" s="1119"/>
      <c r="L15" s="1119"/>
      <c r="M15" s="1119"/>
      <c r="N15" s="1119"/>
      <c r="O15" s="1119"/>
      <c r="P15" s="1119"/>
      <c r="Q15" s="1119"/>
      <c r="R15" s="1212">
        <v>14</v>
      </c>
      <c r="S15" s="1213"/>
      <c r="T15" s="3360" t="e">
        <f t="shared" si="0"/>
        <v>#DIV/0!</v>
      </c>
      <c r="U15" s="1213"/>
      <c r="V15" s="3360" t="e">
        <f t="shared" si="1"/>
        <v>#DIV/0!</v>
      </c>
      <c r="W15" s="1216"/>
      <c r="X15" s="1216"/>
      <c r="Y15" s="1216"/>
      <c r="Z15" s="1216"/>
      <c r="AA15" s="1216"/>
      <c r="AB15" s="1216"/>
      <c r="AC15" s="1217"/>
      <c r="AD15" s="2788"/>
      <c r="AE15" s="2788"/>
      <c r="AF15" s="2788"/>
      <c r="AG15" s="2788"/>
      <c r="AH15" s="2788"/>
      <c r="AI15" s="2788"/>
      <c r="AJ15" s="2789"/>
    </row>
    <row r="16" spans="1:36" ht="15.6"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t="e">
        <f t="shared" si="0"/>
        <v>#DIV/0!</v>
      </c>
      <c r="U16" s="1213"/>
      <c r="V16" s="3360" t="e">
        <f t="shared" si="1"/>
        <v>#DIV/0!</v>
      </c>
      <c r="W16" s="1216"/>
      <c r="X16" s="1216"/>
      <c r="Y16" s="1216"/>
      <c r="Z16" s="1216"/>
      <c r="AA16" s="1216"/>
      <c r="AB16" s="1216"/>
      <c r="AC16" s="1217"/>
      <c r="AD16" s="2788"/>
      <c r="AE16" s="2788"/>
      <c r="AF16" s="2788"/>
      <c r="AG16" s="2788"/>
      <c r="AH16" s="2788"/>
      <c r="AI16" s="2788"/>
      <c r="AJ16" s="2789"/>
    </row>
    <row r="17" spans="1:37" ht="24">
      <c r="A17" s="3329" t="s">
        <v>3247</v>
      </c>
      <c r="B17" s="3320" t="s">
        <v>3248</v>
      </c>
      <c r="C17" s="3330">
        <f>ROUND(IF(OR(E2="工业",E2="公共服务"),1,IF(AND(E18=0,E19=0),1,IF(AND(E18=J24,E19=G19),0.8,IF(E19=0,1+E17*(-0.2),1+E17*G17*(-0.2))))),4)</f>
        <v>1</v>
      </c>
      <c r="D17" s="3321" t="s">
        <v>3249</v>
      </c>
      <c r="E17" s="3330" t="e">
        <f>ROUND(G18/I18,2)</f>
        <v>#DIV/0!</v>
      </c>
      <c r="F17" s="3321" t="s">
        <v>3252</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2"/>
      <c r="B18" s="3009"/>
      <c r="C18" s="3327"/>
      <c r="D18" s="3322" t="s">
        <v>3250</v>
      </c>
      <c r="E18" s="3328"/>
      <c r="F18" s="3323" t="s">
        <v>3253</v>
      </c>
      <c r="G18" s="3327">
        <f>ROUND(1-(1/(POWER(1+G24,E18))),4)</f>
        <v>0</v>
      </c>
      <c r="H18" s="3323" t="s">
        <v>3255</v>
      </c>
      <c r="I18" s="3327">
        <f>ROUND(1-(1/(POWER(1+G24,J24))),4)</f>
        <v>0</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4.4" thickBot="1">
      <c r="A19" s="3334"/>
      <c r="B19" s="3335"/>
      <c r="C19" s="3336"/>
      <c r="D19" s="3336" t="s">
        <v>3251</v>
      </c>
      <c r="E19" s="3337"/>
      <c r="F19" s="3338" t="s">
        <v>3254</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3.8">
      <c r="A20" s="3748" t="s">
        <v>3256</v>
      </c>
      <c r="B20" s="167" t="s">
        <v>1994</v>
      </c>
      <c r="C20" s="3324" t="e">
        <f>ROUND(IF(F21="与级别开发程度一致",0,(G21-E21)/C21),0)</f>
        <v>#DIV/0!</v>
      </c>
      <c r="D20" s="3340" t="s">
        <v>1998</v>
      </c>
      <c r="E20" s="3341"/>
      <c r="F20" s="3754" t="s">
        <v>1995</v>
      </c>
      <c r="G20" s="3755"/>
      <c r="H20" s="3325"/>
      <c r="I20" s="3325"/>
      <c r="J20" s="3326"/>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14.4" thickBot="1">
      <c r="A21" s="3749"/>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 thickBot="1">
      <c r="A22" s="2158" t="s">
        <v>363</v>
      </c>
      <c r="B22" s="2159" t="s">
        <v>2000</v>
      </c>
      <c r="C22" s="2160">
        <f>SUMIF(修正!C20:C51,E3,修正!E20:E51)</f>
        <v>0</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7" thickBot="1">
      <c r="A23" s="2050" t="s">
        <v>364</v>
      </c>
      <c r="B23" s="2051"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4" t="s">
        <v>2002</v>
      </c>
      <c r="E23" s="761">
        <v>44197</v>
      </c>
      <c r="F23" s="2054" t="s">
        <v>2003</v>
      </c>
      <c r="G23" s="762">
        <f>'数据-取费表'!B2</f>
        <v>45539</v>
      </c>
      <c r="H23" s="3342" t="s">
        <v>3258</v>
      </c>
      <c r="I23" s="3343" t="str">
        <f>IF(H23="季度增幅（自定义）",SUMIF(N25:N28,E2,O25:O28),"")</f>
        <v/>
      </c>
      <c r="J23" s="3445" t="s">
        <v>3257</v>
      </c>
      <c r="K23" s="1125"/>
      <c r="L23" s="2055" t="s">
        <v>2004</v>
      </c>
      <c r="M23" s="1328">
        <f>ROUND(SUMIF(地价!B2:G2,E2,地价!B16:G16),0)</f>
        <v>0</v>
      </c>
      <c r="N23" s="2056" t="s">
        <v>2005</v>
      </c>
      <c r="O23" s="763">
        <f>ROUNDDOWN(DATEDIF(E23,G23,"M")/3,0)</f>
        <v>14</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t="e">
        <f>ROUND(POWER(1+G24,J24-I24)*(POWER(1+G24,I24)-1)/(POWER(1+G24,J24)-1),4)</f>
        <v>#DIV/0!</v>
      </c>
      <c r="D24" s="2060" t="s">
        <v>2007</v>
      </c>
      <c r="E24" s="1335">
        <f>存贷款利率!E26/100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4.4">
      <c r="A25" s="2065" t="s">
        <v>366</v>
      </c>
      <c r="B25" s="2066" t="s">
        <v>3337</v>
      </c>
      <c r="C25" s="771">
        <f>IF(B25="容积率修正",IF(G3&lt;10,D26,J26),C27)</f>
        <v>0</v>
      </c>
      <c r="D25" s="2067"/>
      <c r="E25" s="2067"/>
      <c r="F25" s="2067"/>
      <c r="G25" s="2067"/>
      <c r="H25" s="2067"/>
      <c r="I25" s="2067"/>
      <c r="J25" s="2068"/>
      <c r="K25" s="1125"/>
      <c r="L25" s="2787"/>
      <c r="M25" s="2787"/>
      <c r="N25" s="2069"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4" t="s">
        <v>3259</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3260</v>
      </c>
      <c r="J26" s="772" t="str">
        <f>IF(G3&gt;=10,D115,"——")</f>
        <v>——</v>
      </c>
      <c r="K26" s="1125"/>
      <c r="L26" s="2787"/>
      <c r="M26" s="2787"/>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0</v>
      </c>
      <c r="D28" s="2052"/>
      <c r="E28" s="2077"/>
      <c r="F28" s="2077"/>
      <c r="G28" s="2077"/>
      <c r="H28" s="2077"/>
      <c r="I28" s="2077"/>
      <c r="J28" s="2078"/>
      <c r="K28" s="1125"/>
      <c r="L28" s="2787"/>
      <c r="M28" s="2787"/>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t="e">
        <f>IF(B25="容积率修正",E33+SUM(E37:E42),SUM(V2:V16)+SUM(E37:E42))</f>
        <v>#DIV/0!</v>
      </c>
      <c r="D30" s="2083"/>
      <c r="E30" s="2046"/>
      <c r="F30" s="2084"/>
      <c r="G30" s="2046"/>
      <c r="H30" s="2046"/>
      <c r="I30" s="2046"/>
      <c r="J30" s="2085"/>
      <c r="K30" s="1119"/>
      <c r="L30" s="3350" t="s">
        <v>1936</v>
      </c>
      <c r="M30" s="3351" t="s">
        <v>1990</v>
      </c>
      <c r="N30" s="3351" t="s">
        <v>1991</v>
      </c>
      <c r="O30" s="3351" t="s">
        <v>1992</v>
      </c>
      <c r="P30" s="3351" t="s">
        <v>1993</v>
      </c>
      <c r="Q30" s="3354" t="s">
        <v>3264</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t="e">
        <f>E34+SUM(I37:I42)</f>
        <v>#DIV/0!</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t="e">
        <f>ROUND(C5*C22*C23*C24*C25*C28,0)</f>
        <v>#DIV/0!</v>
      </c>
      <c r="D33" s="2098"/>
      <c r="E33" s="773" t="e">
        <f>ROUND(C33*D33/10000,0)</f>
        <v>#DIV/0!</v>
      </c>
      <c r="F33" s="3345" t="s">
        <v>3262</v>
      </c>
      <c r="G33" s="2099"/>
      <c r="H33" s="2099"/>
      <c r="I33" s="2099"/>
      <c r="J33" s="2100"/>
      <c r="K33" s="1119"/>
      <c r="L33" s="3348" t="s">
        <v>3265</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8" t="s">
        <v>3266</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3263</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6" t="s">
        <v>3267</v>
      </c>
      <c r="L36" s="3446">
        <f ca="1">'数据-取费表'!B40</f>
        <v>3.3500000000000002E-2</v>
      </c>
      <c r="M36" s="3357">
        <f ca="1">ROUND($L$36*(1+M31),3)</f>
        <v>4.2000000000000003E-2</v>
      </c>
      <c r="N36" s="3357">
        <f ca="1">ROUND($L$36*(1+N31),3)</f>
        <v>0.04</v>
      </c>
      <c r="O36" s="3357">
        <f ca="1">ROUND($L$36*(1+O31),3)</f>
        <v>3.9E-2</v>
      </c>
      <c r="P36" s="3357">
        <f ca="1">ROUND($L$36*(1+P31),3)</f>
        <v>3.6999999999999998E-2</v>
      </c>
      <c r="Q36" s="3357">
        <f ca="1">ROUND($L$36*(1+Q31),3)</f>
        <v>3.9E-2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52"/>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1"/>
      <c r="K37" s="3358" t="s">
        <v>3268</v>
      </c>
      <c r="L37" s="3356">
        <f ca="1">L36+K38</f>
        <v>3.85E-2</v>
      </c>
      <c r="M37" s="3357">
        <f ca="1">ROUND($L$37*(1+M31),3)</f>
        <v>4.8000000000000001E-2</v>
      </c>
      <c r="N37" s="3357">
        <f t="shared" ref="N37:Q37" ca="1" si="3">ROUND($L$37*(1+N31),3)</f>
        <v>4.5999999999999999E-2</v>
      </c>
      <c r="O37" s="3357">
        <f t="shared" ca="1" si="3"/>
        <v>4.3999999999999997E-2</v>
      </c>
      <c r="P37" s="3357">
        <f t="shared" ca="1" si="3"/>
        <v>4.2000000000000003E-2</v>
      </c>
      <c r="Q37" s="3357">
        <f t="shared" ca="1" si="3"/>
        <v>4.3999999999999997E-2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3"/>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8" thickBot="1">
      <c r="A39" s="3753"/>
      <c r="B39" s="2041" t="s">
        <v>3261</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9" t="s">
        <v>3269</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8" t="s">
        <v>3271</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2054</v>
      </c>
      <c r="B53" s="2135" t="s">
        <v>2055</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2057</v>
      </c>
      <c r="B55" s="2136" t="s">
        <v>2058</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2059</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2060</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8" t="s">
        <v>3271</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2054</v>
      </c>
      <c r="B64" s="2135" t="s">
        <v>2055</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2057</v>
      </c>
      <c r="B66" s="2136" t="s">
        <v>2058</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2059</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2060</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8" t="s">
        <v>3271</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2059</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2060</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2057</v>
      </c>
      <c r="B78" s="2136" t="s">
        <v>2058</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2061</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36.6" thickBot="1">
      <c r="A80" s="2138" t="s">
        <v>2068</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4.4">
      <c r="A81" s="2126" t="s">
        <v>2069</v>
      </c>
      <c r="B81" s="2127">
        <f>1+E83</f>
        <v>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48">
      <c r="A85" s="3368" t="s">
        <v>3272</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3.8">
      <c r="A86" s="2130" t="s">
        <v>2067</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6.4">
      <c r="A87" s="2130" t="s">
        <v>2059</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6.4">
      <c r="A88" s="2130" t="s">
        <v>2060</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36">
      <c r="A89" s="2130" t="s">
        <v>2057</v>
      </c>
      <c r="B89" s="2136" t="s">
        <v>2071</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40.200000000000003"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3.8">
      <c r="A91" s="3376" t="s">
        <v>2614</v>
      </c>
      <c r="B91" s="3377">
        <f>1+E93</f>
        <v>1</v>
      </c>
      <c r="C91" s="3370"/>
      <c r="D91" s="3371"/>
      <c r="E91" s="1814"/>
      <c r="F91" s="1814"/>
      <c r="G91" s="3372"/>
      <c r="H91" s="3373"/>
      <c r="I91" s="3374"/>
      <c r="J91" s="3375"/>
      <c r="K91" s="3375"/>
      <c r="L91" s="3375"/>
      <c r="M91" s="3375"/>
      <c r="N91" s="3375"/>
    </row>
    <row r="92" spans="1:37" ht="25.2">
      <c r="A92" s="3378" t="s">
        <v>3273</v>
      </c>
      <c r="B92" s="3365"/>
      <c r="C92" s="3365" t="s">
        <v>3282</v>
      </c>
      <c r="D92" s="3365" t="s">
        <v>3283</v>
      </c>
      <c r="E92" s="3347" t="s">
        <v>3284</v>
      </c>
      <c r="F92" s="3380" t="s">
        <v>3285</v>
      </c>
      <c r="G92" s="3365" t="s">
        <v>3286</v>
      </c>
      <c r="H92" s="3387" t="s">
        <v>3289</v>
      </c>
      <c r="I92" s="3365" t="s">
        <v>3290</v>
      </c>
      <c r="J92" s="3388" t="s">
        <v>3291</v>
      </c>
      <c r="K92" s="3388" t="s">
        <v>3292</v>
      </c>
      <c r="L92" s="3388" t="s">
        <v>3293</v>
      </c>
      <c r="M92" s="3388" t="s">
        <v>3294</v>
      </c>
      <c r="N92" s="3388" t="s">
        <v>3295</v>
      </c>
    </row>
    <row r="93" spans="1:37" ht="24">
      <c r="A93" s="3368" t="s">
        <v>3274</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52.8">
      <c r="A94" s="3378" t="s">
        <v>3275</v>
      </c>
      <c r="B94" s="3369" t="str">
        <f>估价对象房地状况!C18</f>
        <v>估价对象周边道路状况、公共交通通达情况、停车便捷程度，综合评价交通便捷度较好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48">
      <c r="A95" s="3368" t="s">
        <v>3271</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7.200000000000003">
      <c r="A96" s="3378" t="s">
        <v>3276</v>
      </c>
      <c r="B96" s="3384" t="s">
        <v>3287</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3277</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36">
      <c r="A98" s="3378" t="s">
        <v>3278</v>
      </c>
      <c r="B98" s="3385" t="s">
        <v>3288</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6.4">
      <c r="A99" s="3378" t="s">
        <v>3279</v>
      </c>
      <c r="B99" s="3369" t="str">
        <f>估价对象房地状况!C21</f>
        <v>估价对象所在区域公共配套设施齐备情况</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6.4">
      <c r="A100" s="3378" t="s">
        <v>3280</v>
      </c>
      <c r="B100" s="3369" t="str">
        <f>估价对象房地状况!C22</f>
        <v>估价对象所在区域基础设施水平</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40.200000000000003" thickBot="1">
      <c r="A101" s="3379" t="s">
        <v>3281</v>
      </c>
      <c r="B101" s="3386" t="str">
        <f>估价对象房地状况!C20</f>
        <v>区域自然环境：；人文环境；综合评价环境状况一般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50" t="s">
        <v>3296</v>
      </c>
      <c r="B103" s="3750"/>
      <c r="C103" s="3750"/>
      <c r="D103" s="3750"/>
      <c r="E103" s="3750"/>
      <c r="F103" s="3750"/>
      <c r="G103" s="3750"/>
      <c r="H103" s="3750"/>
      <c r="I103" s="3750"/>
      <c r="J103" s="3750"/>
      <c r="K103" s="3389"/>
      <c r="L103" s="3389"/>
      <c r="M103" s="3389"/>
      <c r="N103" s="3389"/>
    </row>
    <row r="104" spans="1:14">
      <c r="A104" s="3751" t="s">
        <v>3297</v>
      </c>
      <c r="B104" s="3751" t="s">
        <v>3298</v>
      </c>
      <c r="C104" s="3390" t="s">
        <v>3299</v>
      </c>
      <c r="D104" s="3391"/>
      <c r="E104" s="3391"/>
      <c r="F104" s="3391"/>
      <c r="G104" s="3391"/>
      <c r="H104" s="3391"/>
      <c r="I104" s="3391"/>
      <c r="J104" s="3392"/>
      <c r="K104" s="3393"/>
      <c r="L104" s="3393"/>
      <c r="M104" s="3393"/>
      <c r="N104" s="3393"/>
    </row>
    <row r="105" spans="1:14">
      <c r="A105" s="3751"/>
      <c r="B105" s="3751"/>
      <c r="C105" s="3394" t="s">
        <v>3300</v>
      </c>
      <c r="D105" s="3394" t="s">
        <v>3301</v>
      </c>
      <c r="E105" s="3394" t="s">
        <v>3302</v>
      </c>
      <c r="F105" s="3394" t="s">
        <v>3303</v>
      </c>
      <c r="G105" s="3394" t="s">
        <v>3304</v>
      </c>
      <c r="H105" s="3394" t="s">
        <v>3305</v>
      </c>
      <c r="I105" s="3394" t="s">
        <v>3306</v>
      </c>
      <c r="J105" s="3394" t="s">
        <v>3307</v>
      </c>
      <c r="K105" s="3394" t="s">
        <v>3308</v>
      </c>
      <c r="L105" s="3394" t="s">
        <v>3309</v>
      </c>
      <c r="M105" s="3394" t="s">
        <v>3310</v>
      </c>
      <c r="N105" s="3394" t="s">
        <v>3311</v>
      </c>
    </row>
    <row r="106" spans="1:14">
      <c r="A106" s="3737" t="s">
        <v>3312</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38"/>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38"/>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38"/>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38"/>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38"/>
      <c r="B111" s="3394" t="s">
        <v>3270</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39"/>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40" t="s">
        <v>3313</v>
      </c>
      <c r="B113" s="3740"/>
      <c r="C113" s="3740"/>
      <c r="D113" s="3740"/>
      <c r="E113" s="3740"/>
      <c r="F113" s="3740"/>
      <c r="G113" s="3740"/>
      <c r="H113" s="3740"/>
      <c r="I113" s="3740"/>
      <c r="J113" s="3740"/>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8" thickBot="1">
      <c r="A115" s="3397"/>
      <c r="B115" s="3397"/>
      <c r="C115" s="3397"/>
      <c r="D115" s="3397"/>
      <c r="E115" s="3397"/>
      <c r="F115" s="3397"/>
      <c r="G115" s="3397"/>
      <c r="H115" s="3397"/>
      <c r="I115" s="3397"/>
      <c r="J115" s="3397"/>
      <c r="K115" s="3356"/>
      <c r="L115" s="3397"/>
      <c r="M115" s="3397"/>
      <c r="N115" s="3397"/>
    </row>
    <row r="116" spans="1:14" ht="25.8" thickBot="1">
      <c r="A116" s="3398" t="s">
        <v>3314</v>
      </c>
      <c r="B116" s="3415">
        <f>G3</f>
        <v>0</v>
      </c>
      <c r="C116" s="3399" t="s">
        <v>3315</v>
      </c>
      <c r="D116" s="3400">
        <f>SUMPRODUCT((A118:A122=F116)*(B117:M117=H116)*B118:M122)</f>
        <v>0</v>
      </c>
      <c r="E116" s="2000" t="s">
        <v>3316</v>
      </c>
      <c r="F116" s="3401">
        <f>E2</f>
        <v>0</v>
      </c>
      <c r="G116" s="2000" t="s">
        <v>3317</v>
      </c>
      <c r="H116" s="3401">
        <f>G2</f>
        <v>0</v>
      </c>
      <c r="I116" s="2000"/>
      <c r="J116" s="3402"/>
      <c r="K116" s="3402"/>
      <c r="L116" s="3402"/>
      <c r="M116" s="3402"/>
      <c r="N116" s="3397"/>
    </row>
    <row r="117" spans="1:14">
      <c r="A117" s="3403"/>
      <c r="B117" s="3404" t="s">
        <v>3318</v>
      </c>
      <c r="C117" s="3404" t="s">
        <v>3319</v>
      </c>
      <c r="D117" s="3404" t="s">
        <v>3320</v>
      </c>
      <c r="E117" s="3405" t="s">
        <v>3321</v>
      </c>
      <c r="F117" s="3405" t="s">
        <v>3322</v>
      </c>
      <c r="G117" s="3405" t="s">
        <v>3323</v>
      </c>
      <c r="H117" s="3406" t="s">
        <v>3324</v>
      </c>
      <c r="I117" s="3406" t="s">
        <v>3325</v>
      </c>
      <c r="J117" s="3407" t="s">
        <v>3326</v>
      </c>
      <c r="K117" s="3407" t="s">
        <v>3327</v>
      </c>
      <c r="L117" s="3407" t="s">
        <v>3328</v>
      </c>
      <c r="M117" s="3408" t="s">
        <v>3329</v>
      </c>
      <c r="N117" s="3397"/>
    </row>
    <row r="118" spans="1:14">
      <c r="A118" s="3409" t="s">
        <v>3330</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3331</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3332</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8" thickBot="1">
      <c r="A121" s="3411" t="s">
        <v>3333</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2614</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3" customWidth="1"/>
    <col min="14" max="14" width="10" style="3073" customWidth="1"/>
    <col min="15" max="16" width="8.21875" style="3073"/>
    <col min="17" max="17" width="34.109375" style="3073" customWidth="1"/>
    <col min="18" max="18" width="8.21875" style="3073" customWidth="1"/>
    <col min="19" max="19" width="8.21875" style="3073"/>
    <col min="20" max="20" width="11.6640625" style="3073" customWidth="1"/>
    <col min="21" max="16384" width="8.21875" style="3073"/>
  </cols>
  <sheetData>
    <row r="1" spans="1:13" ht="19.5" customHeight="1" thickBot="1">
      <c r="A1" s="3070" t="s">
        <v>2596</v>
      </c>
      <c r="B1" s="3071" t="s">
        <v>2597</v>
      </c>
      <c r="C1" s="3071" t="s">
        <v>2598</v>
      </c>
      <c r="D1" s="3071" t="s">
        <v>2599</v>
      </c>
      <c r="E1" s="3071" t="s">
        <v>2600</v>
      </c>
      <c r="F1" s="3071" t="s">
        <v>2601</v>
      </c>
      <c r="G1" s="3071" t="s">
        <v>2602</v>
      </c>
      <c r="H1" s="3071" t="s">
        <v>2603</v>
      </c>
      <c r="I1" s="3071" t="s">
        <v>2604</v>
      </c>
      <c r="J1" s="3071" t="s">
        <v>2605</v>
      </c>
      <c r="K1" s="3071" t="s">
        <v>2606</v>
      </c>
      <c r="L1" s="3071" t="s">
        <v>2607</v>
      </c>
      <c r="M1" s="3072" t="s">
        <v>2608</v>
      </c>
    </row>
    <row r="2" spans="1:13" ht="19.5" customHeight="1">
      <c r="A2" s="3074" t="s">
        <v>2609</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2610</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2611</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2612</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2613</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2614</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2615</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2616</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2617</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2618</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2619</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2620</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2621</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2622</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2623</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2624</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2625</v>
      </c>
      <c r="B18" s="3096"/>
      <c r="C18" s="3097"/>
      <c r="D18" s="3097"/>
      <c r="E18" s="3096"/>
      <c r="F18" s="3097"/>
      <c r="G18" s="3097"/>
    </row>
    <row r="19" spans="1:13" ht="19.5" customHeight="1" thickBot="1">
      <c r="A19" s="3094" t="s">
        <v>2626</v>
      </c>
      <c r="B19" s="3099" t="s">
        <v>2627</v>
      </c>
      <c r="C19" s="3099" t="s">
        <v>2628</v>
      </c>
      <c r="D19" s="3100"/>
      <c r="E19" s="3094" t="s">
        <v>2629</v>
      </c>
      <c r="F19" s="3101"/>
      <c r="G19" s="3101"/>
    </row>
    <row r="20" spans="1:13" ht="19.5" customHeight="1">
      <c r="A20" s="3765" t="s">
        <v>2609</v>
      </c>
      <c r="B20" s="3760" t="s">
        <v>2630</v>
      </c>
      <c r="C20" s="3102" t="s">
        <v>2441</v>
      </c>
      <c r="D20" s="3103"/>
      <c r="E20" s="3104">
        <v>1</v>
      </c>
      <c r="F20" s="3105" t="s">
        <v>2442</v>
      </c>
      <c r="G20" s="3105"/>
    </row>
    <row r="21" spans="1:13" ht="19.5" customHeight="1">
      <c r="A21" s="3766"/>
      <c r="B21" s="3759"/>
      <c r="C21" s="3106" t="s">
        <v>2443</v>
      </c>
      <c r="D21" s="3107"/>
      <c r="E21" s="3108">
        <v>1</v>
      </c>
      <c r="F21" s="3105" t="s">
        <v>2444</v>
      </c>
      <c r="G21" s="3105"/>
    </row>
    <row r="22" spans="1:13" ht="19.5" customHeight="1">
      <c r="A22" s="3766"/>
      <c r="B22" s="3759"/>
      <c r="C22" s="3106" t="s">
        <v>2445</v>
      </c>
      <c r="D22" s="3107"/>
      <c r="E22" s="3108">
        <v>0.9</v>
      </c>
      <c r="F22" s="3105" t="s">
        <v>2446</v>
      </c>
      <c r="G22" s="3105"/>
    </row>
    <row r="23" spans="1:13" ht="19.5" customHeight="1">
      <c r="A23" s="3766"/>
      <c r="B23" s="3759"/>
      <c r="C23" s="3106" t="s">
        <v>2447</v>
      </c>
      <c r="D23" s="3107"/>
      <c r="E23" s="3108">
        <v>0.9</v>
      </c>
      <c r="F23" s="3105" t="s">
        <v>2448</v>
      </c>
      <c r="G23" s="3105"/>
    </row>
    <row r="24" spans="1:13" ht="19.5" customHeight="1">
      <c r="A24" s="3766"/>
      <c r="B24" s="3759"/>
      <c r="C24" s="3106" t="s">
        <v>2449</v>
      </c>
      <c r="D24" s="3107"/>
      <c r="E24" s="3108">
        <v>0.8</v>
      </c>
      <c r="F24" s="3105" t="s">
        <v>2450</v>
      </c>
      <c r="G24" s="3105"/>
    </row>
    <row r="25" spans="1:13" ht="19.5" customHeight="1" thickBot="1">
      <c r="A25" s="3767"/>
      <c r="B25" s="3761"/>
      <c r="C25" s="3109" t="s">
        <v>2451</v>
      </c>
      <c r="D25" s="3110"/>
      <c r="E25" s="3111">
        <v>0.8</v>
      </c>
      <c r="F25" s="3105" t="s">
        <v>2452</v>
      </c>
      <c r="G25" s="3105"/>
    </row>
    <row r="26" spans="1:13" ht="19.5" customHeight="1" thickBot="1">
      <c r="A26" s="3112" t="s">
        <v>2631</v>
      </c>
      <c r="B26" s="3113" t="s">
        <v>2630</v>
      </c>
      <c r="C26" s="3114" t="s">
        <v>2632</v>
      </c>
      <c r="D26" s="3115"/>
      <c r="E26" s="3116">
        <v>1</v>
      </c>
      <c r="F26" s="3105" t="s">
        <v>2453</v>
      </c>
      <c r="G26" s="3105"/>
    </row>
    <row r="27" spans="1:13" ht="19.5" customHeight="1">
      <c r="A27" s="3762" t="s">
        <v>2633</v>
      </c>
      <c r="B27" s="3760" t="s">
        <v>2614</v>
      </c>
      <c r="C27" s="3102" t="s">
        <v>2454</v>
      </c>
      <c r="D27" s="3103"/>
      <c r="E27" s="3104">
        <v>1</v>
      </c>
      <c r="F27" s="3105" t="s">
        <v>2455</v>
      </c>
      <c r="G27" s="3105"/>
    </row>
    <row r="28" spans="1:13" ht="19.5" customHeight="1">
      <c r="A28" s="3763"/>
      <c r="B28" s="3759"/>
      <c r="C28" s="3106" t="s">
        <v>2456</v>
      </c>
      <c r="D28" s="3107"/>
      <c r="E28" s="3108">
        <v>1</v>
      </c>
      <c r="F28" s="3105" t="s">
        <v>2457</v>
      </c>
      <c r="G28" s="3105"/>
    </row>
    <row r="29" spans="1:13" ht="19.5" customHeight="1">
      <c r="A29" s="3763"/>
      <c r="B29" s="3759"/>
      <c r="C29" s="3106" t="s">
        <v>2458</v>
      </c>
      <c r="D29" s="3107"/>
      <c r="E29" s="3108">
        <v>0.8</v>
      </c>
      <c r="F29" s="3105" t="s">
        <v>2459</v>
      </c>
      <c r="G29" s="3105"/>
    </row>
    <row r="30" spans="1:13" ht="19.5" customHeight="1">
      <c r="A30" s="3763"/>
      <c r="B30" s="3759"/>
      <c r="C30" s="3106" t="s">
        <v>2460</v>
      </c>
      <c r="D30" s="3107"/>
      <c r="E30" s="3108">
        <v>0.8</v>
      </c>
      <c r="F30" s="3105" t="s">
        <v>2461</v>
      </c>
      <c r="G30" s="3105"/>
    </row>
    <row r="31" spans="1:13" ht="19.5" customHeight="1">
      <c r="A31" s="3763"/>
      <c r="B31" s="3759"/>
      <c r="C31" s="3106" t="s">
        <v>2462</v>
      </c>
      <c r="D31" s="3107"/>
      <c r="E31" s="3108">
        <v>0.8</v>
      </c>
      <c r="F31" s="3105" t="s">
        <v>2463</v>
      </c>
      <c r="G31" s="3105"/>
    </row>
    <row r="32" spans="1:13" ht="19.5" customHeight="1">
      <c r="A32" s="3763"/>
      <c r="B32" s="3759"/>
      <c r="C32" s="3106" t="s">
        <v>2464</v>
      </c>
      <c r="D32" s="3107"/>
      <c r="E32" s="3108">
        <v>0.7</v>
      </c>
      <c r="F32" s="3105" t="s">
        <v>2465</v>
      </c>
      <c r="G32" s="3105"/>
    </row>
    <row r="33" spans="1:7" ht="19.5" customHeight="1">
      <c r="A33" s="3763"/>
      <c r="B33" s="3759"/>
      <c r="C33" s="3106" t="s">
        <v>2466</v>
      </c>
      <c r="D33" s="3107"/>
      <c r="E33" s="3108">
        <v>0.8</v>
      </c>
      <c r="F33" s="3105" t="s">
        <v>2467</v>
      </c>
      <c r="G33" s="3105"/>
    </row>
    <row r="34" spans="1:7" ht="19.5" customHeight="1">
      <c r="A34" s="3763"/>
      <c r="B34" s="3759"/>
      <c r="C34" s="3106" t="s">
        <v>2468</v>
      </c>
      <c r="D34" s="3107"/>
      <c r="E34" s="3108">
        <v>0.6</v>
      </c>
      <c r="F34" s="3105" t="s">
        <v>2469</v>
      </c>
      <c r="G34" s="3105"/>
    </row>
    <row r="35" spans="1:7" ht="19.5" customHeight="1">
      <c r="A35" s="3763"/>
      <c r="B35" s="3759"/>
      <c r="C35" s="3106" t="s">
        <v>2470</v>
      </c>
      <c r="D35" s="3107"/>
      <c r="E35" s="3108">
        <v>0.2</v>
      </c>
      <c r="F35" s="3105" t="s">
        <v>2471</v>
      </c>
      <c r="G35" s="3105"/>
    </row>
    <row r="36" spans="1:7" ht="19.5" customHeight="1">
      <c r="A36" s="3763"/>
      <c r="B36" s="3759"/>
      <c r="C36" s="3106" t="s">
        <v>2472</v>
      </c>
      <c r="D36" s="3107"/>
      <c r="E36" s="3108">
        <v>0.2</v>
      </c>
      <c r="F36" s="3105" t="s">
        <v>2473</v>
      </c>
      <c r="G36" s="3105"/>
    </row>
    <row r="37" spans="1:7" ht="19.5" customHeight="1">
      <c r="A37" s="3763"/>
      <c r="B37" s="3757" t="s">
        <v>2634</v>
      </c>
      <c r="C37" s="3106" t="s">
        <v>2474</v>
      </c>
      <c r="D37" s="3107"/>
      <c r="E37" s="3108">
        <v>0.6</v>
      </c>
      <c r="F37" s="3105" t="s">
        <v>2475</v>
      </c>
      <c r="G37" s="3105"/>
    </row>
    <row r="38" spans="1:7" ht="19.5" customHeight="1">
      <c r="A38" s="3763"/>
      <c r="B38" s="3759"/>
      <c r="C38" s="3106" t="s">
        <v>2476</v>
      </c>
      <c r="D38" s="3107"/>
      <c r="E38" s="3108">
        <v>0.6</v>
      </c>
      <c r="F38" s="3105" t="s">
        <v>2477</v>
      </c>
      <c r="G38" s="3105"/>
    </row>
    <row r="39" spans="1:7" ht="19.5" customHeight="1" thickBot="1">
      <c r="A39" s="3764"/>
      <c r="B39" s="3761"/>
      <c r="C39" s="3109" t="s">
        <v>2478</v>
      </c>
      <c r="D39" s="3110"/>
      <c r="E39" s="3111">
        <v>0.6</v>
      </c>
      <c r="F39" s="3105" t="s">
        <v>2479</v>
      </c>
      <c r="G39" s="3105"/>
    </row>
    <row r="40" spans="1:7" ht="19.5" customHeight="1" thickBot="1">
      <c r="A40" s="3112" t="s">
        <v>2611</v>
      </c>
      <c r="B40" s="3113" t="s">
        <v>2611</v>
      </c>
      <c r="C40" s="3114" t="s">
        <v>2635</v>
      </c>
      <c r="D40" s="3115"/>
      <c r="E40" s="3116">
        <v>1</v>
      </c>
      <c r="F40" s="3105" t="s">
        <v>2480</v>
      </c>
      <c r="G40" s="3105"/>
    </row>
    <row r="41" spans="1:7" ht="19.5" customHeight="1">
      <c r="A41" s="3765" t="s">
        <v>2612</v>
      </c>
      <c r="B41" s="3760" t="s">
        <v>2636</v>
      </c>
      <c r="C41" s="3102" t="s">
        <v>2481</v>
      </c>
      <c r="D41" s="3103"/>
      <c r="E41" s="3104">
        <v>1</v>
      </c>
      <c r="F41" s="3105" t="s">
        <v>2482</v>
      </c>
      <c r="G41" s="3105"/>
    </row>
    <row r="42" spans="1:7" ht="19.5" customHeight="1">
      <c r="A42" s="3766"/>
      <c r="B42" s="3759"/>
      <c r="C42" s="3106" t="s">
        <v>2483</v>
      </c>
      <c r="D42" s="3107"/>
      <c r="E42" s="3108">
        <v>1</v>
      </c>
      <c r="F42" s="3105" t="s">
        <v>2484</v>
      </c>
      <c r="G42" s="3105"/>
    </row>
    <row r="43" spans="1:7" ht="19.5" customHeight="1">
      <c r="A43" s="3766"/>
      <c r="B43" s="3758"/>
      <c r="C43" s="3106" t="s">
        <v>2485</v>
      </c>
      <c r="D43" s="3107"/>
      <c r="E43" s="3108">
        <v>1.5</v>
      </c>
      <c r="F43" s="3105" t="s">
        <v>2486</v>
      </c>
      <c r="G43" s="3105"/>
    </row>
    <row r="44" spans="1:7" ht="19.5" customHeight="1">
      <c r="A44" s="3766"/>
      <c r="B44" s="3117" t="s">
        <v>2637</v>
      </c>
      <c r="C44" s="3106" t="s">
        <v>2638</v>
      </c>
      <c r="D44" s="3107"/>
      <c r="E44" s="3108">
        <v>2</v>
      </c>
      <c r="F44" s="3105" t="s">
        <v>2487</v>
      </c>
      <c r="G44" s="3105"/>
    </row>
    <row r="45" spans="1:7" ht="19.5" customHeight="1">
      <c r="A45" s="3766"/>
      <c r="B45" s="3757" t="s">
        <v>2639</v>
      </c>
      <c r="C45" s="3106" t="s">
        <v>2488</v>
      </c>
      <c r="D45" s="3107"/>
      <c r="E45" s="3108">
        <v>1</v>
      </c>
      <c r="F45" s="3105" t="s">
        <v>2489</v>
      </c>
      <c r="G45" s="3105"/>
    </row>
    <row r="46" spans="1:7" ht="19.5" customHeight="1">
      <c r="A46" s="3766"/>
      <c r="B46" s="3759"/>
      <c r="C46" s="3106" t="s">
        <v>2490</v>
      </c>
      <c r="D46" s="3107"/>
      <c r="E46" s="3108">
        <v>1</v>
      </c>
      <c r="F46" s="3105" t="s">
        <v>2491</v>
      </c>
      <c r="G46" s="3105"/>
    </row>
    <row r="47" spans="1:7" ht="19.5" customHeight="1">
      <c r="A47" s="3766"/>
      <c r="B47" s="3759"/>
      <c r="C47" s="3106" t="s">
        <v>2492</v>
      </c>
      <c r="D47" s="3107"/>
      <c r="E47" s="3108">
        <v>1</v>
      </c>
      <c r="F47" s="3105" t="s">
        <v>2493</v>
      </c>
      <c r="G47" s="3105"/>
    </row>
    <row r="48" spans="1:7" ht="19.5" customHeight="1">
      <c r="A48" s="3766"/>
      <c r="B48" s="3759"/>
      <c r="C48" s="3106" t="s">
        <v>2494</v>
      </c>
      <c r="D48" s="3107"/>
      <c r="E48" s="3108">
        <v>1</v>
      </c>
      <c r="F48" s="3105" t="s">
        <v>2495</v>
      </c>
      <c r="G48" s="3105"/>
    </row>
    <row r="49" spans="1:7" ht="19.5" customHeight="1">
      <c r="A49" s="3766"/>
      <c r="B49" s="3759"/>
      <c r="C49" s="3106" t="s">
        <v>2496</v>
      </c>
      <c r="D49" s="3107"/>
      <c r="E49" s="3108">
        <v>1</v>
      </c>
      <c r="F49" s="3105" t="s">
        <v>2497</v>
      </c>
      <c r="G49" s="3105"/>
    </row>
    <row r="50" spans="1:7" ht="19.5" customHeight="1">
      <c r="A50" s="3766"/>
      <c r="B50" s="3759"/>
      <c r="C50" s="3106" t="s">
        <v>2498</v>
      </c>
      <c r="D50" s="3107"/>
      <c r="E50" s="3108">
        <v>1</v>
      </c>
      <c r="F50" s="3105" t="s">
        <v>2499</v>
      </c>
      <c r="G50" s="3105"/>
    </row>
    <row r="51" spans="1:7" ht="19.5" customHeight="1" thickBot="1">
      <c r="A51" s="3767"/>
      <c r="B51" s="3761"/>
      <c r="C51" s="3109" t="s">
        <v>2500</v>
      </c>
      <c r="D51" s="3110"/>
      <c r="E51" s="3111">
        <v>1</v>
      </c>
      <c r="F51" s="3105" t="s">
        <v>2501</v>
      </c>
      <c r="G51" s="3105"/>
    </row>
    <row r="52" spans="1:7" ht="19.5" customHeight="1">
      <c r="A52" s="3118"/>
      <c r="B52" s="3118"/>
      <c r="C52" s="3118"/>
      <c r="D52" s="3118"/>
      <c r="E52" s="3118"/>
      <c r="F52" s="3118"/>
      <c r="G52" s="3118"/>
    </row>
    <row r="54" spans="1:7" ht="19.5" customHeight="1">
      <c r="A54" s="3119"/>
      <c r="B54" s="3091" t="s">
        <v>2640</v>
      </c>
      <c r="C54" s="3091" t="s">
        <v>2640</v>
      </c>
      <c r="D54" s="3091" t="s">
        <v>2640</v>
      </c>
      <c r="E54" s="3094" t="s">
        <v>2640</v>
      </c>
      <c r="F54" s="3094" t="s">
        <v>2641</v>
      </c>
      <c r="G54" s="3094" t="s">
        <v>2642</v>
      </c>
    </row>
    <row r="55" spans="1:7" ht="19.5" customHeight="1">
      <c r="A55" s="3120"/>
      <c r="B55" s="3094" t="s">
        <v>2609</v>
      </c>
      <c r="C55" s="3094" t="s">
        <v>2609</v>
      </c>
      <c r="D55" s="3094" t="s">
        <v>2609</v>
      </c>
      <c r="E55" s="3091" t="s">
        <v>2610</v>
      </c>
      <c r="F55" s="3091" t="s">
        <v>2612</v>
      </c>
      <c r="G55" s="3091" t="s">
        <v>2643</v>
      </c>
    </row>
    <row r="56" spans="1:7" ht="19.5" customHeight="1">
      <c r="A56" s="3121"/>
      <c r="B56" s="3091">
        <v>1</v>
      </c>
      <c r="C56" s="3091">
        <v>2</v>
      </c>
      <c r="D56" s="3091">
        <v>3</v>
      </c>
      <c r="E56" s="3122" t="s">
        <v>2644</v>
      </c>
      <c r="F56" s="3122" t="s">
        <v>2644</v>
      </c>
      <c r="G56" s="3122" t="s">
        <v>2644</v>
      </c>
    </row>
    <row r="57" spans="1:7" ht="19.5" customHeight="1">
      <c r="A57" s="3123" t="s">
        <v>2597</v>
      </c>
      <c r="B57" s="3091">
        <v>0.7</v>
      </c>
      <c r="C57" s="3091">
        <v>0.4</v>
      </c>
      <c r="D57" s="3091">
        <v>0.3</v>
      </c>
      <c r="E57" s="3122">
        <v>0.3</v>
      </c>
      <c r="F57" s="3091">
        <v>0.3</v>
      </c>
      <c r="G57" s="3091">
        <v>0.2</v>
      </c>
    </row>
    <row r="58" spans="1:7" ht="19.5" customHeight="1">
      <c r="A58" s="3123" t="s">
        <v>2598</v>
      </c>
      <c r="B58" s="3091">
        <v>0.7</v>
      </c>
      <c r="C58" s="3091">
        <v>0.4</v>
      </c>
      <c r="D58" s="3091">
        <v>0.3</v>
      </c>
      <c r="E58" s="3091">
        <v>0.3</v>
      </c>
      <c r="F58" s="3091">
        <v>0.3</v>
      </c>
      <c r="G58" s="3091">
        <v>0.2</v>
      </c>
    </row>
    <row r="59" spans="1:7" ht="19.5" customHeight="1">
      <c r="A59" s="3123" t="s">
        <v>2599</v>
      </c>
      <c r="B59" s="3091">
        <v>0.6</v>
      </c>
      <c r="C59" s="3091">
        <v>0.3</v>
      </c>
      <c r="D59" s="3091">
        <v>0.25</v>
      </c>
      <c r="E59" s="3091">
        <v>0.25</v>
      </c>
      <c r="F59" s="3091">
        <v>0.25</v>
      </c>
      <c r="G59" s="3091">
        <v>0.15</v>
      </c>
    </row>
    <row r="60" spans="1:7" ht="19.5" customHeight="1">
      <c r="A60" s="3123" t="s">
        <v>2600</v>
      </c>
      <c r="B60" s="3091">
        <v>0.6</v>
      </c>
      <c r="C60" s="3091">
        <v>0.3</v>
      </c>
      <c r="D60" s="3091">
        <v>0.25</v>
      </c>
      <c r="E60" s="3091">
        <v>0.25</v>
      </c>
      <c r="F60" s="3091">
        <v>0.25</v>
      </c>
      <c r="G60" s="3091">
        <v>0.15</v>
      </c>
    </row>
    <row r="61" spans="1:7" ht="19.5" customHeight="1">
      <c r="A61" s="3123" t="s">
        <v>2601</v>
      </c>
      <c r="B61" s="3091">
        <v>0.6</v>
      </c>
      <c r="C61" s="3091">
        <v>0.3</v>
      </c>
      <c r="D61" s="3091">
        <v>0.25</v>
      </c>
      <c r="E61" s="3091">
        <v>0.25</v>
      </c>
      <c r="F61" s="3091">
        <v>0.25</v>
      </c>
      <c r="G61" s="3091">
        <v>0.15</v>
      </c>
    </row>
    <row r="62" spans="1:7" ht="19.5" customHeight="1">
      <c r="A62" s="3123" t="s">
        <v>2602</v>
      </c>
      <c r="B62" s="3091">
        <v>0.6</v>
      </c>
      <c r="C62" s="3091">
        <v>0.3</v>
      </c>
      <c r="D62" s="3091">
        <v>0.25</v>
      </c>
      <c r="E62" s="3091">
        <v>0.25</v>
      </c>
      <c r="F62" s="3091">
        <v>0.25</v>
      </c>
      <c r="G62" s="3091">
        <v>0.15</v>
      </c>
    </row>
    <row r="63" spans="1:7" ht="19.5" customHeight="1">
      <c r="A63" s="3123" t="s">
        <v>2603</v>
      </c>
      <c r="B63" s="3091">
        <v>0.6</v>
      </c>
      <c r="C63" s="3091">
        <v>0.3</v>
      </c>
      <c r="D63" s="3091">
        <v>0.25</v>
      </c>
      <c r="E63" s="3091">
        <v>0.25</v>
      </c>
      <c r="F63" s="3091">
        <v>0.25</v>
      </c>
      <c r="G63" s="3091">
        <v>0.15</v>
      </c>
    </row>
    <row r="64" spans="1:7" ht="19.5" customHeight="1">
      <c r="A64" s="3123" t="s">
        <v>2604</v>
      </c>
      <c r="B64" s="3091">
        <v>0.5</v>
      </c>
      <c r="C64" s="3091">
        <v>0.2</v>
      </c>
      <c r="D64" s="3091">
        <v>0.2</v>
      </c>
      <c r="E64" s="3091">
        <v>0.2</v>
      </c>
      <c r="F64" s="3091">
        <v>0.2</v>
      </c>
      <c r="G64" s="3091">
        <v>0.1</v>
      </c>
    </row>
    <row r="65" spans="1:7" ht="19.5" customHeight="1">
      <c r="A65" s="3123" t="s">
        <v>2605</v>
      </c>
      <c r="B65" s="3091">
        <v>0.5</v>
      </c>
      <c r="C65" s="3091">
        <v>0.2</v>
      </c>
      <c r="D65" s="3091">
        <v>0.2</v>
      </c>
      <c r="E65" s="3091">
        <v>0.2</v>
      </c>
      <c r="F65" s="3091">
        <v>0.2</v>
      </c>
      <c r="G65" s="3091">
        <v>0.1</v>
      </c>
    </row>
    <row r="66" spans="1:7" ht="19.5" customHeight="1">
      <c r="A66" s="3123" t="s">
        <v>2606</v>
      </c>
      <c r="B66" s="3091">
        <v>0.5</v>
      </c>
      <c r="C66" s="3091">
        <v>0.2</v>
      </c>
      <c r="D66" s="3091">
        <v>0.2</v>
      </c>
      <c r="E66" s="3091">
        <v>0.2</v>
      </c>
      <c r="F66" s="3091">
        <v>0.2</v>
      </c>
      <c r="G66" s="3091">
        <v>0.1</v>
      </c>
    </row>
    <row r="67" spans="1:7" ht="19.5" customHeight="1">
      <c r="A67" s="3123" t="s">
        <v>2607</v>
      </c>
      <c r="B67" s="3091">
        <v>0.5</v>
      </c>
      <c r="C67" s="3091">
        <v>0.2</v>
      </c>
      <c r="D67" s="3091">
        <v>0.2</v>
      </c>
      <c r="E67" s="3091">
        <v>0.2</v>
      </c>
      <c r="F67" s="3091">
        <v>0.2</v>
      </c>
      <c r="G67" s="3091">
        <v>0.1</v>
      </c>
    </row>
    <row r="68" spans="1:7" ht="19.5" customHeight="1">
      <c r="A68" s="3123" t="s">
        <v>2608</v>
      </c>
      <c r="B68" s="3091">
        <v>0.5</v>
      </c>
      <c r="C68" s="3091">
        <v>0.2</v>
      </c>
      <c r="D68" s="3091">
        <v>0.2</v>
      </c>
      <c r="E68" s="3091">
        <v>0.2</v>
      </c>
      <c r="F68" s="3091">
        <v>0.2</v>
      </c>
      <c r="G68" s="3091">
        <v>0.1</v>
      </c>
    </row>
    <row r="70" spans="1:7" ht="19.5" customHeight="1">
      <c r="A70" s="3124"/>
      <c r="B70" s="3125"/>
      <c r="C70" s="3125"/>
      <c r="D70" s="3125" t="s">
        <v>2645</v>
      </c>
      <c r="E70" s="3125"/>
      <c r="F70" s="3125"/>
    </row>
    <row r="71" spans="1:7" ht="19.5" customHeight="1">
      <c r="A71" s="3117" t="s">
        <v>2646</v>
      </c>
      <c r="B71" s="3117" t="s">
        <v>2647</v>
      </c>
      <c r="C71" s="3117" t="s">
        <v>2648</v>
      </c>
      <c r="D71" s="3117" t="s">
        <v>2649</v>
      </c>
      <c r="E71" s="3117" t="s">
        <v>2650</v>
      </c>
      <c r="F71" s="3117" t="s">
        <v>2651</v>
      </c>
    </row>
    <row r="72" spans="1:7" ht="14.4">
      <c r="A72" s="3117"/>
      <c r="B72" s="3117"/>
      <c r="C72" s="3117" t="s">
        <v>2652</v>
      </c>
      <c r="D72" s="3117"/>
      <c r="E72" s="3117" t="s">
        <v>2623</v>
      </c>
      <c r="F72" s="3117" t="s">
        <v>2623</v>
      </c>
    </row>
    <row r="73" spans="1:7" ht="14.4">
      <c r="A73" s="3117">
        <v>1</v>
      </c>
      <c r="B73" s="3757" t="s">
        <v>2653</v>
      </c>
      <c r="C73" s="3091" t="s">
        <v>2654</v>
      </c>
      <c r="D73" s="3091" t="s">
        <v>2655</v>
      </c>
      <c r="E73" s="3117">
        <v>0.2</v>
      </c>
      <c r="F73" s="3117">
        <v>25</v>
      </c>
    </row>
    <row r="74" spans="1:7" ht="24">
      <c r="A74" s="3117">
        <v>2</v>
      </c>
      <c r="B74" s="3759"/>
      <c r="C74" s="3091" t="s">
        <v>2656</v>
      </c>
      <c r="D74" s="3091" t="s">
        <v>2657</v>
      </c>
      <c r="E74" s="3117">
        <v>0.2</v>
      </c>
      <c r="F74" s="3117">
        <v>25</v>
      </c>
    </row>
    <row r="75" spans="1:7" ht="24">
      <c r="A75" s="3117">
        <v>3</v>
      </c>
      <c r="B75" s="3759"/>
      <c r="C75" s="3091" t="s">
        <v>2658</v>
      </c>
      <c r="D75" s="3091" t="s">
        <v>2659</v>
      </c>
      <c r="E75" s="3117">
        <v>0.2</v>
      </c>
      <c r="F75" s="3117">
        <v>25</v>
      </c>
    </row>
    <row r="76" spans="1:7" ht="14.4">
      <c r="A76" s="3117">
        <v>4</v>
      </c>
      <c r="B76" s="3759"/>
      <c r="C76" s="3091" t="s">
        <v>2660</v>
      </c>
      <c r="D76" s="3091" t="s">
        <v>2661</v>
      </c>
      <c r="E76" s="3117">
        <v>0.15</v>
      </c>
      <c r="F76" s="3117">
        <v>20</v>
      </c>
    </row>
    <row r="77" spans="1:7" ht="24">
      <c r="A77" s="3117">
        <v>5</v>
      </c>
      <c r="B77" s="3759"/>
      <c r="C77" s="3091" t="s">
        <v>2662</v>
      </c>
      <c r="D77" s="3091" t="s">
        <v>2663</v>
      </c>
      <c r="E77" s="3117">
        <v>0.15</v>
      </c>
      <c r="F77" s="3117">
        <v>20</v>
      </c>
    </row>
    <row r="78" spans="1:7" ht="24">
      <c r="A78" s="3117">
        <v>6</v>
      </c>
      <c r="B78" s="3759"/>
      <c r="C78" s="3091" t="s">
        <v>2664</v>
      </c>
      <c r="D78" s="3091" t="s">
        <v>2665</v>
      </c>
      <c r="E78" s="3117">
        <v>0.15</v>
      </c>
      <c r="F78" s="3117">
        <v>20</v>
      </c>
    </row>
    <row r="79" spans="1:7" ht="24">
      <c r="A79" s="3117">
        <v>7</v>
      </c>
      <c r="B79" s="3759"/>
      <c r="C79" s="3091" t="s">
        <v>2666</v>
      </c>
      <c r="D79" s="3091" t="s">
        <v>2667</v>
      </c>
      <c r="E79" s="3117">
        <v>0.15</v>
      </c>
      <c r="F79" s="3117">
        <v>20</v>
      </c>
    </row>
    <row r="80" spans="1:7" ht="24">
      <c r="A80" s="3117">
        <v>8</v>
      </c>
      <c r="B80" s="3759"/>
      <c r="C80" s="3091" t="s">
        <v>2668</v>
      </c>
      <c r="D80" s="3091" t="s">
        <v>2669</v>
      </c>
      <c r="E80" s="3117">
        <v>0.1</v>
      </c>
      <c r="F80" s="3117">
        <v>15</v>
      </c>
    </row>
    <row r="81" spans="1:6" ht="24">
      <c r="A81" s="3117">
        <v>9</v>
      </c>
      <c r="B81" s="3759"/>
      <c r="C81" s="3091" t="s">
        <v>2670</v>
      </c>
      <c r="D81" s="3091" t="s">
        <v>2671</v>
      </c>
      <c r="E81" s="3117">
        <v>0.1</v>
      </c>
      <c r="F81" s="3117">
        <v>15</v>
      </c>
    </row>
    <row r="82" spans="1:6" ht="24">
      <c r="A82" s="3117">
        <v>10</v>
      </c>
      <c r="B82" s="3759"/>
      <c r="C82" s="3091" t="s">
        <v>2672</v>
      </c>
      <c r="D82" s="3091" t="s">
        <v>2673</v>
      </c>
      <c r="E82" s="3117">
        <v>0.1</v>
      </c>
      <c r="F82" s="3117">
        <v>15</v>
      </c>
    </row>
    <row r="83" spans="1:6" ht="24">
      <c r="A83" s="3117">
        <v>11</v>
      </c>
      <c r="B83" s="3759"/>
      <c r="C83" s="3091" t="s">
        <v>2674</v>
      </c>
      <c r="D83" s="3091" t="s">
        <v>2675</v>
      </c>
      <c r="E83" s="3117">
        <v>0.1</v>
      </c>
      <c r="F83" s="3117">
        <v>15</v>
      </c>
    </row>
    <row r="84" spans="1:6" ht="24">
      <c r="A84" s="3117">
        <v>12</v>
      </c>
      <c r="B84" s="3759"/>
      <c r="C84" s="3091" t="s">
        <v>2676</v>
      </c>
      <c r="D84" s="3091" t="s">
        <v>2677</v>
      </c>
      <c r="E84" s="3117">
        <v>0.1</v>
      </c>
      <c r="F84" s="3117">
        <v>15</v>
      </c>
    </row>
    <row r="85" spans="1:6" ht="24">
      <c r="A85" s="3117">
        <v>13</v>
      </c>
      <c r="B85" s="3759"/>
      <c r="C85" s="3091" t="s">
        <v>2678</v>
      </c>
      <c r="D85" s="3091" t="s">
        <v>2679</v>
      </c>
      <c r="E85" s="3117">
        <v>0.1</v>
      </c>
      <c r="F85" s="3117">
        <v>15</v>
      </c>
    </row>
    <row r="86" spans="1:6" ht="24">
      <c r="A86" s="3117">
        <v>14</v>
      </c>
      <c r="B86" s="3759"/>
      <c r="C86" s="3091" t="s">
        <v>2680</v>
      </c>
      <c r="D86" s="3091" t="s">
        <v>2681</v>
      </c>
      <c r="E86" s="3117">
        <v>0.1</v>
      </c>
      <c r="F86" s="3117">
        <v>15</v>
      </c>
    </row>
    <row r="87" spans="1:6" ht="24">
      <c r="A87" s="3117">
        <v>15</v>
      </c>
      <c r="B87" s="3759"/>
      <c r="C87" s="3091" t="s">
        <v>2682</v>
      </c>
      <c r="D87" s="3091" t="s">
        <v>2683</v>
      </c>
      <c r="E87" s="3117">
        <v>0.1</v>
      </c>
      <c r="F87" s="3117">
        <v>15</v>
      </c>
    </row>
    <row r="88" spans="1:6" ht="24">
      <c r="A88" s="3117">
        <v>16</v>
      </c>
      <c r="B88" s="3759"/>
      <c r="C88" s="3091" t="s">
        <v>2684</v>
      </c>
      <c r="D88" s="3091" t="s">
        <v>2685</v>
      </c>
      <c r="E88" s="3117">
        <v>0.1</v>
      </c>
      <c r="F88" s="3117">
        <v>15</v>
      </c>
    </row>
    <row r="89" spans="1:6" ht="24">
      <c r="A89" s="3117">
        <v>17</v>
      </c>
      <c r="B89" s="3758"/>
      <c r="C89" s="3091" t="s">
        <v>2686</v>
      </c>
      <c r="D89" s="3091" t="s">
        <v>2687</v>
      </c>
      <c r="E89" s="3117">
        <v>0.1</v>
      </c>
      <c r="F89" s="3117">
        <v>15</v>
      </c>
    </row>
    <row r="90" spans="1:6" ht="14.4">
      <c r="A90" s="3117">
        <v>18</v>
      </c>
      <c r="B90" s="3757" t="s">
        <v>2688</v>
      </c>
      <c r="C90" s="3091" t="s">
        <v>2689</v>
      </c>
      <c r="D90" s="3091" t="s">
        <v>2690</v>
      </c>
      <c r="E90" s="3117">
        <v>0.2</v>
      </c>
      <c r="F90" s="3117">
        <v>25</v>
      </c>
    </row>
    <row r="91" spans="1:6" ht="24">
      <c r="A91" s="3117">
        <v>19</v>
      </c>
      <c r="B91" s="3759"/>
      <c r="C91" s="3091" t="s">
        <v>2691</v>
      </c>
      <c r="D91" s="3091" t="s">
        <v>2692</v>
      </c>
      <c r="E91" s="3117">
        <v>0.2</v>
      </c>
      <c r="F91" s="3117">
        <v>25</v>
      </c>
    </row>
    <row r="92" spans="1:6" ht="14.4">
      <c r="A92" s="3117">
        <v>20</v>
      </c>
      <c r="B92" s="3759"/>
      <c r="C92" s="3091" t="s">
        <v>2693</v>
      </c>
      <c r="D92" s="3091" t="s">
        <v>2694</v>
      </c>
      <c r="E92" s="3117">
        <v>0.15</v>
      </c>
      <c r="F92" s="3117">
        <v>20</v>
      </c>
    </row>
    <row r="93" spans="1:6" ht="24">
      <c r="A93" s="3117">
        <v>21</v>
      </c>
      <c r="B93" s="3759"/>
      <c r="C93" s="3091" t="s">
        <v>2695</v>
      </c>
      <c r="D93" s="3091" t="s">
        <v>2696</v>
      </c>
      <c r="E93" s="3117">
        <v>0.15</v>
      </c>
      <c r="F93" s="3117">
        <v>20</v>
      </c>
    </row>
    <row r="94" spans="1:6" ht="24">
      <c r="A94" s="3117">
        <v>22</v>
      </c>
      <c r="B94" s="3759"/>
      <c r="C94" s="3091" t="s">
        <v>2697</v>
      </c>
      <c r="D94" s="3091" t="s">
        <v>2698</v>
      </c>
      <c r="E94" s="3117">
        <v>0.15</v>
      </c>
      <c r="F94" s="3117">
        <v>20</v>
      </c>
    </row>
    <row r="95" spans="1:6" ht="36">
      <c r="A95" s="3117">
        <v>23</v>
      </c>
      <c r="B95" s="3759"/>
      <c r="C95" s="3091" t="s">
        <v>2699</v>
      </c>
      <c r="D95" s="3091" t="s">
        <v>2700</v>
      </c>
      <c r="E95" s="3117">
        <v>0.15</v>
      </c>
      <c r="F95" s="3117">
        <v>20</v>
      </c>
    </row>
    <row r="96" spans="1:6" ht="24">
      <c r="A96" s="3117">
        <v>24</v>
      </c>
      <c r="B96" s="3759"/>
      <c r="C96" s="3091" t="s">
        <v>2701</v>
      </c>
      <c r="D96" s="3091" t="s">
        <v>2702</v>
      </c>
      <c r="E96" s="3117">
        <v>0.1</v>
      </c>
      <c r="F96" s="3117">
        <v>15</v>
      </c>
    </row>
    <row r="97" spans="1:6" ht="24">
      <c r="A97" s="3117">
        <v>25</v>
      </c>
      <c r="B97" s="3759"/>
      <c r="C97" s="3091" t="s">
        <v>2703</v>
      </c>
      <c r="D97" s="3091" t="s">
        <v>2704</v>
      </c>
      <c r="E97" s="3117">
        <v>0.1</v>
      </c>
      <c r="F97" s="3117">
        <v>15</v>
      </c>
    </row>
    <row r="98" spans="1:6" ht="24">
      <c r="A98" s="3117">
        <v>26</v>
      </c>
      <c r="B98" s="3759"/>
      <c r="C98" s="3091" t="s">
        <v>2705</v>
      </c>
      <c r="D98" s="3091" t="s">
        <v>2706</v>
      </c>
      <c r="E98" s="3117">
        <v>0.1</v>
      </c>
      <c r="F98" s="3117">
        <v>15</v>
      </c>
    </row>
    <row r="99" spans="1:6" ht="24">
      <c r="A99" s="3117">
        <v>27</v>
      </c>
      <c r="B99" s="3759"/>
      <c r="C99" s="3091" t="s">
        <v>2707</v>
      </c>
      <c r="D99" s="3091" t="s">
        <v>2708</v>
      </c>
      <c r="E99" s="3117">
        <v>0.1</v>
      </c>
      <c r="F99" s="3117">
        <v>15</v>
      </c>
    </row>
    <row r="100" spans="1:6" ht="24">
      <c r="A100" s="3117">
        <v>28</v>
      </c>
      <c r="B100" s="3759"/>
      <c r="C100" s="3091" t="s">
        <v>2709</v>
      </c>
      <c r="D100" s="3091" t="s">
        <v>2710</v>
      </c>
      <c r="E100" s="3117">
        <v>0.1</v>
      </c>
      <c r="F100" s="3117">
        <v>15</v>
      </c>
    </row>
    <row r="101" spans="1:6" ht="24">
      <c r="A101" s="3117">
        <v>29</v>
      </c>
      <c r="B101" s="3759"/>
      <c r="C101" s="3091" t="s">
        <v>2711</v>
      </c>
      <c r="D101" s="3091" t="s">
        <v>2712</v>
      </c>
      <c r="E101" s="3117">
        <v>0.1</v>
      </c>
      <c r="F101" s="3117">
        <v>15</v>
      </c>
    </row>
    <row r="102" spans="1:6" ht="24">
      <c r="A102" s="3117">
        <v>30</v>
      </c>
      <c r="B102" s="3759"/>
      <c r="C102" s="3091" t="s">
        <v>2713</v>
      </c>
      <c r="D102" s="3091" t="s">
        <v>2714</v>
      </c>
      <c r="E102" s="3117">
        <v>0.1</v>
      </c>
      <c r="F102" s="3117">
        <v>15</v>
      </c>
    </row>
    <row r="103" spans="1:6" ht="24">
      <c r="A103" s="3117">
        <v>31</v>
      </c>
      <c r="B103" s="3759"/>
      <c r="C103" s="3091" t="s">
        <v>2715</v>
      </c>
      <c r="D103" s="3091" t="s">
        <v>2716</v>
      </c>
      <c r="E103" s="3117">
        <v>0.1</v>
      </c>
      <c r="F103" s="3117">
        <v>15</v>
      </c>
    </row>
    <row r="104" spans="1:6" ht="24">
      <c r="A104" s="3117">
        <v>32</v>
      </c>
      <c r="B104" s="3759"/>
      <c r="C104" s="3091" t="s">
        <v>2717</v>
      </c>
      <c r="D104" s="3091" t="s">
        <v>2718</v>
      </c>
      <c r="E104" s="3117">
        <v>0.1</v>
      </c>
      <c r="F104" s="3117">
        <v>15</v>
      </c>
    </row>
    <row r="105" spans="1:6" ht="24">
      <c r="A105" s="3117">
        <v>33</v>
      </c>
      <c r="B105" s="3759"/>
      <c r="C105" s="3091" t="s">
        <v>2719</v>
      </c>
      <c r="D105" s="3091" t="s">
        <v>2720</v>
      </c>
      <c r="E105" s="3117">
        <v>0.1</v>
      </c>
      <c r="F105" s="3117">
        <v>15</v>
      </c>
    </row>
    <row r="106" spans="1:6" ht="24">
      <c r="A106" s="3117">
        <v>34</v>
      </c>
      <c r="B106" s="3758"/>
      <c r="C106" s="3091" t="s">
        <v>2721</v>
      </c>
      <c r="D106" s="3091" t="s">
        <v>2722</v>
      </c>
      <c r="E106" s="3117">
        <v>0.1</v>
      </c>
      <c r="F106" s="3117">
        <v>15</v>
      </c>
    </row>
    <row r="107" spans="1:6" ht="36">
      <c r="A107" s="3117">
        <v>35</v>
      </c>
      <c r="B107" s="3757" t="s">
        <v>2723</v>
      </c>
      <c r="C107" s="3117" t="s">
        <v>2724</v>
      </c>
      <c r="D107" s="3091" t="s">
        <v>2725</v>
      </c>
      <c r="E107" s="3117">
        <v>0.15</v>
      </c>
      <c r="F107" s="3117">
        <v>20</v>
      </c>
    </row>
    <row r="108" spans="1:6" ht="24">
      <c r="A108" s="3117">
        <v>36</v>
      </c>
      <c r="B108" s="3759"/>
      <c r="C108" s="3117" t="s">
        <v>2726</v>
      </c>
      <c r="D108" s="3091" t="s">
        <v>2727</v>
      </c>
      <c r="E108" s="3117">
        <v>0.15</v>
      </c>
      <c r="F108" s="3117">
        <v>20</v>
      </c>
    </row>
    <row r="109" spans="1:6" ht="24">
      <c r="A109" s="3117">
        <v>37</v>
      </c>
      <c r="B109" s="3759"/>
      <c r="C109" s="3117" t="s">
        <v>2728</v>
      </c>
      <c r="D109" s="3091" t="s">
        <v>2729</v>
      </c>
      <c r="E109" s="3117">
        <v>0.15</v>
      </c>
      <c r="F109" s="3117">
        <v>20</v>
      </c>
    </row>
    <row r="110" spans="1:6" ht="24">
      <c r="A110" s="3117">
        <v>38</v>
      </c>
      <c r="B110" s="3759"/>
      <c r="C110" s="3117" t="s">
        <v>2730</v>
      </c>
      <c r="D110" s="3091" t="s">
        <v>2731</v>
      </c>
      <c r="E110" s="3117">
        <v>0.1</v>
      </c>
      <c r="F110" s="3117">
        <v>15</v>
      </c>
    </row>
    <row r="111" spans="1:6" ht="24">
      <c r="A111" s="3117">
        <v>39</v>
      </c>
      <c r="B111" s="3759"/>
      <c r="C111" s="3117" t="s">
        <v>2732</v>
      </c>
      <c r="D111" s="3091" t="s">
        <v>2733</v>
      </c>
      <c r="E111" s="3117">
        <v>0.1</v>
      </c>
      <c r="F111" s="3117">
        <v>15</v>
      </c>
    </row>
    <row r="112" spans="1:6" ht="24">
      <c r="A112" s="3117">
        <v>40</v>
      </c>
      <c r="B112" s="3758"/>
      <c r="C112" s="3117" t="s">
        <v>2734</v>
      </c>
      <c r="D112" s="3091" t="s">
        <v>2735</v>
      </c>
      <c r="E112" s="3117">
        <v>0.1</v>
      </c>
      <c r="F112" s="3117">
        <v>15</v>
      </c>
    </row>
    <row r="113" spans="1:6" ht="24">
      <c r="A113" s="3117">
        <v>41</v>
      </c>
      <c r="B113" s="3756" t="s">
        <v>2736</v>
      </c>
      <c r="C113" s="3117" t="s">
        <v>2737</v>
      </c>
      <c r="D113" s="3091" t="s">
        <v>2738</v>
      </c>
      <c r="E113" s="3117">
        <v>0.1</v>
      </c>
      <c r="F113" s="3117">
        <v>15</v>
      </c>
    </row>
    <row r="114" spans="1:6" ht="24">
      <c r="A114" s="3117">
        <v>42</v>
      </c>
      <c r="B114" s="3756"/>
      <c r="C114" s="3117" t="s">
        <v>2739</v>
      </c>
      <c r="D114" s="3091" t="s">
        <v>2740</v>
      </c>
      <c r="E114" s="3117">
        <v>0.1</v>
      </c>
      <c r="F114" s="3117">
        <v>15</v>
      </c>
    </row>
    <row r="115" spans="1:6" ht="24">
      <c r="A115" s="3117">
        <v>43</v>
      </c>
      <c r="B115" s="3756"/>
      <c r="C115" s="3117" t="s">
        <v>2741</v>
      </c>
      <c r="D115" s="3091" t="s">
        <v>2742</v>
      </c>
      <c r="E115" s="3117">
        <v>0.1</v>
      </c>
      <c r="F115" s="3117">
        <v>15</v>
      </c>
    </row>
    <row r="116" spans="1:6" ht="24">
      <c r="A116" s="3117">
        <v>44</v>
      </c>
      <c r="B116" s="3757" t="s">
        <v>2743</v>
      </c>
      <c r="C116" s="3117" t="s">
        <v>2744</v>
      </c>
      <c r="D116" s="3091" t="s">
        <v>2745</v>
      </c>
      <c r="E116" s="3117">
        <v>0.1</v>
      </c>
      <c r="F116" s="3117">
        <v>15</v>
      </c>
    </row>
    <row r="117" spans="1:6" ht="24">
      <c r="A117" s="3117">
        <v>45</v>
      </c>
      <c r="B117" s="3758"/>
      <c r="C117" s="3091" t="s">
        <v>2746</v>
      </c>
      <c r="D117" s="3091" t="s">
        <v>2747</v>
      </c>
      <c r="E117" s="3117">
        <v>0.1</v>
      </c>
      <c r="F117" s="3117">
        <v>15</v>
      </c>
    </row>
    <row r="118" spans="1:6" ht="24">
      <c r="A118" s="3117">
        <v>46</v>
      </c>
      <c r="B118" s="3757" t="s">
        <v>2748</v>
      </c>
      <c r="C118" s="3117" t="s">
        <v>2749</v>
      </c>
      <c r="D118" s="3091" t="s">
        <v>2750</v>
      </c>
      <c r="E118" s="3117">
        <v>0.1</v>
      </c>
      <c r="F118" s="3117">
        <v>15</v>
      </c>
    </row>
    <row r="119" spans="1:6" ht="24">
      <c r="A119" s="3117">
        <v>47</v>
      </c>
      <c r="B119" s="3758"/>
      <c r="C119" s="3117" t="s">
        <v>2751</v>
      </c>
      <c r="D119" s="3091" t="s">
        <v>2752</v>
      </c>
      <c r="E119" s="3117">
        <v>0.1</v>
      </c>
      <c r="F119" s="3117">
        <v>15</v>
      </c>
    </row>
    <row r="120" spans="1:6" ht="24">
      <c r="A120" s="3117">
        <v>48</v>
      </c>
      <c r="B120" s="3757" t="s">
        <v>2753</v>
      </c>
      <c r="C120" s="3117" t="s">
        <v>2754</v>
      </c>
      <c r="D120" s="3091" t="s">
        <v>2755</v>
      </c>
      <c r="E120" s="3117">
        <v>0.1</v>
      </c>
      <c r="F120" s="3117">
        <v>15</v>
      </c>
    </row>
    <row r="121" spans="1:6" ht="24">
      <c r="A121" s="3117">
        <v>49</v>
      </c>
      <c r="B121" s="3758"/>
      <c r="C121" s="3117" t="s">
        <v>2756</v>
      </c>
      <c r="D121" s="3091" t="s">
        <v>2757</v>
      </c>
      <c r="E121" s="3117">
        <v>0.1</v>
      </c>
      <c r="F121" s="3117">
        <v>15</v>
      </c>
    </row>
    <row r="122" spans="1:6" ht="24">
      <c r="A122" s="3117">
        <v>50</v>
      </c>
      <c r="B122" s="3756" t="s">
        <v>2758</v>
      </c>
      <c r="C122" s="3117" t="s">
        <v>2759</v>
      </c>
      <c r="D122" s="3091" t="s">
        <v>2760</v>
      </c>
      <c r="E122" s="3117">
        <v>0.1</v>
      </c>
      <c r="F122" s="3117">
        <v>15</v>
      </c>
    </row>
    <row r="123" spans="1:6" ht="24">
      <c r="A123" s="3117">
        <v>51</v>
      </c>
      <c r="B123" s="3756"/>
      <c r="C123" s="3117" t="s">
        <v>2761</v>
      </c>
      <c r="D123" s="3091" t="s">
        <v>2762</v>
      </c>
      <c r="E123" s="3117">
        <v>0.1</v>
      </c>
      <c r="F123" s="3117">
        <v>15</v>
      </c>
    </row>
    <row r="124" spans="1:6" ht="24">
      <c r="A124" s="3117">
        <v>52</v>
      </c>
      <c r="B124" s="3756" t="s">
        <v>2763</v>
      </c>
      <c r="C124" s="3117" t="s">
        <v>2764</v>
      </c>
      <c r="D124" s="3091" t="s">
        <v>2765</v>
      </c>
      <c r="E124" s="3117">
        <v>0.1</v>
      </c>
      <c r="F124" s="3117">
        <v>15</v>
      </c>
    </row>
    <row r="125" spans="1:6" ht="24">
      <c r="A125" s="3117">
        <v>53</v>
      </c>
      <c r="B125" s="3756"/>
      <c r="C125" s="3117" t="s">
        <v>2766</v>
      </c>
      <c r="D125" s="3091" t="s">
        <v>2767</v>
      </c>
      <c r="E125" s="3117">
        <v>0.1</v>
      </c>
      <c r="F125" s="3117">
        <v>15</v>
      </c>
    </row>
    <row r="126" spans="1:6" ht="24">
      <c r="A126" s="3117">
        <v>54</v>
      </c>
      <c r="B126" s="3117" t="s">
        <v>2768</v>
      </c>
      <c r="C126" s="3117" t="s">
        <v>2769</v>
      </c>
      <c r="D126" s="3091" t="s">
        <v>2770</v>
      </c>
      <c r="E126" s="3117">
        <v>0.1</v>
      </c>
      <c r="F126" s="3117">
        <v>15</v>
      </c>
    </row>
    <row r="127" spans="1:6" ht="24">
      <c r="A127" s="3117">
        <v>55</v>
      </c>
      <c r="B127" s="3756" t="s">
        <v>2771</v>
      </c>
      <c r="C127" s="3117" t="s">
        <v>2772</v>
      </c>
      <c r="D127" s="3091" t="s">
        <v>2773</v>
      </c>
      <c r="E127" s="3117">
        <v>0.1</v>
      </c>
      <c r="F127" s="3117">
        <v>15</v>
      </c>
    </row>
    <row r="128" spans="1:6" ht="24">
      <c r="A128" s="3117">
        <v>56</v>
      </c>
      <c r="B128" s="3756"/>
      <c r="C128" s="3117" t="s">
        <v>2774</v>
      </c>
      <c r="D128" s="3091" t="s">
        <v>2775</v>
      </c>
      <c r="E128" s="3117">
        <v>0.1</v>
      </c>
      <c r="F128" s="3117">
        <v>15</v>
      </c>
    </row>
    <row r="129" spans="1:6" ht="24">
      <c r="A129" s="3117">
        <v>57</v>
      </c>
      <c r="B129" s="3756"/>
      <c r="C129" s="3117" t="s">
        <v>2776</v>
      </c>
      <c r="D129" s="3091" t="s">
        <v>2777</v>
      </c>
      <c r="E129" s="3117">
        <v>0.1</v>
      </c>
      <c r="F129" s="3117">
        <v>15</v>
      </c>
    </row>
    <row r="130" spans="1:6" ht="24">
      <c r="A130" s="3117">
        <v>58</v>
      </c>
      <c r="B130" s="3756" t="s">
        <v>2778</v>
      </c>
      <c r="C130" s="3117" t="s">
        <v>2779</v>
      </c>
      <c r="D130" s="3091" t="s">
        <v>2780</v>
      </c>
      <c r="E130" s="3117">
        <v>0.1</v>
      </c>
      <c r="F130" s="3117">
        <v>15</v>
      </c>
    </row>
    <row r="131" spans="1:6" ht="24">
      <c r="A131" s="3117">
        <v>59</v>
      </c>
      <c r="B131" s="3756"/>
      <c r="C131" s="3117" t="s">
        <v>2781</v>
      </c>
      <c r="D131" s="3091" t="s">
        <v>2782</v>
      </c>
      <c r="E131" s="3117">
        <v>0.1</v>
      </c>
      <c r="F131" s="3117">
        <v>15</v>
      </c>
    </row>
    <row r="132" spans="1:6" ht="24">
      <c r="A132" s="3117">
        <v>60</v>
      </c>
      <c r="B132" s="3757" t="s">
        <v>2783</v>
      </c>
      <c r="C132" s="3117" t="s">
        <v>2784</v>
      </c>
      <c r="D132" s="3091" t="s">
        <v>2785</v>
      </c>
      <c r="E132" s="3117">
        <v>0.1</v>
      </c>
      <c r="F132" s="3117">
        <v>15</v>
      </c>
    </row>
    <row r="133" spans="1:6" ht="24">
      <c r="A133" s="3117">
        <v>61</v>
      </c>
      <c r="B133" s="3758"/>
      <c r="C133" s="3117" t="s">
        <v>2786</v>
      </c>
      <c r="D133" s="3091" t="s">
        <v>2787</v>
      </c>
      <c r="E133" s="3117">
        <v>0.1</v>
      </c>
      <c r="F133" s="3117">
        <v>15</v>
      </c>
    </row>
    <row r="134" spans="1:6" ht="24">
      <c r="A134" s="3117">
        <v>62</v>
      </c>
      <c r="B134" s="3117" t="s">
        <v>2788</v>
      </c>
      <c r="C134" s="3117" t="s">
        <v>2789</v>
      </c>
      <c r="D134" s="3091" t="s">
        <v>2790</v>
      </c>
      <c r="E134" s="3117">
        <v>0.1</v>
      </c>
      <c r="F134" s="3117">
        <v>15</v>
      </c>
    </row>
    <row r="135" spans="1:6" ht="24">
      <c r="A135" s="3117">
        <v>63</v>
      </c>
      <c r="B135" s="3756" t="s">
        <v>2791</v>
      </c>
      <c r="C135" s="3117" t="s">
        <v>2792</v>
      </c>
      <c r="D135" s="3091" t="s">
        <v>2793</v>
      </c>
      <c r="E135" s="3117">
        <v>0.1</v>
      </c>
      <c r="F135" s="3117">
        <v>15</v>
      </c>
    </row>
    <row r="136" spans="1:6" ht="24">
      <c r="A136" s="3117">
        <v>64</v>
      </c>
      <c r="B136" s="3756"/>
      <c r="C136" s="3117" t="s">
        <v>2794</v>
      </c>
      <c r="D136" s="3091" t="s">
        <v>2795</v>
      </c>
      <c r="E136" s="3117">
        <v>0.1</v>
      </c>
      <c r="F136" s="3117">
        <v>15</v>
      </c>
    </row>
    <row r="137" spans="1:6" ht="24">
      <c r="A137" s="3117">
        <v>65</v>
      </c>
      <c r="B137" s="3117" t="s">
        <v>2796</v>
      </c>
      <c r="C137" s="3117" t="s">
        <v>2797</v>
      </c>
      <c r="D137" s="3091" t="s">
        <v>2798</v>
      </c>
      <c r="E137" s="3117">
        <v>0.1</v>
      </c>
      <c r="F137" s="3117">
        <v>15</v>
      </c>
    </row>
    <row r="138" spans="1:6" ht="14.4">
      <c r="A138" s="3117"/>
      <c r="B138" s="3117"/>
      <c r="C138" s="3117"/>
      <c r="D138" s="3117"/>
      <c r="E138" s="3117" t="s">
        <v>2799</v>
      </c>
      <c r="F138" s="3117"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0"/>
    <col min="14" max="16384" width="9" style="750"/>
  </cols>
  <sheetData>
    <row r="1" spans="1:20" ht="16.2" thickBot="1">
      <c r="A1" s="3126" t="s">
        <v>2800</v>
      </c>
      <c r="B1" s="3126"/>
      <c r="C1" s="3126"/>
      <c r="D1" s="3126"/>
      <c r="E1" s="3126"/>
      <c r="F1" s="3126"/>
      <c r="G1" s="3126"/>
      <c r="H1" s="3126"/>
      <c r="I1" s="3126"/>
      <c r="J1" s="3126"/>
      <c r="K1" s="3126"/>
      <c r="L1" s="3126"/>
      <c r="M1" s="3126"/>
      <c r="N1" s="749"/>
    </row>
    <row r="2" spans="1:20">
      <c r="A2" s="3127" t="s">
        <v>2801</v>
      </c>
      <c r="B2" s="3128" t="s">
        <v>2597</v>
      </c>
      <c r="C2" s="3128" t="s">
        <v>2598</v>
      </c>
      <c r="D2" s="3128" t="s">
        <v>2599</v>
      </c>
      <c r="E2" s="3128" t="s">
        <v>2600</v>
      </c>
      <c r="F2" s="3128" t="s">
        <v>2601</v>
      </c>
      <c r="G2" s="3128" t="s">
        <v>2602</v>
      </c>
      <c r="H2" s="3129" t="s">
        <v>2603</v>
      </c>
      <c r="I2" s="3129" t="s">
        <v>2604</v>
      </c>
      <c r="J2" s="3130" t="s">
        <v>2605</v>
      </c>
      <c r="K2" s="3130" t="s">
        <v>2606</v>
      </c>
      <c r="L2" s="3130" t="s">
        <v>2607</v>
      </c>
      <c r="M2" s="3131" t="s">
        <v>2608</v>
      </c>
      <c r="Q2" s="3141" t="s">
        <v>2806</v>
      </c>
      <c r="R2" s="3141" t="s">
        <v>2807</v>
      </c>
      <c r="S2" s="3141" t="s">
        <v>2808</v>
      </c>
      <c r="T2" s="3141" t="s">
        <v>2809</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6.2" thickBot="1">
      <c r="A93" s="3126" t="s">
        <v>2802</v>
      </c>
      <c r="B93" s="3126"/>
      <c r="C93" s="3126"/>
      <c r="D93" s="3126"/>
      <c r="E93" s="3126"/>
      <c r="F93" s="3126"/>
      <c r="G93" s="3126"/>
      <c r="H93" s="3126"/>
      <c r="I93" s="3126"/>
      <c r="J93" s="3126"/>
      <c r="K93" s="3126"/>
      <c r="L93" s="3126"/>
      <c r="M93" s="3126"/>
    </row>
    <row r="94" spans="1:20">
      <c r="A94" s="3127" t="s">
        <v>2801</v>
      </c>
      <c r="B94" s="3128" t="s">
        <v>2597</v>
      </c>
      <c r="C94" s="3128" t="s">
        <v>2598</v>
      </c>
      <c r="D94" s="3128" t="s">
        <v>2599</v>
      </c>
      <c r="E94" s="3128" t="s">
        <v>2600</v>
      </c>
      <c r="F94" s="3128" t="s">
        <v>2601</v>
      </c>
      <c r="G94" s="3128" t="s">
        <v>2602</v>
      </c>
      <c r="H94" s="3129" t="s">
        <v>2603</v>
      </c>
      <c r="I94" s="3129" t="s">
        <v>2604</v>
      </c>
      <c r="J94" s="3130" t="s">
        <v>2605</v>
      </c>
      <c r="K94" s="3130" t="s">
        <v>2606</v>
      </c>
      <c r="L94" s="3130" t="s">
        <v>2607</v>
      </c>
      <c r="M94" s="3131" t="s">
        <v>2608</v>
      </c>
      <c r="N94" s="750">
        <f>SUMPRODUCT((A95:A184=ROUNDDOWN(基准地价修正!G3,1))*(B94:M94=基准地价修正!G2)*(B95:M184))</f>
        <v>0</v>
      </c>
      <c r="Q94" s="3141" t="s">
        <v>2806</v>
      </c>
      <c r="R94" s="3141" t="s">
        <v>2807</v>
      </c>
      <c r="S94" s="3141" t="s">
        <v>2808</v>
      </c>
      <c r="T94" s="3141" t="s">
        <v>2809</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5.6">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5.6">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6.2" thickBot="1">
      <c r="A185" s="3126" t="s">
        <v>2803</v>
      </c>
      <c r="B185" s="3126"/>
      <c r="C185" s="3126"/>
      <c r="D185" s="3126"/>
      <c r="E185" s="3126"/>
      <c r="F185" s="3126"/>
      <c r="G185" s="3126"/>
      <c r="H185" s="3126"/>
      <c r="I185" s="3126"/>
      <c r="J185" s="3126"/>
      <c r="K185" s="3126"/>
      <c r="L185" s="3126"/>
      <c r="M185" s="3126"/>
    </row>
    <row r="186" spans="1:20">
      <c r="A186" s="3127" t="s">
        <v>2801</v>
      </c>
      <c r="B186" s="3128" t="s">
        <v>2597</v>
      </c>
      <c r="C186" s="3128" t="s">
        <v>2598</v>
      </c>
      <c r="D186" s="3128" t="s">
        <v>2599</v>
      </c>
      <c r="E186" s="3128" t="s">
        <v>2600</v>
      </c>
      <c r="F186" s="3128" t="s">
        <v>2601</v>
      </c>
      <c r="G186" s="3128" t="s">
        <v>2602</v>
      </c>
      <c r="H186" s="3129" t="s">
        <v>2603</v>
      </c>
      <c r="I186" s="3129" t="s">
        <v>2604</v>
      </c>
      <c r="J186" s="3130" t="s">
        <v>2605</v>
      </c>
      <c r="K186" s="3130" t="s">
        <v>2606</v>
      </c>
      <c r="L186" s="3130" t="s">
        <v>2607</v>
      </c>
      <c r="M186" s="3131" t="s">
        <v>2608</v>
      </c>
      <c r="Q186" s="3141" t="s">
        <v>2806</v>
      </c>
      <c r="R186" s="3141" t="s">
        <v>2807</v>
      </c>
      <c r="S186" s="3141" t="s">
        <v>2808</v>
      </c>
      <c r="T186" s="3141" t="s">
        <v>2809</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6.2" thickBot="1">
      <c r="A277" s="3126" t="s">
        <v>2804</v>
      </c>
      <c r="B277" s="3126"/>
      <c r="C277" s="3126"/>
      <c r="D277" s="3126"/>
      <c r="E277" s="3126"/>
      <c r="F277" s="3126"/>
      <c r="G277" s="3126"/>
      <c r="H277" s="3126"/>
      <c r="I277" s="3126"/>
      <c r="J277" s="3126"/>
      <c r="K277" s="3126"/>
      <c r="L277" s="3126"/>
      <c r="M277" s="3126"/>
    </row>
    <row r="278" spans="1:21">
      <c r="A278" s="3127" t="s">
        <v>2801</v>
      </c>
      <c r="B278" s="3128" t="s">
        <v>2597</v>
      </c>
      <c r="C278" s="3128" t="s">
        <v>2598</v>
      </c>
      <c r="D278" s="3128" t="s">
        <v>2599</v>
      </c>
      <c r="E278" s="3128" t="s">
        <v>2600</v>
      </c>
      <c r="F278" s="3128" t="s">
        <v>2601</v>
      </c>
      <c r="G278" s="3128" t="s">
        <v>2602</v>
      </c>
      <c r="H278" s="3129" t="s">
        <v>2603</v>
      </c>
      <c r="I278" s="3129" t="s">
        <v>2604</v>
      </c>
      <c r="J278" s="3130" t="s">
        <v>2605</v>
      </c>
      <c r="K278" s="3130" t="s">
        <v>2606</v>
      </c>
      <c r="L278" s="3130" t="s">
        <v>2607</v>
      </c>
      <c r="M278" s="3131" t="s">
        <v>2608</v>
      </c>
      <c r="Q278" s="3141" t="s">
        <v>2806</v>
      </c>
      <c r="R278" s="3141" t="s">
        <v>2807</v>
      </c>
      <c r="S278" s="3141" t="s">
        <v>2810</v>
      </c>
      <c r="T278" s="3141" t="s">
        <v>2811</v>
      </c>
      <c r="U278" s="3141" t="s">
        <v>2809</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6.2" thickBot="1">
      <c r="A369" s="3126" t="s">
        <v>2805</v>
      </c>
      <c r="B369" s="3139"/>
      <c r="C369" s="3139"/>
      <c r="D369" s="3139"/>
      <c r="E369" s="3139"/>
      <c r="F369" s="3139"/>
      <c r="G369" s="3139"/>
      <c r="H369" s="3139"/>
      <c r="I369" s="3139"/>
      <c r="J369" s="3139"/>
      <c r="K369" s="3139"/>
      <c r="L369" s="3139"/>
      <c r="M369" s="3139"/>
    </row>
    <row r="370" spans="1:20">
      <c r="A370" s="3127" t="s">
        <v>2801</v>
      </c>
      <c r="B370" s="3128" t="s">
        <v>2597</v>
      </c>
      <c r="C370" s="3128" t="s">
        <v>2598</v>
      </c>
      <c r="D370" s="3128" t="s">
        <v>2599</v>
      </c>
      <c r="E370" s="3128" t="s">
        <v>2600</v>
      </c>
      <c r="F370" s="3128" t="s">
        <v>2601</v>
      </c>
      <c r="G370" s="3128" t="s">
        <v>2602</v>
      </c>
      <c r="H370" s="3129" t="s">
        <v>2603</v>
      </c>
      <c r="I370" s="3129" t="s">
        <v>2604</v>
      </c>
      <c r="J370" s="3130" t="s">
        <v>2605</v>
      </c>
      <c r="K370" s="3130" t="s">
        <v>2606</v>
      </c>
      <c r="L370" s="3130" t="s">
        <v>2607</v>
      </c>
      <c r="M370" s="3131" t="s">
        <v>2608</v>
      </c>
      <c r="N370" s="750">
        <f>SUMPRODUCT((A371:A460=ROUNDDOWN(基准地价修正!G3,1))*(B370:M370=基准地价修正!G2)*(B371:M460))</f>
        <v>0</v>
      </c>
      <c r="Q370" s="3141" t="s">
        <v>2806</v>
      </c>
      <c r="R370" s="3141" t="s">
        <v>2807</v>
      </c>
      <c r="S370" s="3141" t="s">
        <v>2808</v>
      </c>
      <c r="T370" s="3141" t="s">
        <v>2809</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27734</v>
      </c>
      <c r="C2" s="2" t="s">
        <v>106</v>
      </c>
      <c r="D2" s="199"/>
      <c r="E2" s="199"/>
      <c r="F2" s="199"/>
      <c r="G2" s="199"/>
    </row>
    <row r="3" spans="1:7" s="200" customFormat="1" ht="18" customHeight="1" thickBot="1">
      <c r="A3" s="203" t="s">
        <v>58</v>
      </c>
      <c r="B3" s="204">
        <f ca="1">ROUND(B2*10000/'数据-汇总表'!E3,0)</f>
        <v>1422038</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4</v>
      </c>
      <c r="D10" s="845">
        <f>'数据-汇总表'!E6</f>
        <v>195.03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v>
      </c>
      <c r="D19" s="849">
        <f>'数据-汇总表'!E3</f>
        <v>195.03</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1418</v>
      </c>
      <c r="D22" s="235">
        <f ca="1">C26</f>
        <v>6.9999999999999999E-4</v>
      </c>
      <c r="E22" s="236" t="s">
        <v>99</v>
      </c>
      <c r="F22" s="237">
        <f ca="1">'数据-取费表'!B40</f>
        <v>3.3500000000000002E-2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6.4">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27734</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97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88</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v>
      </c>
      <c r="D37" s="217">
        <f>'数据-汇总表'!E3</f>
        <v>195.03</v>
      </c>
      <c r="E37" s="249">
        <f>'数据-取费表'!B35</f>
        <v>200</v>
      </c>
      <c r="F37" s="259"/>
      <c r="G37" s="261" t="s">
        <v>92</v>
      </c>
    </row>
    <row r="38" spans="1:7" ht="13.5" customHeight="1">
      <c r="A38" s="780" t="s">
        <v>354</v>
      </c>
      <c r="B38" s="215" t="s">
        <v>36</v>
      </c>
      <c r="C38" s="220">
        <f>ROUND(C34*F38,0)</f>
        <v>2</v>
      </c>
      <c r="D38" s="220"/>
      <c r="E38" s="220"/>
      <c r="F38" s="259">
        <f>'数据-取费表'!B36</f>
        <v>0.02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v>
      </c>
      <c r="D42" s="238"/>
      <c r="E42" s="238"/>
      <c r="F42" s="239"/>
      <c r="G42" s="3632" t="s">
        <v>94</v>
      </c>
    </row>
    <row r="43" spans="1:7" ht="13.5" customHeight="1">
      <c r="A43" s="780" t="s">
        <v>347</v>
      </c>
      <c r="B43" s="215" t="s">
        <v>426</v>
      </c>
      <c r="C43" s="238">
        <f ca="1">ROUND(IF('数据-取费表'!B22&lt;=1,C39*F22*'数据-取费表'!B21/2,C39*(POWER((1+F22),'数据-取费表'!B21/2)-1)),0)</f>
        <v>0</v>
      </c>
      <c r="D43" s="238"/>
      <c r="E43" s="238"/>
      <c r="F43" s="239"/>
      <c r="G43" s="3633"/>
    </row>
    <row r="44" spans="1:7" ht="13.5" customHeight="1">
      <c r="A44" s="780" t="s">
        <v>348</v>
      </c>
      <c r="B44" s="215" t="s">
        <v>428</v>
      </c>
      <c r="C44" s="238">
        <f ca="1">ROUND(IF('数据-取费表'!B22&lt;=1,C40*F22*'数据-取费表'!B21/2,C40*(POWER((1+F22),'数据-取费表'!B21/2)-1)),4)</f>
        <v>6.9999999999999999E-4</v>
      </c>
      <c r="D44" s="238"/>
      <c r="E44" s="238"/>
      <c r="F44" s="239"/>
      <c r="G44" s="3634"/>
    </row>
    <row r="45" spans="1:7" s="214" customFormat="1" ht="13.5" customHeight="1">
      <c r="A45" s="777" t="s">
        <v>341</v>
      </c>
      <c r="B45" s="244" t="s">
        <v>85</v>
      </c>
      <c r="C45" s="245">
        <f>C46</f>
        <v>15</v>
      </c>
      <c r="D45" s="235">
        <f>C47</f>
        <v>3.0000000000000001E-3</v>
      </c>
      <c r="E45" s="236" t="s">
        <v>102</v>
      </c>
      <c r="F45" s="246"/>
      <c r="G45" s="247" t="s">
        <v>434</v>
      </c>
    </row>
    <row r="46" spans="1:7" s="214" customFormat="1" ht="13.5" customHeight="1">
      <c r="A46" s="780" t="s">
        <v>349</v>
      </c>
      <c r="B46" s="248" t="s">
        <v>427</v>
      </c>
      <c r="C46" s="249">
        <f>ROUND((C33+C39)*F27,0)</f>
        <v>15</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127</v>
      </c>
      <c r="D49" s="232"/>
      <c r="E49" s="232"/>
      <c r="F49" s="264"/>
      <c r="G49" s="234" t="s">
        <v>435</v>
      </c>
    </row>
    <row r="50" spans="1:7" s="258" customFormat="1" ht="24">
      <c r="A50" s="777" t="s">
        <v>344</v>
      </c>
      <c r="B50" s="210" t="s">
        <v>97</v>
      </c>
      <c r="C50" s="232"/>
      <c r="D50" s="232"/>
      <c r="E50" s="232"/>
      <c r="F50" s="264">
        <f>IF('数据-取费表'!B24=0,'数据-取费表'!N16,1)</f>
        <v>0</v>
      </c>
      <c r="G50" s="247" t="s">
        <v>98</v>
      </c>
    </row>
    <row r="51" spans="1:7" ht="16.5" customHeight="1">
      <c r="A51" s="777" t="s">
        <v>345</v>
      </c>
      <c r="B51" s="210" t="s">
        <v>105</v>
      </c>
      <c r="C51" s="232">
        <f ca="1">ROUND(C49*F50,0)</f>
        <v>0</v>
      </c>
      <c r="D51" s="232"/>
      <c r="E51" s="232"/>
      <c r="F51" s="264"/>
      <c r="G51" s="234" t="s">
        <v>37</v>
      </c>
    </row>
    <row r="52" spans="1:7" s="208" customFormat="1" ht="16.8" thickBot="1">
      <c r="A52" s="265" t="s">
        <v>38</v>
      </c>
      <c r="B52" s="266"/>
      <c r="C52" s="267">
        <f ca="1">C31+C51</f>
        <v>27734</v>
      </c>
      <c r="D52" s="266"/>
      <c r="E52" s="266"/>
      <c r="F52" s="266"/>
      <c r="G52" s="268"/>
    </row>
    <row r="55" spans="1:7" ht="15">
      <c r="B55" s="270" t="s">
        <v>39</v>
      </c>
      <c r="C55" s="271"/>
    </row>
    <row r="56" spans="1:7">
      <c r="B56" s="273" t="s">
        <v>40</v>
      </c>
      <c r="C56" s="274">
        <f ca="1">ROUND(C51/C52,3)</f>
        <v>0</v>
      </c>
    </row>
    <row r="57" spans="1:7">
      <c r="B57" s="273" t="s">
        <v>41</v>
      </c>
      <c r="C57" s="275">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4"/>
      <c r="C2" s="3454"/>
      <c r="D2" s="3454"/>
      <c r="E2" s="3454"/>
    </row>
    <row r="3" spans="1:5" ht="17.399999999999999">
      <c r="A3" s="3455" t="str">
        <f>IF(项目基本情况!B9="房地产市场价值","估价结果一览表（市场价值不需“结果表-1”）","估价结果一览表")</f>
        <v>估价结果一览表</v>
      </c>
      <c r="B3" s="3455"/>
      <c r="C3" s="3455"/>
      <c r="D3" s="3455"/>
      <c r="E3" s="3455"/>
    </row>
    <row r="4" spans="1:5" ht="18" thickBot="1">
      <c r="A4" s="1493"/>
      <c r="B4" s="3453" t="s">
        <v>917</v>
      </c>
      <c r="C4" s="3453"/>
      <c r="D4" s="3453"/>
      <c r="E4" s="1493"/>
    </row>
    <row r="5" spans="1:5" ht="16.2" thickTop="1">
      <c r="A5" s="1491"/>
      <c r="B5" s="3451" t="s">
        <v>909</v>
      </c>
      <c r="C5" s="1494" t="s">
        <v>910</v>
      </c>
      <c r="D5" s="850" t="e">
        <f ca="1">结果表!H101</f>
        <v>#REF!</v>
      </c>
      <c r="E5" s="1491"/>
    </row>
    <row r="6" spans="1:5" ht="15.6">
      <c r="A6" s="1491"/>
      <c r="B6" s="3451"/>
      <c r="C6" s="1494" t="s">
        <v>911</v>
      </c>
      <c r="D6" s="850" t="e">
        <f ca="1">NUMBERSTRING(INT(D5*10000),2)&amp;"元整"</f>
        <v>#REF!</v>
      </c>
      <c r="E6" s="1491"/>
    </row>
    <row r="7" spans="1:5" ht="15.6">
      <c r="A7" s="1491"/>
      <c r="B7" s="3456"/>
      <c r="C7" s="1495" t="s">
        <v>912</v>
      </c>
      <c r="D7" s="851" t="e">
        <f ca="1">结果表!H102</f>
        <v>#REF!</v>
      </c>
      <c r="E7" s="1491"/>
    </row>
    <row r="8" spans="1:5" ht="15.6">
      <c r="A8" s="1491"/>
      <c r="B8" s="3457" t="str">
        <f>结果表!E103</f>
        <v>2.估价师知悉的法定优先受偿款</v>
      </c>
      <c r="C8" s="1496" t="s">
        <v>913</v>
      </c>
      <c r="D8" s="851">
        <f>结果表!H103</f>
        <v>0</v>
      </c>
      <c r="E8" s="1491"/>
    </row>
    <row r="9" spans="1:5" ht="15.6">
      <c r="A9" s="1491"/>
      <c r="B9" s="3459"/>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50" t="str">
        <f>结果表!E107</f>
        <v>3.房地产抵押价值</v>
      </c>
      <c r="C13" s="1499" t="s">
        <v>910</v>
      </c>
      <c r="D13" s="853" t="e">
        <f ca="1">结果表!H107</f>
        <v>#REF!</v>
      </c>
      <c r="E13" s="1491"/>
    </row>
    <row r="14" spans="1:5" ht="15.6">
      <c r="A14" s="1491"/>
      <c r="B14" s="3451"/>
      <c r="C14" s="1494" t="s">
        <v>911</v>
      </c>
      <c r="D14" s="850" t="e">
        <f ca="1">NUMBERSTRING(INT(D13*10000),2)&amp;"元整"</f>
        <v>#REF!</v>
      </c>
      <c r="E14" s="1491"/>
    </row>
    <row r="15" spans="1:5" ht="15.6">
      <c r="A15" s="1491"/>
      <c r="B15" s="3456"/>
      <c r="C15" s="1495" t="s">
        <v>921</v>
      </c>
      <c r="D15" s="859" t="e">
        <f ca="1">结果表!H108</f>
        <v>#REF!</v>
      </c>
      <c r="E15" s="1491"/>
    </row>
    <row r="16" spans="1:5" ht="15.6">
      <c r="A16" s="1491"/>
      <c r="B16" s="3457" t="str">
        <f>结果表!E109</f>
        <v>——</v>
      </c>
      <c r="C16" s="1499" t="s">
        <v>922</v>
      </c>
      <c r="D16" s="1500" t="str">
        <f>结果表!H109</f>
        <v>——</v>
      </c>
      <c r="E16" s="1491"/>
    </row>
    <row r="17" spans="1:5" ht="15.6">
      <c r="A17" s="1491"/>
      <c r="B17" s="3458"/>
      <c r="C17" s="1494" t="s">
        <v>923</v>
      </c>
      <c r="D17" s="850" t="e">
        <f>NUMBERSTRING(INT(D16*10000),2)&amp;"元整"</f>
        <v>#VALUE!</v>
      </c>
      <c r="E17" s="1491"/>
    </row>
    <row r="18" spans="1:5" ht="15.6">
      <c r="A18" s="1491"/>
      <c r="B18" s="3459"/>
      <c r="C18" s="1495" t="s">
        <v>912</v>
      </c>
      <c r="D18" s="859" t="str">
        <f>结果表!H110</f>
        <v>——</v>
      </c>
      <c r="E18" s="1491"/>
    </row>
    <row r="19" spans="1:5" ht="15.6">
      <c r="A19" s="1491"/>
      <c r="B19" s="3450" t="str">
        <f>结果表!E111</f>
        <v>——</v>
      </c>
      <c r="C19" s="1499" t="s">
        <v>910</v>
      </c>
      <c r="D19" s="851" t="str">
        <f>结果表!H111</f>
        <v>——</v>
      </c>
      <c r="E19" s="1491"/>
    </row>
    <row r="20" spans="1:5" ht="15.6">
      <c r="A20" s="1491"/>
      <c r="B20" s="3451"/>
      <c r="C20" s="1494" t="s">
        <v>923</v>
      </c>
      <c r="D20" s="850" t="e">
        <f>NUMBERSTRING(INT(D19*10000),2)&amp;"元整"</f>
        <v>#VALUE!</v>
      </c>
      <c r="E20" s="1491"/>
    </row>
    <row r="21" spans="1:5" ht="16.2" thickBot="1">
      <c r="A21" s="1491"/>
      <c r="B21" s="3452"/>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5" customWidth="1"/>
    <col min="2" max="2" width="18.6640625" style="3225" customWidth="1"/>
    <col min="3" max="6" width="10.21875" style="3225" customWidth="1"/>
    <col min="7" max="7" width="10.44140625" style="3225" bestFit="1" customWidth="1"/>
    <col min="8" max="8" width="8.88671875" style="3221"/>
    <col min="9" max="9" width="13.33203125" style="3221" customWidth="1"/>
    <col min="10" max="13" width="13.33203125" style="3225" customWidth="1"/>
    <col min="14" max="14" width="18.21875" style="3225" customWidth="1"/>
    <col min="15" max="17" width="15.109375" style="3225" customWidth="1"/>
    <col min="18" max="20" width="11.44140625" style="3225" customWidth="1"/>
    <col min="21" max="16384" width="8.88671875" style="3225"/>
  </cols>
  <sheetData>
    <row r="1" spans="1:20" ht="11.4" thickBot="1">
      <c r="A1" s="3770" t="s">
        <v>2841</v>
      </c>
      <c r="B1" s="3770"/>
      <c r="C1" s="3770"/>
      <c r="D1" s="3770"/>
      <c r="E1" s="3770"/>
      <c r="F1" s="3770"/>
      <c r="G1" s="3771"/>
      <c r="I1" s="3222" t="s">
        <v>2842</v>
      </c>
      <c r="J1" s="3223" t="s">
        <v>2843</v>
      </c>
      <c r="K1" s="3223" t="s">
        <v>2844</v>
      </c>
      <c r="L1" s="3223" t="s">
        <v>2845</v>
      </c>
      <c r="M1" s="3223" t="s">
        <v>2846</v>
      </c>
      <c r="N1" s="3223" t="s">
        <v>2847</v>
      </c>
      <c r="O1" s="3223" t="s">
        <v>2848</v>
      </c>
      <c r="P1" s="3223" t="s">
        <v>2849</v>
      </c>
      <c r="Q1" s="3223" t="s">
        <v>2850</v>
      </c>
      <c r="R1" s="3223" t="s">
        <v>2851</v>
      </c>
      <c r="S1" s="3223" t="s">
        <v>2852</v>
      </c>
      <c r="T1" s="3224" t="s">
        <v>2853</v>
      </c>
    </row>
    <row r="2" spans="1:20" ht="11.4" thickBot="1">
      <c r="A2" s="3226" t="s">
        <v>2854</v>
      </c>
      <c r="B2" s="3226"/>
      <c r="C2" s="3226"/>
      <c r="D2" s="3226"/>
      <c r="E2" s="3226"/>
      <c r="F2" s="3226"/>
      <c r="G2" s="3227" t="s">
        <v>2855</v>
      </c>
      <c r="I2" s="3228" t="s">
        <v>2856</v>
      </c>
      <c r="J2" s="3228" t="s">
        <v>2857</v>
      </c>
      <c r="K2" s="3228" t="s">
        <v>2858</v>
      </c>
      <c r="L2" s="3228" t="s">
        <v>2859</v>
      </c>
      <c r="M2" s="3228" t="s">
        <v>2860</v>
      </c>
      <c r="N2" s="3228" t="s">
        <v>2861</v>
      </c>
      <c r="O2" s="3228" t="s">
        <v>2862</v>
      </c>
      <c r="P2" s="3228" t="s">
        <v>2863</v>
      </c>
      <c r="Q2" s="3228" t="s">
        <v>2864</v>
      </c>
      <c r="R2" s="3228" t="s">
        <v>2865</v>
      </c>
      <c r="S2" s="3228" t="s">
        <v>2866</v>
      </c>
      <c r="T2" s="3228" t="s">
        <v>2867</v>
      </c>
    </row>
    <row r="3" spans="1:20" s="3234" customFormat="1">
      <c r="A3" s="3768" t="s">
        <v>2868</v>
      </c>
      <c r="B3" s="3229"/>
      <c r="C3" s="3230" t="s">
        <v>2813</v>
      </c>
      <c r="D3" s="3230" t="s">
        <v>2869</v>
      </c>
      <c r="E3" s="3230" t="s">
        <v>2815</v>
      </c>
      <c r="F3" s="3230" t="s">
        <v>2870</v>
      </c>
      <c r="G3" s="3230" t="s">
        <v>2633</v>
      </c>
      <c r="H3" s="3231"/>
      <c r="I3" s="3232" t="s">
        <v>2871</v>
      </c>
      <c r="J3" s="3233" t="s">
        <v>128</v>
      </c>
      <c r="K3" s="3233" t="s">
        <v>129</v>
      </c>
      <c r="L3" s="3232" t="s">
        <v>130</v>
      </c>
      <c r="M3" s="3232" t="s">
        <v>131</v>
      </c>
      <c r="N3" s="3232" t="s">
        <v>132</v>
      </c>
      <c r="O3" s="3232" t="s">
        <v>133</v>
      </c>
      <c r="P3" s="3232" t="s">
        <v>134</v>
      </c>
      <c r="Q3" s="3232" t="s">
        <v>135</v>
      </c>
      <c r="R3" s="3232" t="s">
        <v>136</v>
      </c>
      <c r="S3" s="3232" t="s">
        <v>2872</v>
      </c>
      <c r="T3" s="3232" t="s">
        <v>2873</v>
      </c>
    </row>
    <row r="4" spans="1:20" s="3234" customFormat="1" ht="11.4" thickBot="1">
      <c r="A4" s="3769"/>
      <c r="B4" s="3235" t="s">
        <v>2874</v>
      </c>
      <c r="C4" s="3235" t="s">
        <v>2875</v>
      </c>
      <c r="D4" s="3235" t="s">
        <v>2875</v>
      </c>
      <c r="E4" s="3235" t="s">
        <v>2875</v>
      </c>
      <c r="F4" s="3236" t="s">
        <v>2875</v>
      </c>
      <c r="G4" s="3236" t="s">
        <v>2875</v>
      </c>
      <c r="H4" s="3231"/>
      <c r="I4" s="3233" t="s">
        <v>137</v>
      </c>
      <c r="J4" s="3233" t="s">
        <v>111</v>
      </c>
      <c r="K4" s="3233" t="s">
        <v>138</v>
      </c>
      <c r="L4" s="3232" t="s">
        <v>139</v>
      </c>
      <c r="M4" s="3232" t="s">
        <v>140</v>
      </c>
      <c r="N4" s="3232" t="s">
        <v>141</v>
      </c>
      <c r="O4" s="3232" t="s">
        <v>142</v>
      </c>
      <c r="P4" s="3232" t="s">
        <v>143</v>
      </c>
      <c r="Q4" s="3232" t="s">
        <v>2876</v>
      </c>
      <c r="R4" s="3232" t="s">
        <v>2877</v>
      </c>
      <c r="S4" s="3232" t="s">
        <v>2878</v>
      </c>
      <c r="T4" s="3232" t="s">
        <v>2879</v>
      </c>
    </row>
    <row r="5" spans="1:20">
      <c r="A5" s="3237" t="s">
        <v>2842</v>
      </c>
      <c r="B5" s="3228" t="s">
        <v>2856</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2880</v>
      </c>
      <c r="R5" s="3232" t="s">
        <v>2881</v>
      </c>
      <c r="S5" s="3232" t="s">
        <v>153</v>
      </c>
      <c r="T5" s="3232" t="s">
        <v>2882</v>
      </c>
    </row>
    <row r="6" spans="1:20" ht="11.4" thickBot="1">
      <c r="A6" s="3232" t="s">
        <v>144</v>
      </c>
      <c r="B6" s="3232" t="s">
        <v>2871</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2883</v>
      </c>
      <c r="Q6" s="3232" t="s">
        <v>2884</v>
      </c>
      <c r="R6" s="3232" t="s">
        <v>161</v>
      </c>
      <c r="S6" s="3232" t="s">
        <v>2885</v>
      </c>
      <c r="T6" s="3232" t="s">
        <v>2886</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2887</v>
      </c>
      <c r="Q7" s="3232" t="s">
        <v>2888</v>
      </c>
      <c r="R7" s="3232" t="s">
        <v>2889</v>
      </c>
      <c r="S7" s="3232" t="s">
        <v>2890</v>
      </c>
      <c r="T7" s="3232" t="s">
        <v>2891</v>
      </c>
    </row>
    <row r="8" spans="1:20" ht="11.4"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2892</v>
      </c>
      <c r="Q8" s="3232" t="s">
        <v>174</v>
      </c>
      <c r="R8" s="3232" t="s">
        <v>2893</v>
      </c>
      <c r="S8" s="3232" t="s">
        <v>2894</v>
      </c>
      <c r="T8" s="3239" t="s">
        <v>2895</v>
      </c>
    </row>
    <row r="9" spans="1:20" ht="11.4"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2896</v>
      </c>
      <c r="Q9" s="3232" t="s">
        <v>182</v>
      </c>
      <c r="R9" s="3232" t="s">
        <v>183</v>
      </c>
      <c r="S9" s="3232" t="s">
        <v>200</v>
      </c>
    </row>
    <row r="10" spans="1:20">
      <c r="A10" s="3237" t="s">
        <v>184</v>
      </c>
      <c r="B10" s="3228" t="s">
        <v>2857</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2897</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2898</v>
      </c>
      <c r="P11" s="3232" t="s">
        <v>191</v>
      </c>
      <c r="Q11" s="3232" t="s">
        <v>199</v>
      </c>
      <c r="R11" s="3232" t="s">
        <v>2899</v>
      </c>
      <c r="S11" s="3232" t="s">
        <v>2900</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2901</v>
      </c>
      <c r="P12" s="3232" t="s">
        <v>2902</v>
      </c>
      <c r="Q12" s="3232" t="s">
        <v>2903</v>
      </c>
      <c r="R12" s="3232" t="s">
        <v>2904</v>
      </c>
      <c r="S12" s="3232" t="s">
        <v>2905</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2906</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2907</v>
      </c>
      <c r="K14" s="3233" t="s">
        <v>215</v>
      </c>
      <c r="L14" s="3232" t="s">
        <v>216</v>
      </c>
      <c r="M14" s="3232" t="s">
        <v>217</v>
      </c>
      <c r="N14" s="3232" t="s">
        <v>218</v>
      </c>
      <c r="O14" s="3232" t="s">
        <v>240</v>
      </c>
      <c r="P14" s="3232" t="s">
        <v>213</v>
      </c>
      <c r="Q14" s="3232" t="s">
        <v>2908</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2909</v>
      </c>
      <c r="P15" s="3232" t="s">
        <v>2910</v>
      </c>
      <c r="Q15" s="3232" t="s">
        <v>242</v>
      </c>
      <c r="R15" s="3232" t="s">
        <v>2911</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2912</v>
      </c>
      <c r="P16" s="3232" t="s">
        <v>227</v>
      </c>
      <c r="Q16" s="3232" t="s">
        <v>250</v>
      </c>
      <c r="R16" s="3232" t="s">
        <v>207</v>
      </c>
      <c r="S16" s="3232" t="s">
        <v>2913</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2914</v>
      </c>
      <c r="P17" s="3232" t="s">
        <v>2915</v>
      </c>
      <c r="Q17" s="3232" t="s">
        <v>256</v>
      </c>
      <c r="R17" s="3232" t="s">
        <v>2916</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2917</v>
      </c>
      <c r="P18" s="3232" t="s">
        <v>241</v>
      </c>
      <c r="Q18" s="3232" t="s">
        <v>2918</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2919</v>
      </c>
      <c r="P19" s="3232" t="s">
        <v>249</v>
      </c>
      <c r="Q19" s="3232" t="s">
        <v>2920</v>
      </c>
      <c r="R19" s="3232" t="s">
        <v>265</v>
      </c>
      <c r="S19" s="3232" t="s">
        <v>2921</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2922</v>
      </c>
      <c r="P20" s="3232" t="s">
        <v>2923</v>
      </c>
      <c r="Q20" s="3232" t="s">
        <v>290</v>
      </c>
      <c r="R20" s="3232" t="s">
        <v>2924</v>
      </c>
      <c r="S20" s="3232" t="s">
        <v>277</v>
      </c>
    </row>
    <row r="21" spans="1:19" ht="14.25" customHeight="1" thickBot="1">
      <c r="A21" s="3232" t="s">
        <v>184</v>
      </c>
      <c r="B21" s="3233" t="s">
        <v>208</v>
      </c>
      <c r="C21" s="3232">
        <v>32370</v>
      </c>
      <c r="D21" s="3232">
        <v>26730</v>
      </c>
      <c r="E21" s="3232">
        <v>26640</v>
      </c>
      <c r="F21" s="3232"/>
      <c r="G21" s="3232">
        <v>19440</v>
      </c>
      <c r="J21" s="3239" t="s">
        <v>2925</v>
      </c>
      <c r="K21" s="3233" t="s">
        <v>267</v>
      </c>
      <c r="L21" s="3232" t="s">
        <v>268</v>
      </c>
      <c r="M21" s="3232" t="s">
        <v>269</v>
      </c>
      <c r="N21" s="3232" t="s">
        <v>270</v>
      </c>
      <c r="O21" s="3232" t="s">
        <v>264</v>
      </c>
      <c r="P21" s="3232" t="s">
        <v>283</v>
      </c>
      <c r="Q21" s="3232" t="s">
        <v>293</v>
      </c>
      <c r="R21" s="3232" t="s">
        <v>2926</v>
      </c>
      <c r="S21" s="3239" t="s">
        <v>2927</v>
      </c>
    </row>
    <row r="22" spans="1:19" ht="14.25" customHeight="1">
      <c r="A22" s="3232" t="s">
        <v>184</v>
      </c>
      <c r="B22" s="3233" t="s">
        <v>2907</v>
      </c>
      <c r="C22" s="3232">
        <v>29830</v>
      </c>
      <c r="D22" s="3232">
        <v>27600</v>
      </c>
      <c r="E22" s="3232">
        <v>28150</v>
      </c>
      <c r="F22" s="3232"/>
      <c r="G22" s="3232">
        <v>20080</v>
      </c>
      <c r="K22" s="3233" t="s">
        <v>2928</v>
      </c>
      <c r="L22" s="3232" t="s">
        <v>272</v>
      </c>
      <c r="M22" s="3232" t="s">
        <v>273</v>
      </c>
      <c r="N22" s="3232" t="s">
        <v>274</v>
      </c>
      <c r="O22" s="3232" t="s">
        <v>2929</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2930</v>
      </c>
      <c r="L23" s="3232" t="s">
        <v>278</v>
      </c>
      <c r="M23" s="3232" t="s">
        <v>279</v>
      </c>
      <c r="N23" s="3232" t="s">
        <v>2931</v>
      </c>
      <c r="O23" s="3232" t="s">
        <v>2932</v>
      </c>
      <c r="P23" s="3232" t="s">
        <v>289</v>
      </c>
      <c r="Q23" s="3232" t="s">
        <v>298</v>
      </c>
      <c r="R23" s="3232" t="s">
        <v>2933</v>
      </c>
    </row>
    <row r="24" spans="1:19" ht="14.25" customHeight="1">
      <c r="A24" s="3232" t="s">
        <v>184</v>
      </c>
      <c r="B24" s="3233" t="s">
        <v>230</v>
      </c>
      <c r="C24" s="3232">
        <v>27930</v>
      </c>
      <c r="D24" s="3232">
        <v>32260</v>
      </c>
      <c r="E24" s="3232">
        <v>32120</v>
      </c>
      <c r="F24" s="3232"/>
      <c r="G24" s="3232">
        <v>23470</v>
      </c>
      <c r="K24" s="3233" t="s">
        <v>2934</v>
      </c>
      <c r="L24" s="3232" t="s">
        <v>281</v>
      </c>
      <c r="M24" s="3232" t="s">
        <v>282</v>
      </c>
      <c r="N24" s="3232" t="s">
        <v>2935</v>
      </c>
      <c r="O24" s="3232" t="s">
        <v>285</v>
      </c>
      <c r="P24" s="3232" t="s">
        <v>2936</v>
      </c>
      <c r="Q24" s="3241" t="s">
        <v>2937</v>
      </c>
      <c r="R24" s="3232" t="s">
        <v>2938</v>
      </c>
    </row>
    <row r="25" spans="1:19" ht="14.25" customHeight="1">
      <c r="A25" s="3232" t="s">
        <v>184</v>
      </c>
      <c r="B25" s="3233" t="s">
        <v>235</v>
      </c>
      <c r="C25" s="3232">
        <v>32230</v>
      </c>
      <c r="D25" s="3232">
        <v>29640</v>
      </c>
      <c r="E25" s="3232">
        <v>29510</v>
      </c>
      <c r="F25" s="3232"/>
      <c r="G25" s="3232">
        <v>21560</v>
      </c>
      <c r="K25" s="3233" t="s">
        <v>2939</v>
      </c>
      <c r="L25" s="3232" t="s">
        <v>2940</v>
      </c>
      <c r="M25" s="3232" t="s">
        <v>284</v>
      </c>
      <c r="N25" s="3232" t="s">
        <v>292</v>
      </c>
      <c r="O25" s="3232" t="s">
        <v>288</v>
      </c>
      <c r="P25" s="3232" t="s">
        <v>275</v>
      </c>
      <c r="Q25" s="3241" t="s">
        <v>271</v>
      </c>
      <c r="R25" s="3232" t="s">
        <v>2941</v>
      </c>
    </row>
    <row r="26" spans="1:19" ht="14.25" customHeight="1" thickBot="1">
      <c r="A26" s="3232" t="s">
        <v>184</v>
      </c>
      <c r="B26" s="3233" t="s">
        <v>244</v>
      </c>
      <c r="C26" s="3232">
        <v>31690</v>
      </c>
      <c r="D26" s="3232">
        <v>27650</v>
      </c>
      <c r="E26" s="3232">
        <v>28200</v>
      </c>
      <c r="F26" s="3232"/>
      <c r="G26" s="3232">
        <v>20110</v>
      </c>
      <c r="K26" s="3238" t="s">
        <v>2942</v>
      </c>
      <c r="L26" s="3232" t="s">
        <v>2943</v>
      </c>
      <c r="M26" s="3232" t="s">
        <v>287</v>
      </c>
      <c r="N26" s="3232" t="s">
        <v>294</v>
      </c>
      <c r="O26" s="3232" t="s">
        <v>2944</v>
      </c>
      <c r="P26" s="3232" t="s">
        <v>2945</v>
      </c>
      <c r="Q26" s="3241" t="s">
        <v>276</v>
      </c>
      <c r="R26" s="3232" t="s">
        <v>2946</v>
      </c>
    </row>
    <row r="27" spans="1:19" ht="14.25" customHeight="1">
      <c r="A27" s="3232" t="s">
        <v>184</v>
      </c>
      <c r="B27" s="3233" t="s">
        <v>251</v>
      </c>
      <c r="C27" s="3232">
        <v>29610</v>
      </c>
      <c r="D27" s="3232">
        <v>27770</v>
      </c>
      <c r="E27" s="3232">
        <v>28300</v>
      </c>
      <c r="F27" s="3232"/>
      <c r="G27" s="3232">
        <v>20210</v>
      </c>
      <c r="L27" s="3232" t="s">
        <v>2947</v>
      </c>
      <c r="M27" s="3232" t="s">
        <v>291</v>
      </c>
      <c r="N27" s="3232" t="s">
        <v>297</v>
      </c>
      <c r="O27" s="3232" t="s">
        <v>2948</v>
      </c>
      <c r="P27" s="3232" t="s">
        <v>2949</v>
      </c>
      <c r="Q27" s="3232" t="s">
        <v>2950</v>
      </c>
      <c r="R27" s="3232" t="s">
        <v>2951</v>
      </c>
    </row>
    <row r="28" spans="1:19" ht="14.25" customHeight="1">
      <c r="A28" s="3232" t="s">
        <v>184</v>
      </c>
      <c r="B28" s="3233" t="s">
        <v>259</v>
      </c>
      <c r="C28" s="3232"/>
      <c r="D28" s="3232">
        <v>31520</v>
      </c>
      <c r="E28" s="3232">
        <v>31410</v>
      </c>
      <c r="F28" s="3232"/>
      <c r="G28" s="3232">
        <v>22940</v>
      </c>
      <c r="L28" s="3232" t="s">
        <v>2952</v>
      </c>
      <c r="M28" s="3232" t="s">
        <v>2953</v>
      </c>
      <c r="N28" s="3232" t="s">
        <v>2954</v>
      </c>
      <c r="O28" s="3232" t="s">
        <v>2955</v>
      </c>
      <c r="P28" s="3232" t="s">
        <v>2956</v>
      </c>
      <c r="Q28" s="3232" t="s">
        <v>2957</v>
      </c>
      <c r="R28" s="3232" t="s">
        <v>2958</v>
      </c>
    </row>
    <row r="29" spans="1:19" ht="14.25" customHeight="1" thickBot="1">
      <c r="A29" s="3240" t="s">
        <v>184</v>
      </c>
      <c r="B29" s="3242" t="s">
        <v>2925</v>
      </c>
      <c r="C29" s="3243"/>
      <c r="D29" s="3243">
        <v>29460</v>
      </c>
      <c r="E29" s="3243">
        <v>28640</v>
      </c>
      <c r="F29" s="3243"/>
      <c r="G29" s="3243">
        <v>21430</v>
      </c>
      <c r="L29" s="3232" t="s">
        <v>2959</v>
      </c>
      <c r="M29" s="3232" t="s">
        <v>2960</v>
      </c>
      <c r="N29" s="3232" t="s">
        <v>2961</v>
      </c>
      <c r="O29" s="3232" t="s">
        <v>2962</v>
      </c>
      <c r="P29" s="3232" t="s">
        <v>2963</v>
      </c>
      <c r="Q29" s="3232" t="s">
        <v>2964</v>
      </c>
      <c r="R29" s="3232" t="s">
        <v>280</v>
      </c>
    </row>
    <row r="30" spans="1:19" ht="14.25" customHeight="1">
      <c r="A30" s="3237" t="s">
        <v>296</v>
      </c>
      <c r="B30" s="3228" t="s">
        <v>2858</v>
      </c>
      <c r="C30" s="3228">
        <v>26890</v>
      </c>
      <c r="D30" s="3228">
        <v>26770</v>
      </c>
      <c r="E30" s="3228">
        <v>25700</v>
      </c>
      <c r="F30" s="3228">
        <v>8180</v>
      </c>
      <c r="G30" s="3244">
        <v>18740</v>
      </c>
      <c r="L30" s="3232" t="s">
        <v>2965</v>
      </c>
      <c r="M30" s="3232" t="s">
        <v>2966</v>
      </c>
      <c r="N30" s="3232" t="s">
        <v>2967</v>
      </c>
      <c r="O30" s="3232" t="s">
        <v>2968</v>
      </c>
      <c r="P30" s="3232" t="s">
        <v>2969</v>
      </c>
      <c r="Q30" s="3232" t="s">
        <v>2970</v>
      </c>
      <c r="R30" s="3232" t="s">
        <v>2971</v>
      </c>
    </row>
    <row r="31" spans="1:19" ht="14.25" customHeight="1">
      <c r="A31" s="3232" t="s">
        <v>296</v>
      </c>
      <c r="B31" s="3233" t="s">
        <v>129</v>
      </c>
      <c r="C31" s="3232">
        <v>24550</v>
      </c>
      <c r="D31" s="3232">
        <v>23990</v>
      </c>
      <c r="E31" s="3232">
        <v>22930</v>
      </c>
      <c r="F31" s="3232">
        <v>7470</v>
      </c>
      <c r="G31" s="3245">
        <v>16790</v>
      </c>
      <c r="L31" s="3232" t="s">
        <v>2972</v>
      </c>
      <c r="M31" s="3232" t="s">
        <v>2973</v>
      </c>
      <c r="N31" s="3232" t="s">
        <v>2974</v>
      </c>
      <c r="O31" s="3232" t="s">
        <v>2975</v>
      </c>
      <c r="P31" s="3232" t="s">
        <v>2976</v>
      </c>
      <c r="Q31" s="3232" t="s">
        <v>2977</v>
      </c>
      <c r="R31" s="3232" t="s">
        <v>2978</v>
      </c>
    </row>
    <row r="32" spans="1:19" ht="14.25" customHeight="1" thickBot="1">
      <c r="A32" s="3232" t="s">
        <v>296</v>
      </c>
      <c r="B32" s="3233" t="s">
        <v>138</v>
      </c>
      <c r="C32" s="3232">
        <v>27210</v>
      </c>
      <c r="D32" s="3232">
        <v>23240</v>
      </c>
      <c r="E32" s="3232">
        <v>23260</v>
      </c>
      <c r="F32" s="3232">
        <v>7130</v>
      </c>
      <c r="G32" s="3245">
        <v>16270</v>
      </c>
      <c r="L32" s="3232" t="s">
        <v>2979</v>
      </c>
      <c r="M32" s="3232" t="s">
        <v>2980</v>
      </c>
      <c r="N32" s="3232" t="s">
        <v>300</v>
      </c>
      <c r="O32" s="3232" t="s">
        <v>2981</v>
      </c>
      <c r="P32" s="3232" t="s">
        <v>299</v>
      </c>
      <c r="Q32" s="3232" t="s">
        <v>2982</v>
      </c>
      <c r="R32" s="3239" t="s">
        <v>2983</v>
      </c>
    </row>
    <row r="33" spans="1:17" ht="14.25" customHeight="1" thickBot="1">
      <c r="A33" s="3232" t="s">
        <v>296</v>
      </c>
      <c r="B33" s="3233" t="s">
        <v>147</v>
      </c>
      <c r="C33" s="3232">
        <v>27300</v>
      </c>
      <c r="D33" s="3232">
        <v>22980</v>
      </c>
      <c r="E33" s="3232">
        <v>24260</v>
      </c>
      <c r="F33" s="3232">
        <v>5860</v>
      </c>
      <c r="G33" s="3245">
        <v>16090</v>
      </c>
      <c r="L33" s="3239" t="s">
        <v>2984</v>
      </c>
      <c r="M33" s="3232" t="s">
        <v>2985</v>
      </c>
      <c r="N33" s="3232" t="s">
        <v>301</v>
      </c>
      <c r="O33" s="3232" t="s">
        <v>2986</v>
      </c>
      <c r="P33" s="3232" t="s">
        <v>2987</v>
      </c>
      <c r="Q33" s="3232" t="s">
        <v>2988</v>
      </c>
    </row>
    <row r="34" spans="1:17" ht="14.25" customHeight="1">
      <c r="A34" s="3232" t="s">
        <v>296</v>
      </c>
      <c r="B34" s="3233" t="s">
        <v>156</v>
      </c>
      <c r="C34" s="3232">
        <v>23090</v>
      </c>
      <c r="D34" s="3232">
        <v>23390</v>
      </c>
      <c r="E34" s="3232">
        <v>23510</v>
      </c>
      <c r="F34" s="3232">
        <v>6700</v>
      </c>
      <c r="G34" s="3245">
        <v>16370</v>
      </c>
      <c r="M34" s="3232" t="s">
        <v>2989</v>
      </c>
      <c r="N34" s="3232" t="s">
        <v>302</v>
      </c>
      <c r="O34" s="3232" t="s">
        <v>2990</v>
      </c>
      <c r="P34" s="3232" t="s">
        <v>2991</v>
      </c>
      <c r="Q34" s="3232" t="s">
        <v>2992</v>
      </c>
    </row>
    <row r="35" spans="1:17" ht="14.25" customHeight="1">
      <c r="A35" s="3232" t="s">
        <v>296</v>
      </c>
      <c r="B35" s="3233" t="s">
        <v>163</v>
      </c>
      <c r="C35" s="3232">
        <v>27270</v>
      </c>
      <c r="D35" s="3232">
        <v>24270</v>
      </c>
      <c r="E35" s="3232">
        <v>24950</v>
      </c>
      <c r="F35" s="3232">
        <v>6600</v>
      </c>
      <c r="G35" s="3245">
        <v>16990</v>
      </c>
      <c r="M35" s="3232" t="s">
        <v>2993</v>
      </c>
      <c r="N35" s="3232" t="s">
        <v>2994</v>
      </c>
      <c r="O35" s="3232" t="s">
        <v>2995</v>
      </c>
      <c r="P35" s="3232" t="s">
        <v>2996</v>
      </c>
      <c r="Q35" s="3232" t="s">
        <v>2997</v>
      </c>
    </row>
    <row r="36" spans="1:17" ht="14.25" customHeight="1">
      <c r="A36" s="3232" t="s">
        <v>296</v>
      </c>
      <c r="B36" s="3233" t="s">
        <v>169</v>
      </c>
      <c r="C36" s="3232">
        <v>23490</v>
      </c>
      <c r="D36" s="3232">
        <v>23020</v>
      </c>
      <c r="E36" s="3232">
        <v>25230</v>
      </c>
      <c r="F36" s="3232">
        <v>6780</v>
      </c>
      <c r="G36" s="3245">
        <v>16120</v>
      </c>
      <c r="M36" s="3232" t="s">
        <v>2998</v>
      </c>
      <c r="N36" s="3232" t="s">
        <v>2999</v>
      </c>
      <c r="O36" s="3232" t="s">
        <v>3000</v>
      </c>
      <c r="P36" s="3232" t="s">
        <v>3001</v>
      </c>
      <c r="Q36" s="3232" t="s">
        <v>3002</v>
      </c>
    </row>
    <row r="37" spans="1:17" ht="14.25" customHeight="1">
      <c r="A37" s="3232" t="s">
        <v>296</v>
      </c>
      <c r="B37" s="3233" t="s">
        <v>176</v>
      </c>
      <c r="C37" s="3232">
        <v>24380</v>
      </c>
      <c r="D37" s="3232">
        <v>22240</v>
      </c>
      <c r="E37" s="3232">
        <v>25980</v>
      </c>
      <c r="F37" s="3232">
        <v>8160</v>
      </c>
      <c r="G37" s="3245">
        <v>15570</v>
      </c>
      <c r="M37" s="3232" t="s">
        <v>3003</v>
      </c>
      <c r="N37" s="3232" t="s">
        <v>3004</v>
      </c>
      <c r="O37" s="3232" t="s">
        <v>3005</v>
      </c>
      <c r="P37" s="3232" t="s">
        <v>3006</v>
      </c>
      <c r="Q37" s="3232" t="s">
        <v>3007</v>
      </c>
    </row>
    <row r="38" spans="1:17" ht="14.25" customHeight="1">
      <c r="A38" s="3232" t="s">
        <v>296</v>
      </c>
      <c r="B38" s="3233" t="s">
        <v>186</v>
      </c>
      <c r="C38" s="3232">
        <v>23120</v>
      </c>
      <c r="D38" s="3232">
        <v>24630</v>
      </c>
      <c r="E38" s="3232">
        <v>25030</v>
      </c>
      <c r="F38" s="3232">
        <v>7710</v>
      </c>
      <c r="G38" s="3245">
        <v>17240</v>
      </c>
      <c r="M38" s="3232" t="s">
        <v>3008</v>
      </c>
      <c r="N38" s="3232" t="s">
        <v>3009</v>
      </c>
      <c r="O38" s="3232" t="s">
        <v>3010</v>
      </c>
      <c r="P38" s="3232" t="s">
        <v>3011</v>
      </c>
      <c r="Q38" s="3232" t="s">
        <v>3012</v>
      </c>
    </row>
    <row r="39" spans="1:17" ht="14.25" customHeight="1">
      <c r="A39" s="3232" t="s">
        <v>296</v>
      </c>
      <c r="B39" s="3233" t="s">
        <v>195</v>
      </c>
      <c r="C39" s="3232">
        <v>22330</v>
      </c>
      <c r="D39" s="3232">
        <v>21140</v>
      </c>
      <c r="E39" s="3232">
        <v>23970</v>
      </c>
      <c r="F39" s="3232">
        <v>7940</v>
      </c>
      <c r="G39" s="3245">
        <v>14790</v>
      </c>
      <c r="M39" s="3232" t="s">
        <v>3013</v>
      </c>
      <c r="N39" s="3232" t="s">
        <v>3014</v>
      </c>
      <c r="O39" s="3232" t="s">
        <v>3015</v>
      </c>
      <c r="P39" s="3232" t="s">
        <v>3016</v>
      </c>
      <c r="Q39" s="3232" t="s">
        <v>3017</v>
      </c>
    </row>
    <row r="40" spans="1:17" ht="14.25" customHeight="1">
      <c r="A40" s="3232" t="s">
        <v>296</v>
      </c>
      <c r="B40" s="3233" t="s">
        <v>202</v>
      </c>
      <c r="C40" s="3232">
        <v>24740</v>
      </c>
      <c r="D40" s="3232">
        <v>24690</v>
      </c>
      <c r="E40" s="3232">
        <v>22610</v>
      </c>
      <c r="F40" s="3232"/>
      <c r="G40" s="3245">
        <v>17280</v>
      </c>
      <c r="M40" s="3232" t="s">
        <v>3018</v>
      </c>
      <c r="N40" s="3232" t="s">
        <v>3019</v>
      </c>
      <c r="O40" s="3232" t="s">
        <v>3020</v>
      </c>
      <c r="P40" s="3232" t="s">
        <v>3021</v>
      </c>
      <c r="Q40" s="3232" t="s">
        <v>3022</v>
      </c>
    </row>
    <row r="41" spans="1:17" ht="14.25" customHeight="1" thickBot="1">
      <c r="A41" s="3232" t="s">
        <v>296</v>
      </c>
      <c r="B41" s="3233" t="s">
        <v>209</v>
      </c>
      <c r="C41" s="3232">
        <v>21220</v>
      </c>
      <c r="D41" s="3232">
        <v>21120</v>
      </c>
      <c r="E41" s="3232">
        <v>22590</v>
      </c>
      <c r="F41" s="3232"/>
      <c r="G41" s="3245">
        <v>14780</v>
      </c>
      <c r="M41" s="3239" t="s">
        <v>3023</v>
      </c>
      <c r="N41" s="3232" t="s">
        <v>3024</v>
      </c>
      <c r="O41" s="3232" t="s">
        <v>3025</v>
      </c>
      <c r="P41" s="3232" t="s">
        <v>3026</v>
      </c>
      <c r="Q41" s="3232" t="s">
        <v>3027</v>
      </c>
    </row>
    <row r="42" spans="1:17" ht="14.25" customHeight="1">
      <c r="A42" s="3232" t="s">
        <v>296</v>
      </c>
      <c r="B42" s="3233" t="s">
        <v>215</v>
      </c>
      <c r="C42" s="3232">
        <v>24800</v>
      </c>
      <c r="D42" s="3232">
        <v>22280</v>
      </c>
      <c r="E42" s="3232">
        <v>24350</v>
      </c>
      <c r="F42" s="3232"/>
      <c r="G42" s="3245">
        <v>15590</v>
      </c>
      <c r="N42" s="3232" t="s">
        <v>3028</v>
      </c>
      <c r="O42" s="3232" t="s">
        <v>3029</v>
      </c>
      <c r="P42" s="3232" t="s">
        <v>3030</v>
      </c>
      <c r="Q42" s="3232" t="s">
        <v>3031</v>
      </c>
    </row>
    <row r="43" spans="1:17" ht="14.25" customHeight="1">
      <c r="A43" s="3232" t="s">
        <v>3032</v>
      </c>
      <c r="B43" s="3233" t="s">
        <v>223</v>
      </c>
      <c r="C43" s="3232">
        <v>21210</v>
      </c>
      <c r="D43" s="3232">
        <v>21160</v>
      </c>
      <c r="E43" s="3232">
        <v>22650</v>
      </c>
      <c r="F43" s="3232"/>
      <c r="G43" s="3245">
        <v>14800</v>
      </c>
      <c r="N43" s="3232" t="s">
        <v>3033</v>
      </c>
      <c r="O43" s="3232" t="s">
        <v>3034</v>
      </c>
      <c r="P43" s="3232" t="s">
        <v>3035</v>
      </c>
      <c r="Q43" s="3232" t="s">
        <v>3036</v>
      </c>
    </row>
    <row r="44" spans="1:17" ht="14.25" customHeight="1" thickBot="1">
      <c r="A44" s="3232" t="s">
        <v>296</v>
      </c>
      <c r="B44" s="3233" t="s">
        <v>231</v>
      </c>
      <c r="C44" s="3232">
        <v>22370</v>
      </c>
      <c r="D44" s="3232">
        <v>23140</v>
      </c>
      <c r="E44" s="3232">
        <v>25090</v>
      </c>
      <c r="F44" s="3232"/>
      <c r="G44" s="3245">
        <v>16190</v>
      </c>
      <c r="N44" s="3232" t="s">
        <v>3037</v>
      </c>
      <c r="O44" s="3232" t="s">
        <v>3038</v>
      </c>
      <c r="P44" s="3239" t="s">
        <v>3039</v>
      </c>
      <c r="Q44" s="3232" t="s">
        <v>3040</v>
      </c>
    </row>
    <row r="45" spans="1:17" ht="14.25" customHeight="1" thickBot="1">
      <c r="A45" s="3232" t="s">
        <v>296</v>
      </c>
      <c r="B45" s="3233" t="s">
        <v>236</v>
      </c>
      <c r="C45" s="3232">
        <v>21240</v>
      </c>
      <c r="D45" s="3232">
        <v>27050</v>
      </c>
      <c r="E45" s="3232">
        <v>28000</v>
      </c>
      <c r="F45" s="3232"/>
      <c r="G45" s="3245">
        <v>18940</v>
      </c>
      <c r="N45" s="3232" t="s">
        <v>3041</v>
      </c>
      <c r="O45" s="3239" t="s">
        <v>3042</v>
      </c>
      <c r="Q45" s="3232" t="s">
        <v>3043</v>
      </c>
    </row>
    <row r="46" spans="1:17" ht="14.25" customHeight="1">
      <c r="A46" s="3232" t="s">
        <v>296</v>
      </c>
      <c r="B46" s="3233" t="s">
        <v>245</v>
      </c>
      <c r="C46" s="3232">
        <v>23240</v>
      </c>
      <c r="D46" s="3232">
        <v>23000</v>
      </c>
      <c r="E46" s="3232">
        <v>24980</v>
      </c>
      <c r="F46" s="3232"/>
      <c r="G46" s="3245">
        <v>16100</v>
      </c>
      <c r="N46" s="3232" t="s">
        <v>3044</v>
      </c>
      <c r="Q46" s="3232" t="s">
        <v>3045</v>
      </c>
    </row>
    <row r="47" spans="1:17" ht="14.25" customHeight="1">
      <c r="A47" s="3232" t="s">
        <v>296</v>
      </c>
      <c r="B47" s="3233" t="s">
        <v>252</v>
      </c>
      <c r="C47" s="3232">
        <v>27150</v>
      </c>
      <c r="D47" s="3232">
        <v>23310</v>
      </c>
      <c r="E47" s="3232">
        <v>25150</v>
      </c>
      <c r="F47" s="3232"/>
      <c r="G47" s="3245">
        <v>16310</v>
      </c>
      <c r="N47" s="3232" t="s">
        <v>3046</v>
      </c>
      <c r="Q47" s="3232" t="s">
        <v>3047</v>
      </c>
    </row>
    <row r="48" spans="1:17" ht="14.25" customHeight="1">
      <c r="A48" s="3232" t="s">
        <v>296</v>
      </c>
      <c r="B48" s="3233" t="s">
        <v>260</v>
      </c>
      <c r="C48" s="3232">
        <v>23100</v>
      </c>
      <c r="D48" s="3232">
        <v>21110</v>
      </c>
      <c r="E48" s="3232">
        <v>23080</v>
      </c>
      <c r="F48" s="3232"/>
      <c r="G48" s="3245">
        <v>14780</v>
      </c>
      <c r="N48" s="3232" t="s">
        <v>3048</v>
      </c>
      <c r="Q48" s="3232" t="s">
        <v>3049</v>
      </c>
    </row>
    <row r="49" spans="1:17" ht="14.25" customHeight="1">
      <c r="A49" s="3232" t="s">
        <v>296</v>
      </c>
      <c r="B49" s="3233" t="s">
        <v>267</v>
      </c>
      <c r="C49" s="3232">
        <v>23400</v>
      </c>
      <c r="D49" s="3232">
        <v>22920</v>
      </c>
      <c r="E49" s="3232">
        <v>24900</v>
      </c>
      <c r="F49" s="3232"/>
      <c r="G49" s="3245">
        <v>16040</v>
      </c>
      <c r="N49" s="3232" t="s">
        <v>3050</v>
      </c>
      <c r="Q49" s="3232" t="s">
        <v>3051</v>
      </c>
    </row>
    <row r="50" spans="1:17" ht="14.25" customHeight="1">
      <c r="A50" s="3232" t="s">
        <v>296</v>
      </c>
      <c r="B50" s="3233" t="s">
        <v>2928</v>
      </c>
      <c r="C50" s="3232">
        <v>21200</v>
      </c>
      <c r="D50" s="3232">
        <v>26540</v>
      </c>
      <c r="E50" s="3232">
        <v>23200</v>
      </c>
      <c r="F50" s="3232"/>
      <c r="G50" s="3245">
        <v>18580</v>
      </c>
      <c r="N50" s="3232" t="s">
        <v>3052</v>
      </c>
      <c r="Q50" s="3233" t="s">
        <v>3053</v>
      </c>
    </row>
    <row r="51" spans="1:17" ht="14.25" customHeight="1" thickBot="1">
      <c r="A51" s="3232" t="s">
        <v>296</v>
      </c>
      <c r="B51" s="3233" t="s">
        <v>2930</v>
      </c>
      <c r="C51" s="3232">
        <v>23000</v>
      </c>
      <c r="D51" s="3232">
        <v>23460</v>
      </c>
      <c r="E51" s="3232">
        <v>25290</v>
      </c>
      <c r="F51" s="3232"/>
      <c r="G51" s="3245">
        <v>16420</v>
      </c>
      <c r="N51" s="3232" t="s">
        <v>3054</v>
      </c>
      <c r="Q51" s="3239" t="s">
        <v>3055</v>
      </c>
    </row>
    <row r="52" spans="1:17" ht="14.25" customHeight="1">
      <c r="A52" s="3232" t="s">
        <v>296</v>
      </c>
      <c r="B52" s="3233" t="s">
        <v>2934</v>
      </c>
      <c r="C52" s="3232">
        <v>26660</v>
      </c>
      <c r="D52" s="3232">
        <v>22350</v>
      </c>
      <c r="E52" s="3232">
        <v>22920</v>
      </c>
      <c r="F52" s="3232"/>
      <c r="G52" s="3245">
        <v>15640</v>
      </c>
      <c r="N52" s="3232" t="s">
        <v>3056</v>
      </c>
    </row>
    <row r="53" spans="1:17" ht="14.25" customHeight="1">
      <c r="A53" s="3232" t="s">
        <v>296</v>
      </c>
      <c r="B53" s="3233" t="s">
        <v>2939</v>
      </c>
      <c r="C53" s="3232">
        <v>23580</v>
      </c>
      <c r="D53" s="3232"/>
      <c r="E53" s="3232">
        <v>24280</v>
      </c>
      <c r="F53" s="3232"/>
      <c r="G53" s="3245"/>
      <c r="N53" s="3232" t="s">
        <v>3057</v>
      </c>
    </row>
    <row r="54" spans="1:17" ht="14.25" customHeight="1" thickBot="1">
      <c r="A54" s="3246" t="s">
        <v>296</v>
      </c>
      <c r="B54" s="3238" t="s">
        <v>2942</v>
      </c>
      <c r="C54" s="3239">
        <v>22460</v>
      </c>
      <c r="D54" s="3239"/>
      <c r="E54" s="3239"/>
      <c r="F54" s="3239"/>
      <c r="G54" s="3247"/>
      <c r="N54" s="3232" t="s">
        <v>3058</v>
      </c>
    </row>
    <row r="55" spans="1:17" ht="14.25" customHeight="1">
      <c r="A55" s="3237" t="s">
        <v>110</v>
      </c>
      <c r="B55" s="3228" t="s">
        <v>3059</v>
      </c>
      <c r="C55" s="3232">
        <v>21970</v>
      </c>
      <c r="D55" s="3232">
        <v>20370</v>
      </c>
      <c r="E55" s="3232">
        <v>20180</v>
      </c>
      <c r="F55" s="3232">
        <v>5730</v>
      </c>
      <c r="G55" s="3232">
        <v>13820</v>
      </c>
      <c r="N55" s="3232" t="s">
        <v>3060</v>
      </c>
    </row>
    <row r="56" spans="1:17" ht="14.25" customHeight="1">
      <c r="A56" s="3232" t="s">
        <v>110</v>
      </c>
      <c r="B56" s="3232" t="s">
        <v>130</v>
      </c>
      <c r="C56" s="3232">
        <v>20470</v>
      </c>
      <c r="D56" s="3232">
        <v>20700</v>
      </c>
      <c r="E56" s="3232">
        <v>20380</v>
      </c>
      <c r="F56" s="3232">
        <v>4760</v>
      </c>
      <c r="G56" s="3232">
        <v>14050</v>
      </c>
      <c r="N56" s="3232" t="s">
        <v>3061</v>
      </c>
    </row>
    <row r="57" spans="1:17" ht="14.25" customHeight="1">
      <c r="A57" s="3232" t="s">
        <v>110</v>
      </c>
      <c r="B57" s="3232" t="s">
        <v>139</v>
      </c>
      <c r="C57" s="3232">
        <v>20790</v>
      </c>
      <c r="D57" s="3232">
        <v>21370</v>
      </c>
      <c r="E57" s="3232">
        <v>20890</v>
      </c>
      <c r="F57" s="3232">
        <v>4910</v>
      </c>
      <c r="G57" s="3232">
        <v>14510</v>
      </c>
      <c r="N57" s="3232" t="s">
        <v>3062</v>
      </c>
    </row>
    <row r="58" spans="1:17" ht="14.25" customHeight="1">
      <c r="A58" s="3232" t="s">
        <v>110</v>
      </c>
      <c r="B58" s="3232" t="s">
        <v>148</v>
      </c>
      <c r="C58" s="3232">
        <v>21460</v>
      </c>
      <c r="D58" s="3232">
        <v>20920</v>
      </c>
      <c r="E58" s="3232">
        <v>23410</v>
      </c>
      <c r="F58" s="3232">
        <v>5100</v>
      </c>
      <c r="G58" s="3232">
        <v>14200</v>
      </c>
      <c r="N58" s="3232" t="s">
        <v>3063</v>
      </c>
    </row>
    <row r="59" spans="1:17" ht="14.25" customHeight="1">
      <c r="A59" s="3232" t="s">
        <v>110</v>
      </c>
      <c r="B59" s="3232" t="s">
        <v>157</v>
      </c>
      <c r="C59" s="3232">
        <v>21000</v>
      </c>
      <c r="D59" s="3232">
        <v>21550</v>
      </c>
      <c r="E59" s="3232">
        <v>21150</v>
      </c>
      <c r="F59" s="3232">
        <v>5250</v>
      </c>
      <c r="G59" s="3232">
        <v>14630</v>
      </c>
      <c r="N59" s="3232" t="s">
        <v>3064</v>
      </c>
    </row>
    <row r="60" spans="1:17" ht="14.25" customHeight="1">
      <c r="A60" s="3232" t="s">
        <v>110</v>
      </c>
      <c r="B60" s="3232" t="s">
        <v>164</v>
      </c>
      <c r="C60" s="3232">
        <v>21640</v>
      </c>
      <c r="D60" s="3232">
        <v>21260</v>
      </c>
      <c r="E60" s="3232">
        <v>24040</v>
      </c>
      <c r="F60" s="3232">
        <v>4470</v>
      </c>
      <c r="G60" s="3232">
        <v>14430</v>
      </c>
      <c r="N60" s="3232" t="s">
        <v>3065</v>
      </c>
    </row>
    <row r="61" spans="1:17" ht="14.25" customHeight="1">
      <c r="A61" s="3232" t="s">
        <v>110</v>
      </c>
      <c r="B61" s="3232" t="s">
        <v>170</v>
      </c>
      <c r="C61" s="3232">
        <v>21330</v>
      </c>
      <c r="D61" s="3232">
        <v>18640</v>
      </c>
      <c r="E61" s="3232">
        <v>21190</v>
      </c>
      <c r="F61" s="3232">
        <v>4180</v>
      </c>
      <c r="G61" s="3232">
        <v>12650</v>
      </c>
      <c r="N61" s="3232" t="s">
        <v>3066</v>
      </c>
    </row>
    <row r="62" spans="1:17" ht="14.25" customHeight="1">
      <c r="A62" s="3232" t="s">
        <v>110</v>
      </c>
      <c r="B62" s="3232" t="s">
        <v>177</v>
      </c>
      <c r="C62" s="3232">
        <v>18710</v>
      </c>
      <c r="D62" s="3232">
        <v>19400</v>
      </c>
      <c r="E62" s="3232">
        <v>23750</v>
      </c>
      <c r="F62" s="3232">
        <v>4860</v>
      </c>
      <c r="G62" s="3232">
        <v>13170</v>
      </c>
      <c r="N62" s="3232" t="s">
        <v>3067</v>
      </c>
    </row>
    <row r="63" spans="1:17" ht="14.25" customHeight="1">
      <c r="A63" s="3232" t="s">
        <v>110</v>
      </c>
      <c r="B63" s="3232" t="s">
        <v>187</v>
      </c>
      <c r="C63" s="3232">
        <v>19480</v>
      </c>
      <c r="D63" s="3232">
        <v>16830</v>
      </c>
      <c r="E63" s="3232">
        <v>21590</v>
      </c>
      <c r="F63" s="3232">
        <v>4560</v>
      </c>
      <c r="G63" s="3232">
        <v>11420</v>
      </c>
      <c r="N63" s="3232" t="s">
        <v>3068</v>
      </c>
    </row>
    <row r="64" spans="1:17" ht="14.25" customHeight="1" thickBot="1">
      <c r="A64" s="3232" t="s">
        <v>110</v>
      </c>
      <c r="B64" s="3232" t="s">
        <v>196</v>
      </c>
      <c r="C64" s="3232">
        <v>16920</v>
      </c>
      <c r="D64" s="3232">
        <v>19190</v>
      </c>
      <c r="E64" s="3232">
        <v>22200</v>
      </c>
      <c r="F64" s="3232">
        <v>4390</v>
      </c>
      <c r="G64" s="3232">
        <v>13030</v>
      </c>
      <c r="N64" s="3239" t="s">
        <v>3069</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2940</v>
      </c>
      <c r="C78" s="3232">
        <v>19820</v>
      </c>
      <c r="D78" s="3232">
        <v>19780</v>
      </c>
      <c r="E78" s="3232">
        <v>18560</v>
      </c>
      <c r="F78" s="3232"/>
      <c r="G78" s="3232">
        <v>13430</v>
      </c>
    </row>
    <row r="79" spans="1:7" s="3221" customFormat="1" ht="14.25" customHeight="1">
      <c r="A79" s="3232" t="s">
        <v>110</v>
      </c>
      <c r="B79" s="3232" t="s">
        <v>2943</v>
      </c>
      <c r="C79" s="3232">
        <v>21660</v>
      </c>
      <c r="D79" s="3232">
        <v>18000</v>
      </c>
      <c r="E79" s="3232">
        <v>22570</v>
      </c>
      <c r="F79" s="3232"/>
      <c r="G79" s="3232">
        <v>12220</v>
      </c>
    </row>
    <row r="80" spans="1:7" s="3221" customFormat="1" ht="14.25" customHeight="1">
      <c r="A80" s="3232" t="s">
        <v>110</v>
      </c>
      <c r="B80" s="3232" t="s">
        <v>2947</v>
      </c>
      <c r="C80" s="3232">
        <v>19850</v>
      </c>
      <c r="D80" s="3232"/>
      <c r="E80" s="3232">
        <v>21700</v>
      </c>
      <c r="F80" s="3232"/>
      <c r="G80" s="3232"/>
    </row>
    <row r="81" spans="1:7" s="3221" customFormat="1" ht="14.25" customHeight="1">
      <c r="A81" s="3232" t="s">
        <v>110</v>
      </c>
      <c r="B81" s="3232" t="s">
        <v>2952</v>
      </c>
      <c r="C81" s="3232">
        <v>18080</v>
      </c>
      <c r="D81" s="3232"/>
      <c r="E81" s="3232">
        <v>20900</v>
      </c>
      <c r="F81" s="3232"/>
      <c r="G81" s="3232"/>
    </row>
    <row r="82" spans="1:7" s="3221" customFormat="1" ht="14.25" customHeight="1">
      <c r="A82" s="3232" t="s">
        <v>110</v>
      </c>
      <c r="B82" s="3232" t="s">
        <v>2959</v>
      </c>
      <c r="C82" s="3232"/>
      <c r="D82" s="3232"/>
      <c r="E82" s="3232">
        <v>20840</v>
      </c>
      <c r="F82" s="3232"/>
      <c r="G82" s="3232"/>
    </row>
    <row r="83" spans="1:7" s="3221" customFormat="1" ht="14.25" customHeight="1">
      <c r="A83" s="3232" t="s">
        <v>110</v>
      </c>
      <c r="B83" s="3232" t="s">
        <v>3070</v>
      </c>
      <c r="C83" s="3232"/>
      <c r="D83" s="3232"/>
      <c r="E83" s="3232"/>
      <c r="F83" s="3232">
        <v>4770</v>
      </c>
      <c r="G83" s="3232"/>
    </row>
    <row r="84" spans="1:7" s="3221" customFormat="1" ht="14.25" customHeight="1">
      <c r="A84" s="3232" t="s">
        <v>110</v>
      </c>
      <c r="B84" s="3232" t="s">
        <v>3071</v>
      </c>
      <c r="C84" s="3232"/>
      <c r="D84" s="3232"/>
      <c r="E84" s="3232"/>
      <c r="F84" s="3232">
        <v>4600</v>
      </c>
      <c r="G84" s="3232"/>
    </row>
    <row r="85" spans="1:7" s="3221" customFormat="1" ht="14.25" customHeight="1">
      <c r="A85" s="3232" t="s">
        <v>110</v>
      </c>
      <c r="B85" s="3232" t="s">
        <v>3072</v>
      </c>
      <c r="C85" s="3232"/>
      <c r="D85" s="3232"/>
      <c r="E85" s="3232"/>
      <c r="F85" s="3232">
        <v>4680</v>
      </c>
      <c r="G85" s="3232"/>
    </row>
    <row r="86" spans="1:7" s="3221" customFormat="1" ht="14.25" customHeight="1" thickBot="1">
      <c r="A86" s="3240" t="s">
        <v>110</v>
      </c>
      <c r="B86" s="3242" t="s">
        <v>3073</v>
      </c>
      <c r="C86" s="3243">
        <v>16610</v>
      </c>
      <c r="D86" s="3243">
        <v>16540</v>
      </c>
      <c r="E86" s="3243">
        <v>18850</v>
      </c>
      <c r="F86" s="3243"/>
      <c r="G86" s="3243">
        <v>11220</v>
      </c>
    </row>
    <row r="87" spans="1:7" s="3221" customFormat="1" ht="14.25" customHeight="1">
      <c r="A87" s="3237" t="s">
        <v>303</v>
      </c>
      <c r="B87" s="3228" t="s">
        <v>3074</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2953</v>
      </c>
      <c r="C113" s="3232">
        <v>15520</v>
      </c>
      <c r="D113" s="3232">
        <v>15450</v>
      </c>
      <c r="E113" s="3232"/>
      <c r="F113" s="3232"/>
      <c r="G113" s="3245">
        <v>10210</v>
      </c>
    </row>
    <row r="114" spans="1:7" s="3221" customFormat="1" ht="14.25" customHeight="1">
      <c r="A114" s="3232" t="s">
        <v>303</v>
      </c>
      <c r="B114" s="3232" t="s">
        <v>2960</v>
      </c>
      <c r="C114" s="3232">
        <v>13110</v>
      </c>
      <c r="D114" s="3232">
        <v>13050</v>
      </c>
      <c r="E114" s="3232"/>
      <c r="F114" s="3232"/>
      <c r="G114" s="3245">
        <v>8620</v>
      </c>
    </row>
    <row r="115" spans="1:7" s="3221" customFormat="1" ht="14.25" customHeight="1">
      <c r="A115" s="3232" t="s">
        <v>303</v>
      </c>
      <c r="B115" s="3232" t="s">
        <v>2966</v>
      </c>
      <c r="C115" s="3232">
        <v>12460</v>
      </c>
      <c r="D115" s="3232">
        <v>12390</v>
      </c>
      <c r="E115" s="3232"/>
      <c r="F115" s="3232"/>
      <c r="G115" s="3245">
        <v>8190</v>
      </c>
    </row>
    <row r="116" spans="1:7" s="3221" customFormat="1" ht="14.25" customHeight="1">
      <c r="A116" s="3232" t="s">
        <v>303</v>
      </c>
      <c r="B116" s="3232" t="s">
        <v>2973</v>
      </c>
      <c r="C116" s="3232">
        <v>13580</v>
      </c>
      <c r="D116" s="3232">
        <v>13520</v>
      </c>
      <c r="E116" s="3232"/>
      <c r="F116" s="3232"/>
      <c r="G116" s="3245">
        <v>8930</v>
      </c>
    </row>
    <row r="117" spans="1:7" s="3221" customFormat="1" ht="14.25" customHeight="1">
      <c r="A117" s="3232" t="s">
        <v>303</v>
      </c>
      <c r="B117" s="3232" t="s">
        <v>2980</v>
      </c>
      <c r="C117" s="3232">
        <v>17120</v>
      </c>
      <c r="D117" s="3232">
        <v>17040</v>
      </c>
      <c r="E117" s="3232"/>
      <c r="F117" s="3232"/>
      <c r="G117" s="3245">
        <v>11260</v>
      </c>
    </row>
    <row r="118" spans="1:7" s="3221" customFormat="1" ht="14.25" customHeight="1">
      <c r="A118" s="3232" t="s">
        <v>303</v>
      </c>
      <c r="B118" s="3232" t="s">
        <v>2985</v>
      </c>
      <c r="C118" s="3232">
        <v>14860</v>
      </c>
      <c r="D118" s="3232">
        <v>14790</v>
      </c>
      <c r="E118" s="3232"/>
      <c r="F118" s="3232"/>
      <c r="G118" s="3245">
        <v>9780</v>
      </c>
    </row>
    <row r="119" spans="1:7" s="3221" customFormat="1" ht="14.25" customHeight="1">
      <c r="A119" s="3232" t="s">
        <v>303</v>
      </c>
      <c r="B119" s="3232" t="s">
        <v>2989</v>
      </c>
      <c r="C119" s="3232">
        <v>16470</v>
      </c>
      <c r="D119" s="3232">
        <v>16400</v>
      </c>
      <c r="E119" s="3232"/>
      <c r="F119" s="3232"/>
      <c r="G119" s="3245">
        <v>10840</v>
      </c>
    </row>
    <row r="120" spans="1:7" s="3221" customFormat="1" ht="14.25" customHeight="1">
      <c r="A120" s="3232" t="s">
        <v>303</v>
      </c>
      <c r="B120" s="3232" t="s">
        <v>3075</v>
      </c>
      <c r="C120" s="3232"/>
      <c r="D120" s="3232"/>
      <c r="E120" s="3232"/>
      <c r="F120" s="3232">
        <v>4160</v>
      </c>
      <c r="G120" s="3245"/>
    </row>
    <row r="121" spans="1:7" s="3221" customFormat="1" ht="14.25" customHeight="1">
      <c r="A121" s="3232" t="s">
        <v>303</v>
      </c>
      <c r="B121" s="3232" t="s">
        <v>3076</v>
      </c>
      <c r="C121" s="3232"/>
      <c r="D121" s="3232"/>
      <c r="E121" s="3232"/>
      <c r="F121" s="3232">
        <v>3880</v>
      </c>
      <c r="G121" s="3245"/>
    </row>
    <row r="122" spans="1:7" s="3221" customFormat="1" ht="14.25" customHeight="1">
      <c r="A122" s="3232" t="s">
        <v>303</v>
      </c>
      <c r="B122" s="3232" t="s">
        <v>3077</v>
      </c>
      <c r="C122" s="3232">
        <v>13750</v>
      </c>
      <c r="D122" s="3232">
        <v>13680</v>
      </c>
      <c r="E122" s="3232">
        <v>16460</v>
      </c>
      <c r="F122" s="3232">
        <v>2880</v>
      </c>
      <c r="G122" s="3245">
        <v>9040</v>
      </c>
    </row>
    <row r="123" spans="1:7" s="3221" customFormat="1" ht="14.25" customHeight="1">
      <c r="A123" s="3232" t="s">
        <v>303</v>
      </c>
      <c r="B123" s="3232" t="s">
        <v>3008</v>
      </c>
      <c r="C123" s="3232">
        <v>13590</v>
      </c>
      <c r="D123" s="3232">
        <v>13520</v>
      </c>
      <c r="E123" s="3232">
        <v>16290</v>
      </c>
      <c r="F123" s="3232">
        <v>2790</v>
      </c>
      <c r="G123" s="3245">
        <v>8930</v>
      </c>
    </row>
    <row r="124" spans="1:7" s="3221" customFormat="1" ht="14.25" customHeight="1">
      <c r="A124" s="3232" t="s">
        <v>303</v>
      </c>
      <c r="B124" s="3232" t="s">
        <v>3013</v>
      </c>
      <c r="C124" s="3232">
        <v>13400</v>
      </c>
      <c r="D124" s="3232">
        <v>13320</v>
      </c>
      <c r="E124" s="3232">
        <v>16100</v>
      </c>
      <c r="F124" s="3232">
        <v>2320</v>
      </c>
      <c r="G124" s="3245">
        <v>8800</v>
      </c>
    </row>
    <row r="125" spans="1:7" s="3221" customFormat="1" ht="14.25" customHeight="1">
      <c r="A125" s="3232" t="s">
        <v>303</v>
      </c>
      <c r="B125" s="3232" t="s">
        <v>3018</v>
      </c>
      <c r="C125" s="3232">
        <v>12860</v>
      </c>
      <c r="D125" s="3232">
        <v>12790</v>
      </c>
      <c r="E125" s="3232">
        <v>15370</v>
      </c>
      <c r="F125" s="3232">
        <v>2280</v>
      </c>
      <c r="G125" s="3245">
        <v>8450</v>
      </c>
    </row>
    <row r="126" spans="1:7" s="3221" customFormat="1" ht="14.25" customHeight="1" thickBot="1">
      <c r="A126" s="3246" t="s">
        <v>303</v>
      </c>
      <c r="B126" s="3239" t="s">
        <v>3023</v>
      </c>
      <c r="C126" s="3239">
        <v>12960</v>
      </c>
      <c r="D126" s="3239">
        <v>12890</v>
      </c>
      <c r="E126" s="3239">
        <v>15530</v>
      </c>
      <c r="F126" s="3239">
        <v>2910</v>
      </c>
      <c r="G126" s="3247">
        <v>8520</v>
      </c>
    </row>
    <row r="127" spans="1:7" s="3221" customFormat="1" ht="14.25" customHeight="1">
      <c r="A127" s="3237" t="s">
        <v>29</v>
      </c>
      <c r="B127" s="3228" t="s">
        <v>3078</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3079</v>
      </c>
      <c r="C148" s="3232">
        <v>10370</v>
      </c>
      <c r="D148" s="3232">
        <v>10310</v>
      </c>
      <c r="E148" s="3232">
        <v>12970</v>
      </c>
      <c r="F148" s="3232"/>
      <c r="G148" s="3232">
        <v>6630</v>
      </c>
    </row>
    <row r="149" spans="1:7" s="3221" customFormat="1" ht="14.25" customHeight="1">
      <c r="A149" s="3232" t="s">
        <v>29</v>
      </c>
      <c r="B149" s="3232" t="s">
        <v>3080</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2954</v>
      </c>
      <c r="C153" s="3232">
        <v>10880</v>
      </c>
      <c r="D153" s="3232">
        <v>10820</v>
      </c>
      <c r="E153" s="3232">
        <v>13660</v>
      </c>
      <c r="F153" s="3232">
        <v>2260</v>
      </c>
      <c r="G153" s="3232">
        <v>6970</v>
      </c>
    </row>
    <row r="154" spans="1:7" s="3221" customFormat="1" ht="14.25" customHeight="1">
      <c r="A154" s="3232" t="s">
        <v>29</v>
      </c>
      <c r="B154" s="3232" t="s">
        <v>3081</v>
      </c>
      <c r="C154" s="3232">
        <v>11220</v>
      </c>
      <c r="D154" s="3232">
        <v>11160</v>
      </c>
      <c r="E154" s="3232">
        <v>14130</v>
      </c>
      <c r="F154" s="3232">
        <v>2230</v>
      </c>
      <c r="G154" s="3232">
        <v>7180</v>
      </c>
    </row>
    <row r="155" spans="1:7" s="3221" customFormat="1" ht="14.25" customHeight="1">
      <c r="A155" s="3232" t="s">
        <v>29</v>
      </c>
      <c r="B155" s="3232" t="s">
        <v>2967</v>
      </c>
      <c r="C155" s="3232">
        <v>10430</v>
      </c>
      <c r="D155" s="3232">
        <v>10380</v>
      </c>
      <c r="E155" s="3232">
        <v>13140</v>
      </c>
      <c r="F155" s="3232">
        <v>2080</v>
      </c>
      <c r="G155" s="3232">
        <v>6650</v>
      </c>
    </row>
    <row r="156" spans="1:7" s="3221" customFormat="1" ht="14.25" customHeight="1">
      <c r="A156" s="3232" t="s">
        <v>29</v>
      </c>
      <c r="B156" s="3232" t="s">
        <v>3082</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3083</v>
      </c>
      <c r="C160" s="3232">
        <v>11180</v>
      </c>
      <c r="D160" s="3232">
        <v>11140</v>
      </c>
      <c r="E160" s="3232">
        <v>14050</v>
      </c>
      <c r="F160" s="3232">
        <v>2270</v>
      </c>
      <c r="G160" s="3232">
        <v>7170</v>
      </c>
    </row>
    <row r="161" spans="1:7" s="3221" customFormat="1" ht="14.25" customHeight="1">
      <c r="A161" s="3232" t="s">
        <v>29</v>
      </c>
      <c r="B161" s="3232" t="s">
        <v>2999</v>
      </c>
      <c r="C161" s="3232">
        <v>11160</v>
      </c>
      <c r="D161" s="3232">
        <v>11120</v>
      </c>
      <c r="E161" s="3232">
        <v>14020</v>
      </c>
      <c r="F161" s="3232">
        <v>2150</v>
      </c>
      <c r="G161" s="3232">
        <v>7160</v>
      </c>
    </row>
    <row r="162" spans="1:7" s="3221" customFormat="1" ht="14.25" customHeight="1">
      <c r="A162" s="3232" t="s">
        <v>29</v>
      </c>
      <c r="B162" s="3232" t="s">
        <v>3004</v>
      </c>
      <c r="C162" s="3232">
        <v>9620</v>
      </c>
      <c r="D162" s="3232">
        <v>9570</v>
      </c>
      <c r="E162" s="3232">
        <v>12320</v>
      </c>
      <c r="F162" s="3232">
        <v>2010</v>
      </c>
      <c r="G162" s="3232">
        <v>6160</v>
      </c>
    </row>
    <row r="163" spans="1:7" s="3221" customFormat="1" ht="14.25" customHeight="1">
      <c r="A163" s="3232" t="s">
        <v>29</v>
      </c>
      <c r="B163" s="3232" t="s">
        <v>3009</v>
      </c>
      <c r="C163" s="3232">
        <v>9320</v>
      </c>
      <c r="D163" s="3232">
        <v>9270</v>
      </c>
      <c r="E163" s="3232">
        <v>11790</v>
      </c>
      <c r="F163" s="3232">
        <v>1920</v>
      </c>
      <c r="G163" s="3232">
        <v>5960</v>
      </c>
    </row>
    <row r="164" spans="1:7" s="3221" customFormat="1" ht="14.25" customHeight="1">
      <c r="A164" s="3232" t="s">
        <v>29</v>
      </c>
      <c r="B164" s="3232" t="s">
        <v>3014</v>
      </c>
      <c r="C164" s="3232"/>
      <c r="D164" s="3232"/>
      <c r="E164" s="3232"/>
      <c r="F164" s="3232">
        <v>1980</v>
      </c>
      <c r="G164" s="3232"/>
    </row>
    <row r="165" spans="1:7" s="3221" customFormat="1" ht="14.25" customHeight="1">
      <c r="A165" s="3232" t="s">
        <v>29</v>
      </c>
      <c r="B165" s="3232" t="s">
        <v>3084</v>
      </c>
      <c r="C165" s="3232">
        <v>11060</v>
      </c>
      <c r="D165" s="3232">
        <v>11030</v>
      </c>
      <c r="E165" s="3232">
        <v>13850</v>
      </c>
      <c r="F165" s="3232">
        <v>2170</v>
      </c>
      <c r="G165" s="3232">
        <v>7090</v>
      </c>
    </row>
    <row r="166" spans="1:7" s="3221" customFormat="1" ht="14.25" customHeight="1">
      <c r="A166" s="3232" t="s">
        <v>29</v>
      </c>
      <c r="B166" s="3232" t="s">
        <v>3024</v>
      </c>
      <c r="C166" s="3232">
        <v>11050</v>
      </c>
      <c r="D166" s="3232">
        <v>11010</v>
      </c>
      <c r="E166" s="3232">
        <v>13920</v>
      </c>
      <c r="F166" s="3232">
        <v>2140</v>
      </c>
      <c r="G166" s="3232">
        <v>7080</v>
      </c>
    </row>
    <row r="167" spans="1:7" s="3221" customFormat="1" ht="14.25" customHeight="1">
      <c r="A167" s="3232" t="s">
        <v>29</v>
      </c>
      <c r="B167" s="3232" t="s">
        <v>3028</v>
      </c>
      <c r="C167" s="3232">
        <v>10930</v>
      </c>
      <c r="D167" s="3232">
        <v>10890</v>
      </c>
      <c r="E167" s="3232">
        <v>13790</v>
      </c>
      <c r="F167" s="3232">
        <v>2010</v>
      </c>
      <c r="G167" s="3232">
        <v>7000</v>
      </c>
    </row>
    <row r="168" spans="1:7" s="3221" customFormat="1" ht="14.25" customHeight="1">
      <c r="A168" s="3232" t="s">
        <v>29</v>
      </c>
      <c r="B168" s="3232" t="s">
        <v>3033</v>
      </c>
      <c r="C168" s="3232">
        <v>9420</v>
      </c>
      <c r="D168" s="3232">
        <v>9380</v>
      </c>
      <c r="E168" s="3232">
        <v>11970</v>
      </c>
      <c r="F168" s="3232"/>
      <c r="G168" s="3232">
        <v>6040</v>
      </c>
    </row>
    <row r="169" spans="1:7" s="3221" customFormat="1" ht="14.25" customHeight="1">
      <c r="A169" s="3232" t="s">
        <v>29</v>
      </c>
      <c r="B169" s="3232" t="s">
        <v>3085</v>
      </c>
      <c r="C169" s="3232"/>
      <c r="D169" s="3232"/>
      <c r="E169" s="3232"/>
      <c r="F169" s="3232">
        <v>2880</v>
      </c>
      <c r="G169" s="3232"/>
    </row>
    <row r="170" spans="1:7" s="3221" customFormat="1" ht="14.25" customHeight="1">
      <c r="A170" s="3232" t="s">
        <v>29</v>
      </c>
      <c r="B170" s="3232" t="s">
        <v>3041</v>
      </c>
      <c r="C170" s="3232"/>
      <c r="D170" s="3232"/>
      <c r="E170" s="3232"/>
      <c r="F170" s="3232">
        <v>2880</v>
      </c>
      <c r="G170" s="3232"/>
    </row>
    <row r="171" spans="1:7" s="3221" customFormat="1" ht="14.25" customHeight="1">
      <c r="A171" s="3232" t="s">
        <v>29</v>
      </c>
      <c r="B171" s="3232" t="s">
        <v>3044</v>
      </c>
      <c r="C171" s="3232"/>
      <c r="D171" s="3232"/>
      <c r="E171" s="3232"/>
      <c r="F171" s="3232">
        <v>2880</v>
      </c>
      <c r="G171" s="3232"/>
    </row>
    <row r="172" spans="1:7" s="3221" customFormat="1" ht="14.25" customHeight="1">
      <c r="A172" s="3232" t="s">
        <v>29</v>
      </c>
      <c r="B172" s="3232" t="s">
        <v>3046</v>
      </c>
      <c r="C172" s="3232"/>
      <c r="D172" s="3232"/>
      <c r="E172" s="3232"/>
      <c r="F172" s="3232">
        <v>2880</v>
      </c>
      <c r="G172" s="3232"/>
    </row>
    <row r="173" spans="1:7" s="3221" customFormat="1" ht="14.25" customHeight="1">
      <c r="A173" s="3232" t="s">
        <v>29</v>
      </c>
      <c r="B173" s="3232" t="s">
        <v>3048</v>
      </c>
      <c r="C173" s="3232"/>
      <c r="D173" s="3232"/>
      <c r="E173" s="3232"/>
      <c r="F173" s="3232">
        <v>2150</v>
      </c>
      <c r="G173" s="3232"/>
    </row>
    <row r="174" spans="1:7" s="3221" customFormat="1" ht="14.25" customHeight="1">
      <c r="A174" s="3232" t="s">
        <v>29</v>
      </c>
      <c r="B174" s="3232" t="s">
        <v>3050</v>
      </c>
      <c r="C174" s="3232"/>
      <c r="D174" s="3232"/>
      <c r="E174" s="3232"/>
      <c r="F174" s="3232">
        <v>2030</v>
      </c>
      <c r="G174" s="3232"/>
    </row>
    <row r="175" spans="1:7" s="3221" customFormat="1" ht="14.25" customHeight="1">
      <c r="A175" s="3232" t="s">
        <v>29</v>
      </c>
      <c r="B175" s="3232" t="s">
        <v>3052</v>
      </c>
      <c r="C175" s="3232"/>
      <c r="D175" s="3232"/>
      <c r="E175" s="3232"/>
      <c r="F175" s="3232">
        <v>2780</v>
      </c>
      <c r="G175" s="3232"/>
    </row>
    <row r="176" spans="1:7" s="3221" customFormat="1" ht="14.25" customHeight="1">
      <c r="A176" s="3232" t="s">
        <v>29</v>
      </c>
      <c r="B176" s="3232" t="s">
        <v>3054</v>
      </c>
      <c r="C176" s="3232"/>
      <c r="D176" s="3232"/>
      <c r="E176" s="3232"/>
      <c r="F176" s="3232">
        <v>2780</v>
      </c>
      <c r="G176" s="3232"/>
    </row>
    <row r="177" spans="1:7" s="3221" customFormat="1" ht="14.25" customHeight="1">
      <c r="A177" s="3232" t="s">
        <v>29</v>
      </c>
      <c r="B177" s="3232" t="s">
        <v>3086</v>
      </c>
      <c r="C177" s="3232"/>
      <c r="D177" s="3232"/>
      <c r="E177" s="3232"/>
      <c r="F177" s="3232">
        <v>2780</v>
      </c>
      <c r="G177" s="3232"/>
    </row>
    <row r="178" spans="1:7" s="3221" customFormat="1" ht="14.25" customHeight="1">
      <c r="A178" s="3232" t="s">
        <v>29</v>
      </c>
      <c r="B178" s="3232" t="s">
        <v>3087</v>
      </c>
      <c r="C178" s="3232"/>
      <c r="D178" s="3232"/>
      <c r="E178" s="3232"/>
      <c r="F178" s="3232">
        <v>2060</v>
      </c>
      <c r="G178" s="3232"/>
    </row>
    <row r="179" spans="1:7" s="3221" customFormat="1" ht="14.25" customHeight="1">
      <c r="A179" s="3232" t="s">
        <v>29</v>
      </c>
      <c r="B179" s="3232" t="s">
        <v>3088</v>
      </c>
      <c r="C179" s="3232"/>
      <c r="D179" s="3232"/>
      <c r="E179" s="3232"/>
      <c r="F179" s="3232">
        <v>2120</v>
      </c>
      <c r="G179" s="3232"/>
    </row>
    <row r="180" spans="1:7" s="3221" customFormat="1" ht="14.25" customHeight="1">
      <c r="A180" s="3232" t="s">
        <v>29</v>
      </c>
      <c r="B180" s="3232" t="s">
        <v>3060</v>
      </c>
      <c r="C180" s="3232"/>
      <c r="D180" s="3232"/>
      <c r="E180" s="3232"/>
      <c r="F180" s="3232">
        <v>2340</v>
      </c>
      <c r="G180" s="3232"/>
    </row>
    <row r="181" spans="1:7" s="3221" customFormat="1" ht="14.25" customHeight="1">
      <c r="A181" s="3232" t="s">
        <v>29</v>
      </c>
      <c r="B181" s="3232" t="s">
        <v>3061</v>
      </c>
      <c r="C181" s="3232"/>
      <c r="D181" s="3232"/>
      <c r="E181" s="3232"/>
      <c r="F181" s="3232">
        <v>2340</v>
      </c>
      <c r="G181" s="3232"/>
    </row>
    <row r="182" spans="1:7" s="3221" customFormat="1" ht="14.25" customHeight="1">
      <c r="A182" s="3232" t="s">
        <v>29</v>
      </c>
      <c r="B182" s="3232" t="s">
        <v>3062</v>
      </c>
      <c r="C182" s="3232"/>
      <c r="D182" s="3232"/>
      <c r="E182" s="3232"/>
      <c r="F182" s="3232">
        <v>2340</v>
      </c>
      <c r="G182" s="3232"/>
    </row>
    <row r="183" spans="1:7" s="3221" customFormat="1" ht="14.25" customHeight="1">
      <c r="A183" s="3232" t="s">
        <v>29</v>
      </c>
      <c r="B183" s="3232" t="s">
        <v>3063</v>
      </c>
      <c r="C183" s="3232"/>
      <c r="D183" s="3232"/>
      <c r="E183" s="3232"/>
      <c r="F183" s="3232">
        <v>2340</v>
      </c>
      <c r="G183" s="3232"/>
    </row>
    <row r="184" spans="1:7" s="3221" customFormat="1" ht="14.25" customHeight="1">
      <c r="A184" s="3232" t="s">
        <v>29</v>
      </c>
      <c r="B184" s="3232" t="s">
        <v>3064</v>
      </c>
      <c r="C184" s="3232"/>
      <c r="D184" s="3232"/>
      <c r="E184" s="3232"/>
      <c r="F184" s="3232">
        <v>2340</v>
      </c>
      <c r="G184" s="3232"/>
    </row>
    <row r="185" spans="1:7" s="3221" customFormat="1" ht="14.25" customHeight="1">
      <c r="A185" s="3232" t="s">
        <v>29</v>
      </c>
      <c r="B185" s="3232" t="s">
        <v>3065</v>
      </c>
      <c r="C185" s="3232"/>
      <c r="D185" s="3232"/>
      <c r="E185" s="3232"/>
      <c r="F185" s="3232">
        <v>2530</v>
      </c>
      <c r="G185" s="3232"/>
    </row>
    <row r="186" spans="1:7" s="3221" customFormat="1" ht="14.25" customHeight="1">
      <c r="A186" s="3232" t="s">
        <v>29</v>
      </c>
      <c r="B186" s="3232" t="s">
        <v>3066</v>
      </c>
      <c r="C186" s="3232"/>
      <c r="D186" s="3232"/>
      <c r="E186" s="3232"/>
      <c r="F186" s="3232">
        <v>2550</v>
      </c>
      <c r="G186" s="3232"/>
    </row>
    <row r="187" spans="1:7" s="3221" customFormat="1" ht="14.25" customHeight="1">
      <c r="A187" s="3232" t="s">
        <v>29</v>
      </c>
      <c r="B187" s="3232" t="s">
        <v>3067</v>
      </c>
      <c r="C187" s="3232"/>
      <c r="D187" s="3232"/>
      <c r="E187" s="3232"/>
      <c r="F187" s="3232">
        <v>2070</v>
      </c>
      <c r="G187" s="3232"/>
    </row>
    <row r="188" spans="1:7" s="3221" customFormat="1" ht="14.25" customHeight="1">
      <c r="A188" s="3232" t="s">
        <v>29</v>
      </c>
      <c r="B188" s="3232" t="s">
        <v>3068</v>
      </c>
      <c r="C188" s="3232"/>
      <c r="D188" s="3232"/>
      <c r="E188" s="3232"/>
      <c r="F188" s="3232">
        <v>2340</v>
      </c>
      <c r="G188" s="3232"/>
    </row>
    <row r="189" spans="1:7" s="3221" customFormat="1" ht="14.25" customHeight="1" thickBot="1">
      <c r="A189" s="3240" t="s">
        <v>29</v>
      </c>
      <c r="B189" s="3243" t="s">
        <v>3069</v>
      </c>
      <c r="C189" s="3243"/>
      <c r="D189" s="3243"/>
      <c r="E189" s="3243"/>
      <c r="F189" s="3243">
        <v>2050</v>
      </c>
      <c r="G189" s="3243"/>
    </row>
    <row r="190" spans="1:7" s="3221" customFormat="1" ht="14.25" customHeight="1">
      <c r="A190" s="3237" t="s">
        <v>304</v>
      </c>
      <c r="B190" s="3228" t="s">
        <v>3089</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3090</v>
      </c>
      <c r="C199" s="3232">
        <v>8690</v>
      </c>
      <c r="D199" s="3232">
        <v>8630</v>
      </c>
      <c r="E199" s="3232">
        <v>11350</v>
      </c>
      <c r="F199" s="3232">
        <v>1600</v>
      </c>
      <c r="G199" s="3245">
        <v>5450</v>
      </c>
    </row>
    <row r="200" spans="1:7" s="3221" customFormat="1" ht="14.25" customHeight="1">
      <c r="A200" s="3232" t="s">
        <v>304</v>
      </c>
      <c r="B200" s="3232" t="s">
        <v>2901</v>
      </c>
      <c r="C200" s="3232"/>
      <c r="D200" s="3232"/>
      <c r="E200" s="3232"/>
      <c r="F200" s="3232">
        <v>1510</v>
      </c>
      <c r="G200" s="3245"/>
    </row>
    <row r="201" spans="1:7" s="3221" customFormat="1" ht="14.25" customHeight="1">
      <c r="A201" s="3232" t="s">
        <v>304</v>
      </c>
      <c r="B201" s="3232" t="s">
        <v>3091</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3092</v>
      </c>
      <c r="C203" s="3232">
        <v>8130</v>
      </c>
      <c r="D203" s="3232">
        <v>8070</v>
      </c>
      <c r="E203" s="3232">
        <v>10820</v>
      </c>
      <c r="F203" s="3232">
        <v>1690</v>
      </c>
      <c r="G203" s="3245">
        <v>5100</v>
      </c>
    </row>
    <row r="204" spans="1:7" s="3221" customFormat="1" ht="14.25" customHeight="1">
      <c r="A204" s="3232" t="s">
        <v>304</v>
      </c>
      <c r="B204" s="3232" t="s">
        <v>2912</v>
      </c>
      <c r="C204" s="3232">
        <v>8350</v>
      </c>
      <c r="D204" s="3232">
        <v>8290</v>
      </c>
      <c r="E204" s="3232">
        <v>11080</v>
      </c>
      <c r="F204" s="3232">
        <v>1450</v>
      </c>
      <c r="G204" s="3245">
        <v>5240</v>
      </c>
    </row>
    <row r="205" spans="1:7" s="3221" customFormat="1" ht="14.25" customHeight="1">
      <c r="A205" s="3232" t="s">
        <v>304</v>
      </c>
      <c r="B205" s="3232" t="s">
        <v>2914</v>
      </c>
      <c r="C205" s="3232">
        <v>7190</v>
      </c>
      <c r="D205" s="3232">
        <v>7130</v>
      </c>
      <c r="E205" s="3232">
        <v>9490</v>
      </c>
      <c r="F205" s="3232">
        <v>1470</v>
      </c>
      <c r="G205" s="3245">
        <v>4510</v>
      </c>
    </row>
    <row r="206" spans="1:7" s="3221" customFormat="1" ht="14.25" customHeight="1">
      <c r="A206" s="3232" t="s">
        <v>304</v>
      </c>
      <c r="B206" s="3232" t="s">
        <v>2917</v>
      </c>
      <c r="C206" s="3232">
        <v>7000</v>
      </c>
      <c r="D206" s="3232">
        <v>6950</v>
      </c>
      <c r="E206" s="3232">
        <v>9170</v>
      </c>
      <c r="F206" s="3232">
        <v>1400</v>
      </c>
      <c r="G206" s="3245">
        <v>4380</v>
      </c>
    </row>
    <row r="207" spans="1:7" s="3221" customFormat="1" ht="14.25" customHeight="1">
      <c r="A207" s="3232" t="s">
        <v>304</v>
      </c>
      <c r="B207" s="3232" t="s">
        <v>2919</v>
      </c>
      <c r="C207" s="3232">
        <v>6950</v>
      </c>
      <c r="D207" s="3232">
        <v>6900</v>
      </c>
      <c r="E207" s="3232">
        <v>9110</v>
      </c>
      <c r="F207" s="3232">
        <v>1790</v>
      </c>
      <c r="G207" s="3245">
        <v>4360</v>
      </c>
    </row>
    <row r="208" spans="1:7" s="3221" customFormat="1" ht="14.25" customHeight="1">
      <c r="A208" s="3232" t="s">
        <v>304</v>
      </c>
      <c r="B208" s="3232" t="s">
        <v>3093</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2929</v>
      </c>
      <c r="C210" s="3232">
        <v>8710</v>
      </c>
      <c r="D210" s="3232">
        <v>8660</v>
      </c>
      <c r="E210" s="3232">
        <v>11440</v>
      </c>
      <c r="F210" s="3232">
        <v>1740</v>
      </c>
      <c r="G210" s="3245">
        <v>5470</v>
      </c>
    </row>
    <row r="211" spans="1:7" s="3221" customFormat="1" ht="14.25" customHeight="1">
      <c r="A211" s="3232" t="s">
        <v>304</v>
      </c>
      <c r="B211" s="3232" t="s">
        <v>3094</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3095</v>
      </c>
      <c r="C214" s="3232">
        <v>8090</v>
      </c>
      <c r="D214" s="3232">
        <v>8030</v>
      </c>
      <c r="E214" s="3232">
        <v>10780</v>
      </c>
      <c r="F214" s="3232">
        <v>1570</v>
      </c>
      <c r="G214" s="3245">
        <v>5070</v>
      </c>
    </row>
    <row r="215" spans="1:7" s="3221" customFormat="1" ht="14.25" customHeight="1">
      <c r="A215" s="3232" t="s">
        <v>304</v>
      </c>
      <c r="B215" s="3232" t="s">
        <v>3096</v>
      </c>
      <c r="C215" s="3232">
        <v>7950</v>
      </c>
      <c r="D215" s="3232">
        <v>7900</v>
      </c>
      <c r="E215" s="3232">
        <v>10560</v>
      </c>
      <c r="F215" s="3232">
        <v>1630</v>
      </c>
      <c r="G215" s="3245">
        <v>4990</v>
      </c>
    </row>
    <row r="216" spans="1:7" s="3221" customFormat="1" ht="14.25" customHeight="1">
      <c r="A216" s="3232" t="s">
        <v>304</v>
      </c>
      <c r="B216" s="3232" t="s">
        <v>3097</v>
      </c>
      <c r="C216" s="3232">
        <v>8490</v>
      </c>
      <c r="D216" s="3232">
        <v>8440</v>
      </c>
      <c r="E216" s="3232">
        <v>11260</v>
      </c>
      <c r="F216" s="3232">
        <v>1690</v>
      </c>
      <c r="G216" s="3245">
        <v>5330</v>
      </c>
    </row>
    <row r="217" spans="1:7" s="3221" customFormat="1" ht="14.25" customHeight="1">
      <c r="A217" s="3232" t="s">
        <v>304</v>
      </c>
      <c r="B217" s="3232" t="s">
        <v>2962</v>
      </c>
      <c r="C217" s="3232">
        <v>8200</v>
      </c>
      <c r="D217" s="3232">
        <v>8150</v>
      </c>
      <c r="E217" s="3232">
        <v>10910</v>
      </c>
      <c r="F217" s="3232">
        <v>1670</v>
      </c>
      <c r="G217" s="3245">
        <v>5150</v>
      </c>
    </row>
    <row r="218" spans="1:7" s="3221" customFormat="1" ht="14.25" customHeight="1">
      <c r="A218" s="3232" t="s">
        <v>304</v>
      </c>
      <c r="B218" s="3232" t="s">
        <v>3098</v>
      </c>
      <c r="C218" s="3232"/>
      <c r="D218" s="3232"/>
      <c r="E218" s="3232"/>
      <c r="F218" s="3232">
        <v>2040</v>
      </c>
      <c r="G218" s="3245"/>
    </row>
    <row r="219" spans="1:7" s="3221" customFormat="1" ht="14.25" customHeight="1">
      <c r="A219" s="3232" t="s">
        <v>304</v>
      </c>
      <c r="B219" s="3232" t="s">
        <v>3099</v>
      </c>
      <c r="C219" s="3232"/>
      <c r="D219" s="3232"/>
      <c r="E219" s="3232"/>
      <c r="F219" s="3232">
        <v>2040</v>
      </c>
      <c r="G219" s="3245"/>
    </row>
    <row r="220" spans="1:7" s="3221" customFormat="1" ht="14.25" customHeight="1">
      <c r="A220" s="3232" t="s">
        <v>304</v>
      </c>
      <c r="B220" s="3232" t="s">
        <v>3100</v>
      </c>
      <c r="C220" s="3232"/>
      <c r="D220" s="3232"/>
      <c r="E220" s="3232"/>
      <c r="F220" s="3232">
        <v>2040</v>
      </c>
      <c r="G220" s="3245"/>
    </row>
    <row r="221" spans="1:7" s="3221" customFormat="1" ht="14.25" customHeight="1">
      <c r="A221" s="3232" t="s">
        <v>304</v>
      </c>
      <c r="B221" s="3232" t="s">
        <v>3101</v>
      </c>
      <c r="C221" s="3232"/>
      <c r="D221" s="3232"/>
      <c r="E221" s="3232"/>
      <c r="F221" s="3232">
        <v>2040</v>
      </c>
      <c r="G221" s="3245"/>
    </row>
    <row r="222" spans="1:7" s="3221" customFormat="1" ht="14.25" customHeight="1">
      <c r="A222" s="3232" t="s">
        <v>304</v>
      </c>
      <c r="B222" s="3232" t="s">
        <v>3102</v>
      </c>
      <c r="C222" s="3232"/>
      <c r="D222" s="3232"/>
      <c r="E222" s="3232"/>
      <c r="F222" s="3232">
        <v>2040</v>
      </c>
      <c r="G222" s="3245"/>
    </row>
    <row r="223" spans="1:7" s="3221" customFormat="1" ht="14.25" customHeight="1">
      <c r="A223" s="3232" t="s">
        <v>304</v>
      </c>
      <c r="B223" s="3232" t="s">
        <v>3103</v>
      </c>
      <c r="C223" s="3232"/>
      <c r="D223" s="3232"/>
      <c r="E223" s="3232"/>
      <c r="F223" s="3232">
        <v>1930</v>
      </c>
      <c r="G223" s="3245"/>
    </row>
    <row r="224" spans="1:7" s="3221" customFormat="1" ht="14.25" customHeight="1">
      <c r="A224" s="3232" t="s">
        <v>304</v>
      </c>
      <c r="B224" s="3232" t="s">
        <v>3104</v>
      </c>
      <c r="C224" s="3232"/>
      <c r="D224" s="3232"/>
      <c r="E224" s="3232"/>
      <c r="F224" s="3232">
        <v>1930</v>
      </c>
      <c r="G224" s="3245"/>
    </row>
    <row r="225" spans="1:7" s="3221" customFormat="1" ht="14.25" customHeight="1">
      <c r="A225" s="3232" t="s">
        <v>304</v>
      </c>
      <c r="B225" s="3232" t="s">
        <v>3105</v>
      </c>
      <c r="C225" s="3232"/>
      <c r="D225" s="3232"/>
      <c r="E225" s="3232"/>
      <c r="F225" s="3232">
        <v>1930</v>
      </c>
      <c r="G225" s="3245"/>
    </row>
    <row r="226" spans="1:7" s="3221" customFormat="1" ht="14.25" customHeight="1">
      <c r="A226" s="3232" t="s">
        <v>304</v>
      </c>
      <c r="B226" s="3232" t="s">
        <v>3106</v>
      </c>
      <c r="C226" s="3232"/>
      <c r="D226" s="3232"/>
      <c r="E226" s="3232"/>
      <c r="F226" s="3232">
        <v>1700</v>
      </c>
      <c r="G226" s="3245"/>
    </row>
    <row r="227" spans="1:7" s="3221" customFormat="1" ht="14.25" customHeight="1">
      <c r="A227" s="3232" t="s">
        <v>304</v>
      </c>
      <c r="B227" s="3232" t="s">
        <v>3107</v>
      </c>
      <c r="C227" s="3232"/>
      <c r="D227" s="3232"/>
      <c r="E227" s="3232"/>
      <c r="F227" s="3232">
        <v>1520</v>
      </c>
      <c r="G227" s="3245"/>
    </row>
    <row r="228" spans="1:7" s="3221" customFormat="1" ht="14.25" customHeight="1">
      <c r="A228" s="3232" t="s">
        <v>304</v>
      </c>
      <c r="B228" s="3232" t="s">
        <v>3108</v>
      </c>
      <c r="C228" s="3232"/>
      <c r="D228" s="3232"/>
      <c r="E228" s="3232"/>
      <c r="F228" s="3232">
        <v>1520</v>
      </c>
      <c r="G228" s="3245"/>
    </row>
    <row r="229" spans="1:7" s="3221" customFormat="1" ht="14.25" customHeight="1">
      <c r="A229" s="3232" t="s">
        <v>304</v>
      </c>
      <c r="B229" s="3232" t="s">
        <v>3025</v>
      </c>
      <c r="C229" s="3232"/>
      <c r="D229" s="3232"/>
      <c r="E229" s="3232"/>
      <c r="F229" s="3232">
        <v>1520</v>
      </c>
      <c r="G229" s="3245"/>
    </row>
    <row r="230" spans="1:7" s="3221" customFormat="1" ht="14.25" customHeight="1">
      <c r="A230" s="3232" t="s">
        <v>304</v>
      </c>
      <c r="B230" s="3232" t="s">
        <v>3109</v>
      </c>
      <c r="C230" s="3232"/>
      <c r="D230" s="3232"/>
      <c r="E230" s="3232"/>
      <c r="F230" s="3232">
        <v>1820</v>
      </c>
      <c r="G230" s="3245"/>
    </row>
    <row r="231" spans="1:7" s="3221" customFormat="1" ht="14.25" customHeight="1">
      <c r="A231" s="3232" t="s">
        <v>304</v>
      </c>
      <c r="B231" s="3232" t="s">
        <v>3110</v>
      </c>
      <c r="C231" s="3232"/>
      <c r="D231" s="3232"/>
      <c r="E231" s="3232"/>
      <c r="F231" s="3232">
        <v>1760</v>
      </c>
      <c r="G231" s="3245"/>
    </row>
    <row r="232" spans="1:7" s="3221" customFormat="1" ht="14.25" customHeight="1">
      <c r="A232" s="3232" t="s">
        <v>304</v>
      </c>
      <c r="B232" s="3232" t="s">
        <v>3111</v>
      </c>
      <c r="C232" s="3232"/>
      <c r="D232" s="3232"/>
      <c r="E232" s="3232"/>
      <c r="F232" s="3232">
        <v>1840</v>
      </c>
      <c r="G232" s="3245"/>
    </row>
    <row r="233" spans="1:7" s="3221" customFormat="1" ht="14.25" customHeight="1" thickBot="1">
      <c r="A233" s="3246" t="s">
        <v>304</v>
      </c>
      <c r="B233" s="3239" t="s">
        <v>3042</v>
      </c>
      <c r="C233" s="3239"/>
      <c r="D233" s="3239"/>
      <c r="E233" s="3239"/>
      <c r="F233" s="3239">
        <v>1770</v>
      </c>
      <c r="G233" s="3247"/>
    </row>
    <row r="234" spans="1:7" s="3221" customFormat="1" ht="14.25" customHeight="1">
      <c r="A234" s="3237" t="s">
        <v>305</v>
      </c>
      <c r="B234" s="3228" t="s">
        <v>3112</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2883</v>
      </c>
      <c r="C238" s="3232">
        <v>6920</v>
      </c>
      <c r="D238" s="3232">
        <v>6890</v>
      </c>
      <c r="E238" s="3232">
        <v>8640</v>
      </c>
      <c r="F238" s="3232">
        <v>1310</v>
      </c>
      <c r="G238" s="3232">
        <v>4230</v>
      </c>
    </row>
    <row r="239" spans="1:7" s="3221" customFormat="1" ht="14.25" customHeight="1">
      <c r="A239" s="3232" t="s">
        <v>305</v>
      </c>
      <c r="B239" s="3232" t="s">
        <v>3113</v>
      </c>
      <c r="C239" s="3232">
        <v>6780</v>
      </c>
      <c r="D239" s="3232">
        <v>6750</v>
      </c>
      <c r="E239" s="3232">
        <v>8440</v>
      </c>
      <c r="F239" s="3232">
        <v>1160</v>
      </c>
      <c r="G239" s="3232">
        <v>4140</v>
      </c>
    </row>
    <row r="240" spans="1:7" s="3221" customFormat="1" ht="14.25" customHeight="1">
      <c r="A240" s="3232" t="s">
        <v>305</v>
      </c>
      <c r="B240" s="3232" t="s">
        <v>3114</v>
      </c>
      <c r="C240" s="3232">
        <v>5420</v>
      </c>
      <c r="D240" s="3232">
        <v>5380</v>
      </c>
      <c r="E240" s="3232">
        <v>6640</v>
      </c>
      <c r="F240" s="3232">
        <v>1020</v>
      </c>
      <c r="G240" s="3232">
        <v>3300</v>
      </c>
    </row>
    <row r="241" spans="1:7" s="3221" customFormat="1" ht="14.25" customHeight="1">
      <c r="A241" s="3232" t="s">
        <v>305</v>
      </c>
      <c r="B241" s="3232" t="s">
        <v>3115</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3116</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3117</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3118</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3119</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3120</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2945</v>
      </c>
      <c r="C258" s="3232">
        <v>6190</v>
      </c>
      <c r="D258" s="3232">
        <v>6160</v>
      </c>
      <c r="E258" s="3232">
        <v>7680</v>
      </c>
      <c r="F258" s="3232">
        <v>1170</v>
      </c>
      <c r="G258" s="3232">
        <v>3780</v>
      </c>
    </row>
    <row r="259" spans="1:7" s="3221" customFormat="1" ht="14.25" customHeight="1">
      <c r="A259" s="3232" t="s">
        <v>305</v>
      </c>
      <c r="B259" s="3232" t="s">
        <v>3121</v>
      </c>
      <c r="C259" s="3232">
        <v>7610</v>
      </c>
      <c r="D259" s="3232">
        <v>7570</v>
      </c>
      <c r="E259" s="3232">
        <v>9350</v>
      </c>
      <c r="F259" s="3232">
        <v>1350</v>
      </c>
      <c r="G259" s="3232">
        <v>4650</v>
      </c>
    </row>
    <row r="260" spans="1:7" s="3221" customFormat="1" ht="14.25" customHeight="1">
      <c r="A260" s="3232" t="s">
        <v>305</v>
      </c>
      <c r="B260" s="3232" t="s">
        <v>3122</v>
      </c>
      <c r="C260" s="3232">
        <v>6920</v>
      </c>
      <c r="D260" s="3232">
        <v>6880</v>
      </c>
      <c r="E260" s="3232">
        <v>8380</v>
      </c>
      <c r="F260" s="3232">
        <v>1160</v>
      </c>
      <c r="G260" s="3232">
        <v>4220</v>
      </c>
    </row>
    <row r="261" spans="1:7" s="3221" customFormat="1" ht="14.25" customHeight="1">
      <c r="A261" s="3232" t="s">
        <v>305</v>
      </c>
      <c r="B261" s="3232" t="s">
        <v>3123</v>
      </c>
      <c r="C261" s="3232">
        <v>6850</v>
      </c>
      <c r="D261" s="3232">
        <v>6810</v>
      </c>
      <c r="E261" s="3232">
        <v>8290</v>
      </c>
      <c r="F261" s="3232">
        <v>1130</v>
      </c>
      <c r="G261" s="3232">
        <v>4180</v>
      </c>
    </row>
    <row r="262" spans="1:7" s="3221" customFormat="1" ht="14.25" customHeight="1">
      <c r="A262" s="3232" t="s">
        <v>305</v>
      </c>
      <c r="B262" s="3232" t="s">
        <v>3124</v>
      </c>
      <c r="C262" s="3232">
        <v>5860</v>
      </c>
      <c r="D262" s="3232">
        <v>5820</v>
      </c>
      <c r="E262" s="3232">
        <v>7640</v>
      </c>
      <c r="F262" s="3232">
        <v>1070</v>
      </c>
      <c r="G262" s="3232">
        <v>3570</v>
      </c>
    </row>
    <row r="263" spans="1:7" s="3221" customFormat="1" ht="14.25" customHeight="1">
      <c r="A263" s="3232" t="s">
        <v>305</v>
      </c>
      <c r="B263" s="3232" t="s">
        <v>3125</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3126</v>
      </c>
      <c r="C265" s="3232"/>
      <c r="D265" s="3232"/>
      <c r="E265" s="3232"/>
      <c r="F265" s="3232">
        <v>1500</v>
      </c>
      <c r="G265" s="3232"/>
    </row>
    <row r="266" spans="1:7" s="3221" customFormat="1" ht="14.25" customHeight="1">
      <c r="A266" s="3232" t="s">
        <v>305</v>
      </c>
      <c r="B266" s="3232" t="s">
        <v>3127</v>
      </c>
      <c r="C266" s="3232"/>
      <c r="D266" s="3232"/>
      <c r="E266" s="3232"/>
      <c r="F266" s="3232">
        <v>1500</v>
      </c>
      <c r="G266" s="3232"/>
    </row>
    <row r="267" spans="1:7" s="3221" customFormat="1" ht="14.25" customHeight="1">
      <c r="A267" s="3232" t="s">
        <v>305</v>
      </c>
      <c r="B267" s="3232" t="s">
        <v>3128</v>
      </c>
      <c r="C267" s="3232"/>
      <c r="D267" s="3232"/>
      <c r="E267" s="3232"/>
      <c r="F267" s="3232">
        <v>1500</v>
      </c>
      <c r="G267" s="3232"/>
    </row>
    <row r="268" spans="1:7" s="3221" customFormat="1" ht="14.25" customHeight="1">
      <c r="A268" s="3232" t="s">
        <v>305</v>
      </c>
      <c r="B268" s="3232" t="s">
        <v>3129</v>
      </c>
      <c r="C268" s="3232"/>
      <c r="D268" s="3232"/>
      <c r="E268" s="3232"/>
      <c r="F268" s="3232">
        <v>1290</v>
      </c>
      <c r="G268" s="3232"/>
    </row>
    <row r="269" spans="1:7" s="3221" customFormat="1" ht="14.25" customHeight="1">
      <c r="A269" s="3232" t="s">
        <v>305</v>
      </c>
      <c r="B269" s="3232" t="s">
        <v>3130</v>
      </c>
      <c r="C269" s="3232"/>
      <c r="D269" s="3232"/>
      <c r="E269" s="3232"/>
      <c r="F269" s="3232">
        <v>1150</v>
      </c>
      <c r="G269" s="3232"/>
    </row>
    <row r="270" spans="1:7" s="3221" customFormat="1" ht="14.25" customHeight="1">
      <c r="A270" s="3232" t="s">
        <v>305</v>
      </c>
      <c r="B270" s="3232" t="s">
        <v>3131</v>
      </c>
      <c r="C270" s="3232"/>
      <c r="D270" s="3232"/>
      <c r="E270" s="3232"/>
      <c r="F270" s="3232">
        <v>1380</v>
      </c>
      <c r="G270" s="3232"/>
    </row>
    <row r="271" spans="1:7" s="3221" customFormat="1" ht="14.25" customHeight="1">
      <c r="A271" s="3232" t="s">
        <v>305</v>
      </c>
      <c r="B271" s="3232" t="s">
        <v>3132</v>
      </c>
      <c r="C271" s="3232"/>
      <c r="D271" s="3232"/>
      <c r="E271" s="3232"/>
      <c r="F271" s="3232">
        <v>1460</v>
      </c>
      <c r="G271" s="3232"/>
    </row>
    <row r="272" spans="1:7" s="3221" customFormat="1" ht="14.25" customHeight="1">
      <c r="A272" s="3232" t="s">
        <v>305</v>
      </c>
      <c r="B272" s="3232" t="s">
        <v>3133</v>
      </c>
      <c r="C272" s="3232"/>
      <c r="D272" s="3232"/>
      <c r="E272" s="3232"/>
      <c r="F272" s="3232">
        <v>1460</v>
      </c>
      <c r="G272" s="3232"/>
    </row>
    <row r="273" spans="1:7" s="3221" customFormat="1" ht="14.25" customHeight="1">
      <c r="A273" s="3232" t="s">
        <v>305</v>
      </c>
      <c r="B273" s="3232" t="s">
        <v>3026</v>
      </c>
      <c r="C273" s="3232"/>
      <c r="D273" s="3232"/>
      <c r="E273" s="3232"/>
      <c r="F273" s="3232">
        <v>1490</v>
      </c>
      <c r="G273" s="3232"/>
    </row>
    <row r="274" spans="1:7" s="3221" customFormat="1" ht="14.25" customHeight="1">
      <c r="A274" s="3232" t="s">
        <v>305</v>
      </c>
      <c r="B274" s="3232" t="s">
        <v>3134</v>
      </c>
      <c r="C274" s="3232"/>
      <c r="D274" s="3232"/>
      <c r="E274" s="3232"/>
      <c r="F274" s="3232">
        <v>1490</v>
      </c>
      <c r="G274" s="3232"/>
    </row>
    <row r="275" spans="1:7" s="3221" customFormat="1" ht="14.25" customHeight="1">
      <c r="A275" s="3232" t="s">
        <v>305</v>
      </c>
      <c r="B275" s="3232" t="s">
        <v>3135</v>
      </c>
      <c r="C275" s="3232"/>
      <c r="D275" s="3232"/>
      <c r="E275" s="3232"/>
      <c r="F275" s="3232">
        <v>1220</v>
      </c>
      <c r="G275" s="3232"/>
    </row>
    <row r="276" spans="1:7" s="3221" customFormat="1" ht="14.25" customHeight="1" thickBot="1">
      <c r="A276" s="3240" t="s">
        <v>305</v>
      </c>
      <c r="B276" s="3242" t="s">
        <v>3136</v>
      </c>
      <c r="C276" s="3243"/>
      <c r="D276" s="3243"/>
      <c r="E276" s="3243"/>
      <c r="F276" s="3243">
        <v>1380</v>
      </c>
      <c r="G276" s="3243"/>
    </row>
    <row r="277" spans="1:7" s="3221" customFormat="1" ht="14.25" customHeight="1">
      <c r="A277" s="3237" t="s">
        <v>306</v>
      </c>
      <c r="B277" s="3228" t="s">
        <v>3137</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3138</v>
      </c>
      <c r="C279" s="3232">
        <v>4760</v>
      </c>
      <c r="D279" s="3232">
        <v>4720</v>
      </c>
      <c r="E279" s="3232">
        <v>5540</v>
      </c>
      <c r="F279" s="3232">
        <v>810</v>
      </c>
      <c r="G279" s="3245">
        <v>2850</v>
      </c>
    </row>
    <row r="280" spans="1:7" s="3221" customFormat="1" ht="14.25" customHeight="1">
      <c r="A280" s="3232" t="s">
        <v>306</v>
      </c>
      <c r="B280" s="3232" t="s">
        <v>3139</v>
      </c>
      <c r="C280" s="3232">
        <v>4010</v>
      </c>
      <c r="D280" s="3232">
        <v>3950</v>
      </c>
      <c r="E280" s="3232">
        <v>4710</v>
      </c>
      <c r="F280" s="3232">
        <v>800</v>
      </c>
      <c r="G280" s="3245">
        <v>2390</v>
      </c>
    </row>
    <row r="281" spans="1:7" s="3221" customFormat="1" ht="14.25" customHeight="1">
      <c r="A281" s="3232" t="s">
        <v>306</v>
      </c>
      <c r="B281" s="3232" t="s">
        <v>3140</v>
      </c>
      <c r="C281" s="3232">
        <v>4480</v>
      </c>
      <c r="D281" s="3232">
        <v>4420</v>
      </c>
      <c r="E281" s="3232">
        <v>5230</v>
      </c>
      <c r="F281" s="3232">
        <v>870</v>
      </c>
      <c r="G281" s="3245">
        <v>2660</v>
      </c>
    </row>
    <row r="282" spans="1:7" s="3221" customFormat="1" ht="14.25" customHeight="1">
      <c r="A282" s="3232" t="s">
        <v>306</v>
      </c>
      <c r="B282" s="3232" t="s">
        <v>3141</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3142</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3143</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2918</v>
      </c>
      <c r="C293" s="3232">
        <v>5320</v>
      </c>
      <c r="D293" s="3232">
        <v>5270</v>
      </c>
      <c r="E293" s="3232">
        <v>6160</v>
      </c>
      <c r="F293" s="3232">
        <v>990</v>
      </c>
      <c r="G293" s="3245">
        <v>3170</v>
      </c>
    </row>
    <row r="294" spans="1:7" s="3221" customFormat="1" ht="14.25" customHeight="1">
      <c r="A294" s="3232" t="s">
        <v>306</v>
      </c>
      <c r="B294" s="3232" t="s">
        <v>3144</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2937</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3145</v>
      </c>
      <c r="C302" s="3232">
        <v>5520</v>
      </c>
      <c r="D302" s="3232">
        <v>5470</v>
      </c>
      <c r="E302" s="3232">
        <v>6410</v>
      </c>
      <c r="F302" s="3232">
        <v>950</v>
      </c>
      <c r="G302" s="3245">
        <v>3300</v>
      </c>
    </row>
    <row r="303" spans="1:7" s="3221" customFormat="1" ht="14.25" customHeight="1">
      <c r="A303" s="3232" t="s">
        <v>306</v>
      </c>
      <c r="B303" s="3232" t="s">
        <v>2957</v>
      </c>
      <c r="C303" s="3232">
        <v>5630</v>
      </c>
      <c r="D303" s="3232">
        <v>5590</v>
      </c>
      <c r="E303" s="3232">
        <v>6550</v>
      </c>
      <c r="F303" s="3232">
        <v>1010</v>
      </c>
      <c r="G303" s="3245">
        <v>3370</v>
      </c>
    </row>
    <row r="304" spans="1:7" s="3221" customFormat="1" ht="14.25" customHeight="1">
      <c r="A304" s="3232" t="s">
        <v>306</v>
      </c>
      <c r="B304" s="3232" t="s">
        <v>2964</v>
      </c>
      <c r="C304" s="3232">
        <v>5680</v>
      </c>
      <c r="D304" s="3232">
        <v>5620</v>
      </c>
      <c r="E304" s="3232">
        <v>6620</v>
      </c>
      <c r="F304" s="3232">
        <v>1050</v>
      </c>
      <c r="G304" s="3245">
        <v>3390</v>
      </c>
    </row>
    <row r="305" spans="1:7" s="3221" customFormat="1" ht="14.25" customHeight="1">
      <c r="A305" s="3232" t="s">
        <v>306</v>
      </c>
      <c r="B305" s="3232" t="s">
        <v>2970</v>
      </c>
      <c r="C305" s="3232">
        <v>5590</v>
      </c>
      <c r="D305" s="3232">
        <v>5530</v>
      </c>
      <c r="E305" s="3232">
        <v>6460</v>
      </c>
      <c r="F305" s="3232">
        <v>900</v>
      </c>
      <c r="G305" s="3245">
        <v>3340</v>
      </c>
    </row>
    <row r="306" spans="1:7" s="3221" customFormat="1" ht="14.25" customHeight="1">
      <c r="A306" s="3232" t="s">
        <v>306</v>
      </c>
      <c r="B306" s="3232" t="s">
        <v>3146</v>
      </c>
      <c r="C306" s="3232">
        <v>5560</v>
      </c>
      <c r="D306" s="3232">
        <v>5510</v>
      </c>
      <c r="E306" s="3232">
        <v>6440</v>
      </c>
      <c r="F306" s="3232">
        <v>900</v>
      </c>
      <c r="G306" s="3245">
        <v>3320</v>
      </c>
    </row>
    <row r="307" spans="1:7" s="3221" customFormat="1" ht="14.25" customHeight="1">
      <c r="A307" s="3232" t="s">
        <v>306</v>
      </c>
      <c r="B307" s="3232" t="s">
        <v>2982</v>
      </c>
      <c r="C307" s="3232">
        <v>5650</v>
      </c>
      <c r="D307" s="3232">
        <v>5600</v>
      </c>
      <c r="E307" s="3232">
        <v>6590</v>
      </c>
      <c r="F307" s="3232">
        <v>930</v>
      </c>
      <c r="G307" s="3245">
        <v>3380</v>
      </c>
    </row>
    <row r="308" spans="1:7" s="3221" customFormat="1" ht="14.25" customHeight="1">
      <c r="A308" s="3232" t="s">
        <v>306</v>
      </c>
      <c r="B308" s="3232" t="s">
        <v>3147</v>
      </c>
      <c r="C308" s="3232">
        <v>5620</v>
      </c>
      <c r="D308" s="3232">
        <v>5580</v>
      </c>
      <c r="E308" s="3232">
        <v>6540</v>
      </c>
      <c r="F308" s="3232">
        <v>910</v>
      </c>
      <c r="G308" s="3245">
        <v>3370</v>
      </c>
    </row>
    <row r="309" spans="1:7" s="3221" customFormat="1" ht="14.25" customHeight="1">
      <c r="A309" s="3232" t="s">
        <v>306</v>
      </c>
      <c r="B309" s="3232" t="s">
        <v>3148</v>
      </c>
      <c r="C309" s="3232">
        <v>5060</v>
      </c>
      <c r="D309" s="3232">
        <v>5020</v>
      </c>
      <c r="E309" s="3232">
        <v>6370</v>
      </c>
      <c r="F309" s="3232">
        <v>800</v>
      </c>
      <c r="G309" s="3245">
        <v>3020</v>
      </c>
    </row>
    <row r="310" spans="1:7" s="3221" customFormat="1" ht="14.25" customHeight="1">
      <c r="A310" s="3232" t="s">
        <v>306</v>
      </c>
      <c r="B310" s="3232" t="s">
        <v>2997</v>
      </c>
      <c r="C310" s="3232">
        <v>5150</v>
      </c>
      <c r="D310" s="3232">
        <v>5110</v>
      </c>
      <c r="E310" s="3232">
        <v>6500</v>
      </c>
      <c r="F310" s="3232">
        <v>880</v>
      </c>
      <c r="G310" s="3245">
        <v>3080</v>
      </c>
    </row>
    <row r="311" spans="1:7" s="3221" customFormat="1" ht="14.25" customHeight="1">
      <c r="A311" s="3232" t="s">
        <v>306</v>
      </c>
      <c r="B311" s="3232" t="s">
        <v>3149</v>
      </c>
      <c r="C311" s="3232">
        <v>4750</v>
      </c>
      <c r="D311" s="3232">
        <v>4710</v>
      </c>
      <c r="E311" s="3232">
        <v>5510</v>
      </c>
      <c r="F311" s="3232">
        <v>880</v>
      </c>
      <c r="G311" s="3245">
        <v>2840</v>
      </c>
    </row>
    <row r="312" spans="1:7" s="3221" customFormat="1" ht="14.25" customHeight="1">
      <c r="A312" s="3232" t="s">
        <v>306</v>
      </c>
      <c r="B312" s="3232" t="s">
        <v>3007</v>
      </c>
      <c r="C312" s="3232">
        <v>4690</v>
      </c>
      <c r="D312" s="3232">
        <v>4640</v>
      </c>
      <c r="E312" s="3232">
        <v>5420</v>
      </c>
      <c r="F312" s="3232">
        <v>800</v>
      </c>
      <c r="G312" s="3245">
        <v>2800</v>
      </c>
    </row>
    <row r="313" spans="1:7" s="3221" customFormat="1" ht="14.25" customHeight="1">
      <c r="A313" s="3232" t="s">
        <v>306</v>
      </c>
      <c r="B313" s="3232" t="s">
        <v>3012</v>
      </c>
      <c r="C313" s="3232">
        <v>4810</v>
      </c>
      <c r="D313" s="3232">
        <v>4760</v>
      </c>
      <c r="E313" s="3232">
        <v>5550</v>
      </c>
      <c r="F313" s="3232">
        <v>920</v>
      </c>
      <c r="G313" s="3245">
        <v>2870</v>
      </c>
    </row>
    <row r="314" spans="1:7" s="3221" customFormat="1" ht="14.25" customHeight="1">
      <c r="A314" s="3232" t="s">
        <v>306</v>
      </c>
      <c r="B314" s="3232" t="s">
        <v>3150</v>
      </c>
      <c r="C314" s="3232"/>
      <c r="D314" s="3232"/>
      <c r="E314" s="3232"/>
      <c r="F314" s="3232">
        <v>1020</v>
      </c>
      <c r="G314" s="3245"/>
    </row>
    <row r="315" spans="1:7" s="3221" customFormat="1" ht="14.25" customHeight="1">
      <c r="A315" s="3232" t="s">
        <v>306</v>
      </c>
      <c r="B315" s="3232" t="s">
        <v>3151</v>
      </c>
      <c r="C315" s="3232"/>
      <c r="D315" s="3232"/>
      <c r="E315" s="3232"/>
      <c r="F315" s="3232">
        <v>1050</v>
      </c>
      <c r="G315" s="3245"/>
    </row>
    <row r="316" spans="1:7" s="3221" customFormat="1" ht="14.25" customHeight="1">
      <c r="A316" s="3232" t="s">
        <v>306</v>
      </c>
      <c r="B316" s="3232" t="s">
        <v>3027</v>
      </c>
      <c r="C316" s="3232"/>
      <c r="D316" s="3232"/>
      <c r="E316" s="3232"/>
      <c r="F316" s="3232">
        <v>900</v>
      </c>
      <c r="G316" s="3245"/>
    </row>
    <row r="317" spans="1:7" s="3221" customFormat="1" ht="14.25" customHeight="1">
      <c r="A317" s="3232" t="s">
        <v>306</v>
      </c>
      <c r="B317" s="3232" t="s">
        <v>3152</v>
      </c>
      <c r="C317" s="3232"/>
      <c r="D317" s="3232"/>
      <c r="E317" s="3232"/>
      <c r="F317" s="3232">
        <v>920</v>
      </c>
      <c r="G317" s="3245"/>
    </row>
    <row r="318" spans="1:7" s="3221" customFormat="1" ht="14.25" customHeight="1">
      <c r="A318" s="3232" t="s">
        <v>306</v>
      </c>
      <c r="B318" s="3232" t="s">
        <v>3153</v>
      </c>
      <c r="C318" s="3232"/>
      <c r="D318" s="3232"/>
      <c r="E318" s="3232"/>
      <c r="F318" s="3232">
        <v>1080</v>
      </c>
      <c r="G318" s="3245"/>
    </row>
    <row r="319" spans="1:7" s="3221" customFormat="1" ht="14.25" customHeight="1">
      <c r="A319" s="3232" t="s">
        <v>306</v>
      </c>
      <c r="B319" s="3232" t="s">
        <v>3040</v>
      </c>
      <c r="C319" s="3232"/>
      <c r="D319" s="3232"/>
      <c r="E319" s="3232"/>
      <c r="F319" s="3232">
        <v>1020</v>
      </c>
      <c r="G319" s="3245"/>
    </row>
    <row r="320" spans="1:7" s="3221" customFormat="1" ht="14.25" customHeight="1">
      <c r="A320" s="3232" t="s">
        <v>306</v>
      </c>
      <c r="B320" s="3232" t="s">
        <v>3043</v>
      </c>
      <c r="C320" s="3232"/>
      <c r="D320" s="3232"/>
      <c r="E320" s="3232"/>
      <c r="F320" s="3232">
        <v>1050</v>
      </c>
      <c r="G320" s="3245"/>
    </row>
    <row r="321" spans="1:7" s="3221" customFormat="1" ht="14.25" customHeight="1">
      <c r="A321" s="3232" t="s">
        <v>306</v>
      </c>
      <c r="B321" s="3232" t="s">
        <v>3045</v>
      </c>
      <c r="C321" s="3232"/>
      <c r="D321" s="3232"/>
      <c r="E321" s="3232"/>
      <c r="F321" s="3232">
        <v>960</v>
      </c>
      <c r="G321" s="3245"/>
    </row>
    <row r="322" spans="1:7" s="3221" customFormat="1" ht="14.25" customHeight="1">
      <c r="A322" s="3232" t="s">
        <v>306</v>
      </c>
      <c r="B322" s="3232" t="s">
        <v>3047</v>
      </c>
      <c r="C322" s="3232"/>
      <c r="D322" s="3232"/>
      <c r="E322" s="3232"/>
      <c r="F322" s="3232">
        <v>960</v>
      </c>
      <c r="G322" s="3245"/>
    </row>
    <row r="323" spans="1:7" s="3221" customFormat="1" ht="14.25" customHeight="1">
      <c r="A323" s="3232" t="s">
        <v>306</v>
      </c>
      <c r="B323" s="3232" t="s">
        <v>3049</v>
      </c>
      <c r="C323" s="3232"/>
      <c r="D323" s="3232"/>
      <c r="E323" s="3232"/>
      <c r="F323" s="3232">
        <v>880</v>
      </c>
      <c r="G323" s="3245"/>
    </row>
    <row r="324" spans="1:7" s="3221" customFormat="1" ht="14.25" customHeight="1">
      <c r="A324" s="3232" t="s">
        <v>306</v>
      </c>
      <c r="B324" s="3232" t="s">
        <v>3051</v>
      </c>
      <c r="C324" s="3232"/>
      <c r="D324" s="3232"/>
      <c r="E324" s="3232"/>
      <c r="F324" s="3232">
        <v>930</v>
      </c>
      <c r="G324" s="3245"/>
    </row>
    <row r="325" spans="1:7" s="3221" customFormat="1" ht="14.25" customHeight="1">
      <c r="A325" s="3232" t="s">
        <v>306</v>
      </c>
      <c r="B325" s="3233" t="s">
        <v>3053</v>
      </c>
      <c r="C325" s="3232"/>
      <c r="D325" s="3232"/>
      <c r="E325" s="3232"/>
      <c r="F325" s="3232">
        <v>900</v>
      </c>
      <c r="G325" s="3245"/>
    </row>
    <row r="326" spans="1:7" s="3221" customFormat="1" ht="14.25" customHeight="1" thickBot="1">
      <c r="A326" s="3246" t="s">
        <v>306</v>
      </c>
      <c r="B326" s="3239" t="s">
        <v>3055</v>
      </c>
      <c r="C326" s="3239"/>
      <c r="D326" s="3239"/>
      <c r="E326" s="3239"/>
      <c r="F326" s="3239">
        <v>790</v>
      </c>
      <c r="G326" s="3247"/>
    </row>
    <row r="327" spans="1:7" s="3221" customFormat="1" ht="14.25" customHeight="1">
      <c r="A327" s="3237" t="s">
        <v>307</v>
      </c>
      <c r="B327" s="3228" t="s">
        <v>3154</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3155</v>
      </c>
      <c r="C329" s="3232">
        <v>2730</v>
      </c>
      <c r="D329" s="3232">
        <v>2690</v>
      </c>
      <c r="E329" s="3232">
        <v>3100</v>
      </c>
      <c r="F329" s="3232">
        <v>660</v>
      </c>
      <c r="G329" s="3232">
        <v>1610</v>
      </c>
    </row>
    <row r="330" spans="1:7" s="3221" customFormat="1" ht="14.25" customHeight="1">
      <c r="A330" s="3232" t="s">
        <v>307</v>
      </c>
      <c r="B330" s="3232" t="s">
        <v>3156</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2889</v>
      </c>
      <c r="C332" s="3232">
        <v>3520</v>
      </c>
      <c r="D332" s="3232">
        <v>3480</v>
      </c>
      <c r="E332" s="3232">
        <v>3830</v>
      </c>
      <c r="F332" s="3232">
        <v>720</v>
      </c>
      <c r="G332" s="3232">
        <v>2090</v>
      </c>
    </row>
    <row r="333" spans="1:7" s="3221" customFormat="1" ht="14.25" customHeight="1">
      <c r="A333" s="3232" t="s">
        <v>307</v>
      </c>
      <c r="B333" s="3232" t="s">
        <v>3157</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2899</v>
      </c>
      <c r="C336" s="3232">
        <v>3570</v>
      </c>
      <c r="D336" s="3232">
        <v>3530</v>
      </c>
      <c r="E336" s="3232">
        <v>3880</v>
      </c>
      <c r="F336" s="3232">
        <v>770</v>
      </c>
      <c r="G336" s="3232">
        <v>2110</v>
      </c>
    </row>
    <row r="337" spans="1:10" s="3221" customFormat="1" ht="14.25" customHeight="1">
      <c r="A337" s="3232" t="s">
        <v>307</v>
      </c>
      <c r="B337" s="3232" t="s">
        <v>3158</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3159</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3160</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2924</v>
      </c>
      <c r="C345" s="3232">
        <v>3190</v>
      </c>
      <c r="D345" s="3232">
        <v>3140</v>
      </c>
      <c r="E345" s="3232">
        <v>3450</v>
      </c>
      <c r="F345" s="3232">
        <v>720</v>
      </c>
      <c r="G345" s="3232">
        <v>1880</v>
      </c>
      <c r="J345" s="3221"/>
    </row>
    <row r="346" spans="1:10">
      <c r="A346" s="3232" t="s">
        <v>307</v>
      </c>
      <c r="B346" s="3232" t="s">
        <v>3161</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2933</v>
      </c>
      <c r="C348" s="3232">
        <v>4000</v>
      </c>
      <c r="D348" s="3232">
        <v>3950</v>
      </c>
      <c r="E348" s="3232">
        <v>4430</v>
      </c>
      <c r="F348" s="3232">
        <v>760</v>
      </c>
      <c r="G348" s="3232">
        <v>2360</v>
      </c>
      <c r="J348" s="3221"/>
    </row>
    <row r="349" spans="1:10">
      <c r="A349" s="3232" t="s">
        <v>307</v>
      </c>
      <c r="B349" s="3232" t="s">
        <v>2938</v>
      </c>
      <c r="C349" s="3232">
        <v>3820</v>
      </c>
      <c r="D349" s="3232">
        <v>3780</v>
      </c>
      <c r="E349" s="3232">
        <v>4170</v>
      </c>
      <c r="F349" s="3232">
        <v>710</v>
      </c>
      <c r="G349" s="3232">
        <v>2260</v>
      </c>
      <c r="J349" s="3221"/>
    </row>
    <row r="350" spans="1:10">
      <c r="A350" s="3232" t="s">
        <v>307</v>
      </c>
      <c r="B350" s="3232" t="s">
        <v>3162</v>
      </c>
      <c r="C350" s="3232">
        <v>3760</v>
      </c>
      <c r="D350" s="3232">
        <v>3730</v>
      </c>
      <c r="E350" s="3232">
        <v>4100</v>
      </c>
      <c r="F350" s="3232">
        <v>800</v>
      </c>
      <c r="G350" s="3232">
        <v>2230</v>
      </c>
      <c r="J350" s="3221"/>
    </row>
    <row r="351" spans="1:10">
      <c r="A351" s="3232" t="s">
        <v>307</v>
      </c>
      <c r="B351" s="3232" t="s">
        <v>2946</v>
      </c>
      <c r="C351" s="3232">
        <v>3610</v>
      </c>
      <c r="D351" s="3232">
        <v>3580</v>
      </c>
      <c r="E351" s="3232">
        <v>3930</v>
      </c>
      <c r="F351" s="3232">
        <v>700</v>
      </c>
      <c r="G351" s="3232">
        <v>2140</v>
      </c>
      <c r="J351" s="3221"/>
    </row>
    <row r="352" spans="1:10">
      <c r="A352" s="3232" t="s">
        <v>307</v>
      </c>
      <c r="B352" s="3232" t="s">
        <v>2951</v>
      </c>
      <c r="C352" s="3232">
        <v>3670</v>
      </c>
      <c r="D352" s="3232">
        <v>3630</v>
      </c>
      <c r="E352" s="3232">
        <v>4000</v>
      </c>
      <c r="F352" s="3232">
        <v>750</v>
      </c>
      <c r="G352" s="3232">
        <v>2180</v>
      </c>
    </row>
    <row r="353" spans="1:7" s="3225" customFormat="1">
      <c r="A353" s="3232" t="s">
        <v>307</v>
      </c>
      <c r="B353" s="3232" t="s">
        <v>3163</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2971</v>
      </c>
      <c r="C355" s="3232">
        <v>3650</v>
      </c>
      <c r="D355" s="3232">
        <v>3610</v>
      </c>
      <c r="E355" s="3232">
        <v>4200</v>
      </c>
      <c r="F355" s="3232">
        <v>640</v>
      </c>
      <c r="G355" s="3232">
        <v>2160</v>
      </c>
    </row>
    <row r="356" spans="1:7" s="3225" customFormat="1">
      <c r="A356" s="3232" t="s">
        <v>307</v>
      </c>
      <c r="B356" s="3232" t="s">
        <v>2978</v>
      </c>
      <c r="C356" s="3232">
        <v>3260</v>
      </c>
      <c r="D356" s="3232">
        <v>3230</v>
      </c>
      <c r="E356" s="3232">
        <v>3740</v>
      </c>
      <c r="F356" s="3232">
        <v>600</v>
      </c>
      <c r="G356" s="3232">
        <v>1930</v>
      </c>
    </row>
    <row r="357" spans="1:7" s="3225" customFormat="1" ht="11.4" thickBot="1">
      <c r="A357" s="3240" t="s">
        <v>307</v>
      </c>
      <c r="B357" s="3243" t="s">
        <v>3164</v>
      </c>
      <c r="C357" s="3243">
        <v>3690</v>
      </c>
      <c r="D357" s="3243">
        <v>3650</v>
      </c>
      <c r="E357" s="3243">
        <v>4020</v>
      </c>
      <c r="F357" s="3243">
        <v>700</v>
      </c>
      <c r="G357" s="3243">
        <v>2190</v>
      </c>
    </row>
    <row r="358" spans="1:7" s="3225" customFormat="1">
      <c r="A358" s="3237" t="s">
        <v>3165</v>
      </c>
      <c r="B358" s="3228" t="s">
        <v>3166</v>
      </c>
      <c r="C358" s="3228">
        <v>2080</v>
      </c>
      <c r="D358" s="3228">
        <v>2040</v>
      </c>
      <c r="E358" s="3228">
        <v>2010</v>
      </c>
      <c r="F358" s="3228">
        <v>530</v>
      </c>
      <c r="G358" s="3244">
        <v>1230</v>
      </c>
    </row>
    <row r="359" spans="1:7" s="3225" customFormat="1">
      <c r="A359" s="3232" t="s">
        <v>3165</v>
      </c>
      <c r="B359" s="3232" t="s">
        <v>3167</v>
      </c>
      <c r="C359" s="3232">
        <v>1850</v>
      </c>
      <c r="D359" s="3232">
        <v>1820</v>
      </c>
      <c r="E359" s="3232">
        <v>1780</v>
      </c>
      <c r="F359" s="3232">
        <v>520</v>
      </c>
      <c r="G359" s="3245">
        <v>1100</v>
      </c>
    </row>
    <row r="360" spans="1:7" s="3225" customFormat="1">
      <c r="A360" s="3232" t="s">
        <v>3165</v>
      </c>
      <c r="B360" s="3232" t="s">
        <v>3168</v>
      </c>
      <c r="C360" s="3232">
        <v>2020</v>
      </c>
      <c r="D360" s="3232">
        <v>1990</v>
      </c>
      <c r="E360" s="3232">
        <v>1950</v>
      </c>
      <c r="F360" s="3232">
        <v>500</v>
      </c>
      <c r="G360" s="3245">
        <v>1200</v>
      </c>
    </row>
    <row r="361" spans="1:7" s="3225" customFormat="1">
      <c r="A361" s="3232" t="s">
        <v>3165</v>
      </c>
      <c r="B361" s="3232" t="s">
        <v>153</v>
      </c>
      <c r="C361" s="3232">
        <v>2260</v>
      </c>
      <c r="D361" s="3232">
        <v>2220</v>
      </c>
      <c r="E361" s="3232">
        <v>2180</v>
      </c>
      <c r="F361" s="3232">
        <v>580</v>
      </c>
      <c r="G361" s="3245">
        <v>1340</v>
      </c>
    </row>
    <row r="362" spans="1:7" s="3225" customFormat="1">
      <c r="A362" s="3232" t="s">
        <v>3165</v>
      </c>
      <c r="B362" s="3232" t="s">
        <v>3169</v>
      </c>
      <c r="C362" s="3232">
        <v>2650</v>
      </c>
      <c r="D362" s="3232">
        <v>2610</v>
      </c>
      <c r="E362" s="3232">
        <v>2570</v>
      </c>
      <c r="F362" s="3232">
        <v>630</v>
      </c>
      <c r="G362" s="3245">
        <v>1570</v>
      </c>
    </row>
    <row r="363" spans="1:7" s="3225" customFormat="1">
      <c r="A363" s="3232" t="s">
        <v>3165</v>
      </c>
      <c r="B363" s="3232" t="s">
        <v>2890</v>
      </c>
      <c r="C363" s="3232">
        <v>2390</v>
      </c>
      <c r="D363" s="3232">
        <v>2360</v>
      </c>
      <c r="E363" s="3232">
        <v>2320</v>
      </c>
      <c r="F363" s="3232">
        <v>600</v>
      </c>
      <c r="G363" s="3245">
        <v>1420</v>
      </c>
    </row>
    <row r="364" spans="1:7" s="3225" customFormat="1">
      <c r="A364" s="3232" t="s">
        <v>3165</v>
      </c>
      <c r="B364" s="3232" t="s">
        <v>3170</v>
      </c>
      <c r="C364" s="3232">
        <v>2050</v>
      </c>
      <c r="D364" s="3232">
        <v>2030</v>
      </c>
      <c r="E364" s="3232">
        <v>1990</v>
      </c>
      <c r="F364" s="3232">
        <v>550</v>
      </c>
      <c r="G364" s="3245">
        <v>1220</v>
      </c>
    </row>
    <row r="365" spans="1:7" s="3225" customFormat="1">
      <c r="A365" s="3232" t="s">
        <v>3165</v>
      </c>
      <c r="B365" s="3232" t="s">
        <v>200</v>
      </c>
      <c r="C365" s="3232">
        <v>2140</v>
      </c>
      <c r="D365" s="3232">
        <v>2100</v>
      </c>
      <c r="E365" s="3232">
        <v>2060</v>
      </c>
      <c r="F365" s="3232">
        <v>540</v>
      </c>
      <c r="G365" s="3245">
        <v>1270</v>
      </c>
    </row>
    <row r="366" spans="1:7" s="3225" customFormat="1">
      <c r="A366" s="3232" t="s">
        <v>3165</v>
      </c>
      <c r="B366" s="3232" t="s">
        <v>2897</v>
      </c>
      <c r="C366" s="3232">
        <v>2410</v>
      </c>
      <c r="D366" s="3232">
        <v>2370</v>
      </c>
      <c r="E366" s="3232">
        <v>2330</v>
      </c>
      <c r="F366" s="3232">
        <v>570</v>
      </c>
      <c r="G366" s="3245">
        <v>1440</v>
      </c>
    </row>
    <row r="367" spans="1:7" s="3225" customFormat="1">
      <c r="A367" s="3232" t="s">
        <v>3165</v>
      </c>
      <c r="B367" s="3232" t="s">
        <v>3171</v>
      </c>
      <c r="C367" s="3232">
        <v>2300</v>
      </c>
      <c r="D367" s="3232">
        <v>2260</v>
      </c>
      <c r="E367" s="3232">
        <v>2220</v>
      </c>
      <c r="F367" s="3232">
        <v>560</v>
      </c>
      <c r="G367" s="3245">
        <v>1370</v>
      </c>
    </row>
    <row r="368" spans="1:7" s="3225" customFormat="1">
      <c r="A368" s="3232" t="s">
        <v>3165</v>
      </c>
      <c r="B368" s="3232" t="s">
        <v>3172</v>
      </c>
      <c r="C368" s="3232">
        <v>2430</v>
      </c>
      <c r="D368" s="3232">
        <v>2390</v>
      </c>
      <c r="E368" s="3232">
        <v>2350</v>
      </c>
      <c r="F368" s="3232">
        <v>570</v>
      </c>
      <c r="G368" s="3245">
        <v>1450</v>
      </c>
    </row>
    <row r="369" spans="1:7" s="3225" customFormat="1">
      <c r="A369" s="3232" t="s">
        <v>3165</v>
      </c>
      <c r="B369" s="3232" t="s">
        <v>214</v>
      </c>
      <c r="C369" s="3232">
        <v>2320</v>
      </c>
      <c r="D369" s="3232">
        <v>2290</v>
      </c>
      <c r="E369" s="3232">
        <v>2250</v>
      </c>
      <c r="F369" s="3232">
        <v>550</v>
      </c>
      <c r="G369" s="3245">
        <v>1380</v>
      </c>
    </row>
    <row r="370" spans="1:7" s="3225" customFormat="1">
      <c r="A370" s="3232" t="s">
        <v>3165</v>
      </c>
      <c r="B370" s="3232" t="s">
        <v>221</v>
      </c>
      <c r="C370" s="3232">
        <v>2190</v>
      </c>
      <c r="D370" s="3232">
        <v>2170</v>
      </c>
      <c r="E370" s="3232">
        <v>2130</v>
      </c>
      <c r="F370" s="3232">
        <v>530</v>
      </c>
      <c r="G370" s="3245">
        <v>1310</v>
      </c>
    </row>
    <row r="371" spans="1:7" s="3225" customFormat="1">
      <c r="A371" s="3232" t="s">
        <v>3165</v>
      </c>
      <c r="B371" s="3232" t="s">
        <v>229</v>
      </c>
      <c r="C371" s="3232">
        <v>2460</v>
      </c>
      <c r="D371" s="3232">
        <v>2420</v>
      </c>
      <c r="E371" s="3232">
        <v>2370</v>
      </c>
      <c r="F371" s="3232">
        <v>560</v>
      </c>
      <c r="G371" s="3245">
        <v>1470</v>
      </c>
    </row>
    <row r="372" spans="1:7" s="3225" customFormat="1">
      <c r="A372" s="3232" t="s">
        <v>3165</v>
      </c>
      <c r="B372" s="3232" t="s">
        <v>3173</v>
      </c>
      <c r="C372" s="3232">
        <v>2250</v>
      </c>
      <c r="D372" s="3232">
        <v>2210</v>
      </c>
      <c r="E372" s="3232">
        <v>2180</v>
      </c>
      <c r="F372" s="3232">
        <v>550</v>
      </c>
      <c r="G372" s="3245">
        <v>1340</v>
      </c>
    </row>
    <row r="373" spans="1:7" s="3225" customFormat="1">
      <c r="A373" s="3232" t="s">
        <v>3165</v>
      </c>
      <c r="B373" s="3232" t="s">
        <v>258</v>
      </c>
      <c r="C373" s="3232">
        <v>2210</v>
      </c>
      <c r="D373" s="3232">
        <v>2190</v>
      </c>
      <c r="E373" s="3232">
        <v>2150</v>
      </c>
      <c r="F373" s="3232">
        <v>530</v>
      </c>
      <c r="G373" s="3245">
        <v>1320</v>
      </c>
    </row>
    <row r="374" spans="1:7" s="3225" customFormat="1">
      <c r="A374" s="3232" t="s">
        <v>3165</v>
      </c>
      <c r="B374" s="3232" t="s">
        <v>266</v>
      </c>
      <c r="C374" s="3232">
        <v>2320</v>
      </c>
      <c r="D374" s="3232">
        <v>2280</v>
      </c>
      <c r="E374" s="3232">
        <v>2230</v>
      </c>
      <c r="F374" s="3232">
        <v>580</v>
      </c>
      <c r="G374" s="3245">
        <v>1380</v>
      </c>
    </row>
    <row r="375" spans="1:7" s="3225" customFormat="1">
      <c r="A375" s="3232" t="s">
        <v>3165</v>
      </c>
      <c r="B375" s="3232" t="s">
        <v>3174</v>
      </c>
      <c r="C375" s="3232">
        <v>2090</v>
      </c>
      <c r="D375" s="3232">
        <v>2050</v>
      </c>
      <c r="E375" s="3232">
        <v>2020</v>
      </c>
      <c r="F375" s="3232">
        <v>520</v>
      </c>
      <c r="G375" s="3245">
        <v>1240</v>
      </c>
    </row>
    <row r="376" spans="1:7" s="3225" customFormat="1">
      <c r="A376" s="3232" t="s">
        <v>3165</v>
      </c>
      <c r="B376" s="3232" t="s">
        <v>277</v>
      </c>
      <c r="C376" s="3232">
        <v>2010</v>
      </c>
      <c r="D376" s="3232">
        <v>1980</v>
      </c>
      <c r="E376" s="3232">
        <v>1940</v>
      </c>
      <c r="F376" s="3232">
        <v>540</v>
      </c>
      <c r="G376" s="3245">
        <v>1190</v>
      </c>
    </row>
    <row r="377" spans="1:7" s="3225" customFormat="1" ht="11.4" thickBot="1">
      <c r="A377" s="3240" t="s">
        <v>3165</v>
      </c>
      <c r="B377" s="3243" t="s">
        <v>2927</v>
      </c>
      <c r="C377" s="3243">
        <v>1930</v>
      </c>
      <c r="D377" s="3243">
        <v>1890</v>
      </c>
      <c r="E377" s="3243">
        <v>1860</v>
      </c>
      <c r="F377" s="3243">
        <v>530</v>
      </c>
      <c r="G377" s="3248">
        <v>1150</v>
      </c>
    </row>
    <row r="378" spans="1:7" s="3225" customFormat="1">
      <c r="A378" s="3249" t="s">
        <v>3175</v>
      </c>
      <c r="B378" s="3228" t="s">
        <v>3176</v>
      </c>
      <c r="C378" s="3228">
        <v>1520</v>
      </c>
      <c r="D378" s="3228">
        <v>1490</v>
      </c>
      <c r="E378" s="3228">
        <v>1460</v>
      </c>
      <c r="F378" s="3228">
        <v>460</v>
      </c>
      <c r="G378" s="3244">
        <v>940</v>
      </c>
    </row>
    <row r="379" spans="1:7" s="3225" customFormat="1">
      <c r="A379" s="3250" t="s">
        <v>3175</v>
      </c>
      <c r="B379" s="3232" t="s">
        <v>3177</v>
      </c>
      <c r="C379" s="3232">
        <v>1500</v>
      </c>
      <c r="D379" s="3232">
        <v>1470</v>
      </c>
      <c r="E379" s="3232">
        <v>1430</v>
      </c>
      <c r="F379" s="3232">
        <v>460</v>
      </c>
      <c r="G379" s="3245">
        <v>920</v>
      </c>
    </row>
    <row r="380" spans="1:7" s="3225" customFormat="1">
      <c r="A380" s="3250" t="s">
        <v>3175</v>
      </c>
      <c r="B380" s="3232" t="s">
        <v>3178</v>
      </c>
      <c r="C380" s="3232">
        <v>1620</v>
      </c>
      <c r="D380" s="3232">
        <v>1590</v>
      </c>
      <c r="E380" s="3232">
        <v>1560</v>
      </c>
      <c r="F380" s="3232">
        <v>480</v>
      </c>
      <c r="G380" s="3245">
        <v>1000</v>
      </c>
    </row>
    <row r="381" spans="1:7" s="3225" customFormat="1">
      <c r="A381" s="3250" t="s">
        <v>3175</v>
      </c>
      <c r="B381" s="3232" t="s">
        <v>3179</v>
      </c>
      <c r="C381" s="3232">
        <v>1460</v>
      </c>
      <c r="D381" s="3232">
        <v>1430</v>
      </c>
      <c r="E381" s="3232">
        <v>1390</v>
      </c>
      <c r="F381" s="3232">
        <v>450</v>
      </c>
      <c r="G381" s="3245">
        <v>900</v>
      </c>
    </row>
    <row r="382" spans="1:7" s="3225" customFormat="1">
      <c r="A382" s="3250" t="s">
        <v>3175</v>
      </c>
      <c r="B382" s="3232" t="s">
        <v>3180</v>
      </c>
      <c r="C382" s="3232">
        <v>1310</v>
      </c>
      <c r="D382" s="3232">
        <v>1280</v>
      </c>
      <c r="E382" s="3232">
        <v>1250</v>
      </c>
      <c r="F382" s="3232">
        <v>440</v>
      </c>
      <c r="G382" s="3245">
        <v>800</v>
      </c>
    </row>
    <row r="383" spans="1:7" s="3225" customFormat="1">
      <c r="A383" s="3250" t="s">
        <v>3175</v>
      </c>
      <c r="B383" s="3232" t="s">
        <v>3181</v>
      </c>
      <c r="C383" s="3232">
        <v>1260</v>
      </c>
      <c r="D383" s="3232">
        <v>1230</v>
      </c>
      <c r="E383" s="3232">
        <v>1200</v>
      </c>
      <c r="F383" s="3232">
        <v>420</v>
      </c>
      <c r="G383" s="3245">
        <v>770</v>
      </c>
    </row>
    <row r="384" spans="1:7" s="3225" customFormat="1" ht="11.4" thickBot="1">
      <c r="A384" s="3251" t="s">
        <v>3175</v>
      </c>
      <c r="B384" s="3239" t="s">
        <v>3182</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8" customWidth="1"/>
    <col min="2" max="2" width="20" style="3288" customWidth="1"/>
    <col min="3" max="7" width="8.88671875" style="3252"/>
    <col min="8" max="16384" width="8.88671875" style="3253"/>
  </cols>
  <sheetData>
    <row r="1" spans="1:7">
      <c r="A1" s="3772" t="s">
        <v>3183</v>
      </c>
      <c r="B1" s="3772"/>
    </row>
    <row r="2" spans="1:7" ht="15" thickBot="1">
      <c r="A2" s="3254"/>
      <c r="B2" s="3254"/>
    </row>
    <row r="3" spans="1:7" ht="15" thickBot="1">
      <c r="A3" s="3254"/>
      <c r="B3" s="3254"/>
      <c r="C3" s="3255" t="s">
        <v>2813</v>
      </c>
      <c r="D3" s="3255" t="s">
        <v>2869</v>
      </c>
      <c r="E3" s="3255" t="s">
        <v>2815</v>
      </c>
      <c r="F3" s="3255" t="s">
        <v>2870</v>
      </c>
      <c r="G3" s="3255" t="s">
        <v>2633</v>
      </c>
    </row>
    <row r="4" spans="1:7" ht="15" thickBot="1">
      <c r="A4" s="3256" t="s">
        <v>2868</v>
      </c>
      <c r="B4" s="3257" t="s">
        <v>2874</v>
      </c>
      <c r="C4" s="3255"/>
      <c r="D4" s="3255"/>
      <c r="E4" s="3255"/>
      <c r="F4" s="3255"/>
      <c r="G4" s="3255"/>
    </row>
    <row r="5" spans="1:7">
      <c r="A5" s="3258" t="s">
        <v>2842</v>
      </c>
      <c r="B5" s="3259" t="s">
        <v>2856</v>
      </c>
      <c r="C5" s="3260">
        <v>9.8000000000000004E-2</v>
      </c>
      <c r="D5" s="3260">
        <v>8.6999999999999994E-2</v>
      </c>
      <c r="E5" s="3260">
        <v>8.6999999999999994E-2</v>
      </c>
      <c r="F5" s="3260">
        <v>9.8000000000000004E-2</v>
      </c>
      <c r="G5" s="3261">
        <v>9.5000000000000001E-2</v>
      </c>
    </row>
    <row r="6" spans="1:7">
      <c r="A6" s="3262" t="s">
        <v>144</v>
      </c>
      <c r="B6" s="3263" t="s">
        <v>2871</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5" thickBot="1">
      <c r="A9" s="3266" t="s">
        <v>144</v>
      </c>
      <c r="B9" s="3267" t="s">
        <v>154</v>
      </c>
      <c r="C9" s="3268">
        <v>0.1</v>
      </c>
      <c r="D9" s="3268">
        <v>0.1</v>
      </c>
      <c r="E9" s="3268">
        <v>0.1</v>
      </c>
      <c r="F9" s="3269"/>
      <c r="G9" s="3270">
        <v>0.1</v>
      </c>
    </row>
    <row r="10" spans="1:7">
      <c r="A10" s="3258" t="s">
        <v>184</v>
      </c>
      <c r="B10" s="3259" t="s">
        <v>2857</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2907</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5" thickBot="1">
      <c r="A29" s="3266" t="s">
        <v>184</v>
      </c>
      <c r="B29" s="3267" t="s">
        <v>2925</v>
      </c>
      <c r="C29" s="3272"/>
      <c r="D29" s="3268">
        <v>5.1999999999999998E-2</v>
      </c>
      <c r="E29" s="3268">
        <v>7.0000000000000007E-2</v>
      </c>
      <c r="F29" s="3272"/>
      <c r="G29" s="3270">
        <v>7.0999999999999994E-2</v>
      </c>
    </row>
    <row r="30" spans="1:7">
      <c r="A30" s="3273" t="s">
        <v>296</v>
      </c>
      <c r="B30" s="3259" t="s">
        <v>2858</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2844</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2928</v>
      </c>
      <c r="C50" s="3264">
        <v>9.8000000000000004E-2</v>
      </c>
      <c r="D50" s="3264">
        <v>7.2999999999999995E-2</v>
      </c>
      <c r="E50" s="3264">
        <v>7.0999999999999994E-2</v>
      </c>
      <c r="F50" s="3275"/>
      <c r="G50" s="3265">
        <v>7.2999999999999995E-2</v>
      </c>
    </row>
    <row r="51" spans="1:7">
      <c r="A51" s="3274" t="s">
        <v>296</v>
      </c>
      <c r="B51" s="3263" t="s">
        <v>2930</v>
      </c>
      <c r="C51" s="3264">
        <v>9.9000000000000005E-2</v>
      </c>
      <c r="D51" s="3264">
        <v>8.5000000000000006E-2</v>
      </c>
      <c r="E51" s="3264">
        <v>6.3E-2</v>
      </c>
      <c r="F51" s="3275"/>
      <c r="G51" s="3265">
        <v>9.6000000000000002E-2</v>
      </c>
    </row>
    <row r="52" spans="1:7">
      <c r="A52" s="3274" t="s">
        <v>296</v>
      </c>
      <c r="B52" s="3263" t="s">
        <v>2934</v>
      </c>
      <c r="C52" s="3264">
        <v>7.3999999999999996E-2</v>
      </c>
      <c r="D52" s="3264">
        <v>9.6000000000000002E-2</v>
      </c>
      <c r="E52" s="3264">
        <v>0.05</v>
      </c>
      <c r="F52" s="3275"/>
      <c r="G52" s="3265">
        <v>9.8000000000000004E-2</v>
      </c>
    </row>
    <row r="53" spans="1:7">
      <c r="A53" s="3274" t="s">
        <v>296</v>
      </c>
      <c r="B53" s="3263" t="s">
        <v>2939</v>
      </c>
      <c r="C53" s="3264">
        <v>8.5999999999999993E-2</v>
      </c>
      <c r="D53" s="3275"/>
      <c r="E53" s="3264">
        <v>9.1999999999999998E-2</v>
      </c>
      <c r="F53" s="3275"/>
      <c r="G53" s="3276"/>
    </row>
    <row r="54" spans="1:7" ht="15" thickBot="1">
      <c r="A54" s="3277" t="s">
        <v>296</v>
      </c>
      <c r="B54" s="3267" t="s">
        <v>2942</v>
      </c>
      <c r="C54" s="3268">
        <v>9.6000000000000002E-2</v>
      </c>
      <c r="D54" s="3269"/>
      <c r="E54" s="3278"/>
      <c r="F54" s="3269"/>
      <c r="G54" s="3279"/>
    </row>
    <row r="55" spans="1:7">
      <c r="A55" s="3273" t="s">
        <v>110</v>
      </c>
      <c r="B55" s="3259" t="s">
        <v>2859</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2940</v>
      </c>
      <c r="C78" s="3264">
        <v>0.1</v>
      </c>
      <c r="D78" s="3264">
        <v>8.5000000000000006E-2</v>
      </c>
      <c r="E78" s="3264">
        <v>9.6000000000000002E-2</v>
      </c>
      <c r="F78" s="3275"/>
      <c r="G78" s="3265">
        <v>9.6000000000000002E-2</v>
      </c>
    </row>
    <row r="79" spans="1:7">
      <c r="A79" s="3274" t="s">
        <v>110</v>
      </c>
      <c r="B79" s="3263" t="s">
        <v>2943</v>
      </c>
      <c r="C79" s="3264">
        <v>0.05</v>
      </c>
      <c r="D79" s="3264">
        <v>9.6000000000000002E-2</v>
      </c>
      <c r="E79" s="3264">
        <v>9.5000000000000001E-2</v>
      </c>
      <c r="F79" s="3275"/>
      <c r="G79" s="3265">
        <v>9.8000000000000004E-2</v>
      </c>
    </row>
    <row r="80" spans="1:7">
      <c r="A80" s="3274" t="s">
        <v>110</v>
      </c>
      <c r="B80" s="3263" t="s">
        <v>2947</v>
      </c>
      <c r="C80" s="3264">
        <v>8.5999999999999993E-2</v>
      </c>
      <c r="D80" s="3280"/>
      <c r="E80" s="3264">
        <v>0.1</v>
      </c>
      <c r="F80" s="3275"/>
      <c r="G80" s="3276"/>
    </row>
    <row r="81" spans="1:7">
      <c r="A81" s="3274" t="s">
        <v>110</v>
      </c>
      <c r="B81" s="3263" t="s">
        <v>2952</v>
      </c>
      <c r="C81" s="3264">
        <v>9.6000000000000002E-2</v>
      </c>
      <c r="D81" s="3275"/>
      <c r="E81" s="3264">
        <v>9.8000000000000004E-2</v>
      </c>
      <c r="F81" s="3275"/>
      <c r="G81" s="3276"/>
    </row>
    <row r="82" spans="1:7">
      <c r="A82" s="3274" t="s">
        <v>110</v>
      </c>
      <c r="B82" s="3263" t="s">
        <v>2959</v>
      </c>
      <c r="C82" s="3280"/>
      <c r="D82" s="3275"/>
      <c r="E82" s="3264">
        <v>7.6999999999999999E-2</v>
      </c>
      <c r="F82" s="3275"/>
      <c r="G82" s="3276"/>
    </row>
    <row r="83" spans="1:7">
      <c r="A83" s="3274" t="s">
        <v>110</v>
      </c>
      <c r="B83" s="3263" t="s">
        <v>2965</v>
      </c>
      <c r="C83" s="3275"/>
      <c r="D83" s="3275"/>
      <c r="E83" s="3275"/>
      <c r="F83" s="3264">
        <v>0.1</v>
      </c>
      <c r="G83" s="3281"/>
    </row>
    <row r="84" spans="1:7">
      <c r="A84" s="3274" t="s">
        <v>110</v>
      </c>
      <c r="B84" s="3263" t="s">
        <v>2972</v>
      </c>
      <c r="C84" s="3275"/>
      <c r="D84" s="3275"/>
      <c r="E84" s="3275"/>
      <c r="F84" s="3264">
        <v>0.1</v>
      </c>
      <c r="G84" s="3281"/>
    </row>
    <row r="85" spans="1:7">
      <c r="A85" s="3274" t="s">
        <v>110</v>
      </c>
      <c r="B85" s="3263" t="s">
        <v>2979</v>
      </c>
      <c r="C85" s="3275"/>
      <c r="D85" s="3275"/>
      <c r="E85" s="3275"/>
      <c r="F85" s="3264">
        <v>0.1</v>
      </c>
      <c r="G85" s="3281"/>
    </row>
    <row r="86" spans="1:7" ht="15" thickBot="1">
      <c r="A86" s="3277" t="s">
        <v>110</v>
      </c>
      <c r="B86" s="3267" t="s">
        <v>2984</v>
      </c>
      <c r="C86" s="3268">
        <v>9.8000000000000004E-2</v>
      </c>
      <c r="D86" s="3268">
        <v>9.8000000000000004E-2</v>
      </c>
      <c r="E86" s="3268">
        <v>9.6000000000000002E-2</v>
      </c>
      <c r="F86" s="3278"/>
      <c r="G86" s="3270">
        <v>0.1</v>
      </c>
    </row>
    <row r="87" spans="1:7">
      <c r="A87" s="3273" t="s">
        <v>303</v>
      </c>
      <c r="B87" s="3259" t="s">
        <v>2860</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2953</v>
      </c>
      <c r="C113" s="3264">
        <v>0.1</v>
      </c>
      <c r="D113" s="3264">
        <v>0.1</v>
      </c>
      <c r="E113" s="3275"/>
      <c r="F113" s="3275"/>
      <c r="G113" s="3265">
        <v>0.1</v>
      </c>
    </row>
    <row r="114" spans="1:7">
      <c r="A114" s="3274" t="s">
        <v>303</v>
      </c>
      <c r="B114" s="3263" t="s">
        <v>2960</v>
      </c>
      <c r="C114" s="3264">
        <v>9.7000000000000003E-2</v>
      </c>
      <c r="D114" s="3264">
        <v>9.7000000000000003E-2</v>
      </c>
      <c r="E114" s="3275"/>
      <c r="F114" s="3275"/>
      <c r="G114" s="3265">
        <v>9.9000000000000005E-2</v>
      </c>
    </row>
    <row r="115" spans="1:7">
      <c r="A115" s="3274" t="s">
        <v>303</v>
      </c>
      <c r="B115" s="3263" t="s">
        <v>2966</v>
      </c>
      <c r="C115" s="3264">
        <v>0.1</v>
      </c>
      <c r="D115" s="3264">
        <v>0.1</v>
      </c>
      <c r="E115" s="3275"/>
      <c r="F115" s="3275"/>
      <c r="G115" s="3265">
        <v>0.1</v>
      </c>
    </row>
    <row r="116" spans="1:7">
      <c r="A116" s="3274" t="s">
        <v>303</v>
      </c>
      <c r="B116" s="3263" t="s">
        <v>2973</v>
      </c>
      <c r="C116" s="3264">
        <v>0.1</v>
      </c>
      <c r="D116" s="3264">
        <v>0.1</v>
      </c>
      <c r="E116" s="3275"/>
      <c r="F116" s="3275"/>
      <c r="G116" s="3265">
        <v>0.1</v>
      </c>
    </row>
    <row r="117" spans="1:7">
      <c r="A117" s="3274" t="s">
        <v>303</v>
      </c>
      <c r="B117" s="3263" t="s">
        <v>2980</v>
      </c>
      <c r="C117" s="3264">
        <v>9.7000000000000003E-2</v>
      </c>
      <c r="D117" s="3264">
        <v>9.7000000000000003E-2</v>
      </c>
      <c r="E117" s="3275"/>
      <c r="F117" s="3275"/>
      <c r="G117" s="3265">
        <v>9.7000000000000003E-2</v>
      </c>
    </row>
    <row r="118" spans="1:7">
      <c r="A118" s="3274" t="s">
        <v>303</v>
      </c>
      <c r="B118" s="3263" t="s">
        <v>2985</v>
      </c>
      <c r="C118" s="3264">
        <v>0.1</v>
      </c>
      <c r="D118" s="3264">
        <v>0.1</v>
      </c>
      <c r="E118" s="3275"/>
      <c r="F118" s="3275"/>
      <c r="G118" s="3265">
        <v>0.1</v>
      </c>
    </row>
    <row r="119" spans="1:7">
      <c r="A119" s="3274" t="s">
        <v>303</v>
      </c>
      <c r="B119" s="3263" t="s">
        <v>2989</v>
      </c>
      <c r="C119" s="3264">
        <v>5.0999999999999997E-2</v>
      </c>
      <c r="D119" s="3264">
        <v>5.1999999999999998E-2</v>
      </c>
      <c r="E119" s="3275"/>
      <c r="F119" s="3280"/>
      <c r="G119" s="3265">
        <v>0.06</v>
      </c>
    </row>
    <row r="120" spans="1:7">
      <c r="A120" s="3274" t="s">
        <v>303</v>
      </c>
      <c r="B120" s="3263" t="s">
        <v>2993</v>
      </c>
      <c r="C120" s="3275"/>
      <c r="D120" s="3275"/>
      <c r="E120" s="3275"/>
      <c r="F120" s="3264">
        <v>0.1</v>
      </c>
      <c r="G120" s="3281"/>
    </row>
    <row r="121" spans="1:7">
      <c r="A121" s="3274" t="s">
        <v>303</v>
      </c>
      <c r="B121" s="3263" t="s">
        <v>2998</v>
      </c>
      <c r="C121" s="3275"/>
      <c r="D121" s="3275"/>
      <c r="E121" s="3275"/>
      <c r="F121" s="3264">
        <v>0.1</v>
      </c>
      <c r="G121" s="3281"/>
    </row>
    <row r="122" spans="1:7">
      <c r="A122" s="3274" t="s">
        <v>303</v>
      </c>
      <c r="B122" s="3263" t="s">
        <v>3003</v>
      </c>
      <c r="C122" s="3264">
        <v>0.1</v>
      </c>
      <c r="D122" s="3264">
        <v>0.1</v>
      </c>
      <c r="E122" s="3264">
        <v>9.8000000000000004E-2</v>
      </c>
      <c r="F122" s="3264">
        <v>0.1</v>
      </c>
      <c r="G122" s="3265">
        <v>0.1</v>
      </c>
    </row>
    <row r="123" spans="1:7">
      <c r="A123" s="3274" t="s">
        <v>303</v>
      </c>
      <c r="B123" s="3263" t="s">
        <v>3008</v>
      </c>
      <c r="C123" s="3264">
        <v>0.1</v>
      </c>
      <c r="D123" s="3264">
        <v>0.1</v>
      </c>
      <c r="E123" s="3264">
        <v>9.8000000000000004E-2</v>
      </c>
      <c r="F123" s="3264">
        <v>0.1</v>
      </c>
      <c r="G123" s="3265">
        <v>0.1</v>
      </c>
    </row>
    <row r="124" spans="1:7">
      <c r="A124" s="3274" t="s">
        <v>303</v>
      </c>
      <c r="B124" s="3263" t="s">
        <v>3013</v>
      </c>
      <c r="C124" s="3264">
        <v>0.1</v>
      </c>
      <c r="D124" s="3264">
        <v>0.1</v>
      </c>
      <c r="E124" s="3264">
        <v>9.8000000000000004E-2</v>
      </c>
      <c r="F124" s="3280"/>
      <c r="G124" s="3265">
        <v>0.1</v>
      </c>
    </row>
    <row r="125" spans="1:7">
      <c r="A125" s="3274" t="s">
        <v>303</v>
      </c>
      <c r="B125" s="3263" t="s">
        <v>3018</v>
      </c>
      <c r="C125" s="3264">
        <v>9.8000000000000004E-2</v>
      </c>
      <c r="D125" s="3264">
        <v>9.8000000000000004E-2</v>
      </c>
      <c r="E125" s="3264">
        <v>9.6000000000000002E-2</v>
      </c>
      <c r="F125" s="3280"/>
      <c r="G125" s="3265">
        <v>0.1</v>
      </c>
    </row>
    <row r="126" spans="1:7" ht="15" thickBot="1">
      <c r="A126" s="3277" t="s">
        <v>303</v>
      </c>
      <c r="B126" s="3267" t="s">
        <v>3184</v>
      </c>
      <c r="C126" s="3268">
        <v>0.1</v>
      </c>
      <c r="D126" s="3268">
        <v>0.1</v>
      </c>
      <c r="E126" s="3268">
        <v>9.8000000000000004E-2</v>
      </c>
      <c r="F126" s="3268">
        <v>0.1</v>
      </c>
      <c r="G126" s="3270">
        <v>0.1</v>
      </c>
    </row>
    <row r="127" spans="1:7">
      <c r="A127" s="3273" t="s">
        <v>29</v>
      </c>
      <c r="B127" s="3259" t="s">
        <v>2861</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2931</v>
      </c>
      <c r="C148" s="3264">
        <v>0.13</v>
      </c>
      <c r="D148" s="3264">
        <v>0.13</v>
      </c>
      <c r="E148" s="3264">
        <v>0.13</v>
      </c>
      <c r="F148" s="3275"/>
      <c r="G148" s="3265">
        <v>0.13</v>
      </c>
    </row>
    <row r="149" spans="1:7">
      <c r="A149" s="3274" t="s">
        <v>29</v>
      </c>
      <c r="B149" s="3263" t="s">
        <v>2935</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2954</v>
      </c>
      <c r="C153" s="3264">
        <v>0.13</v>
      </c>
      <c r="D153" s="3264">
        <v>0.13</v>
      </c>
      <c r="E153" s="3264">
        <v>0.13</v>
      </c>
      <c r="F153" s="3264">
        <v>0.13</v>
      </c>
      <c r="G153" s="3265">
        <v>0.13</v>
      </c>
    </row>
    <row r="154" spans="1:7">
      <c r="A154" s="3274" t="s">
        <v>29</v>
      </c>
      <c r="B154" s="3263" t="s">
        <v>2961</v>
      </c>
      <c r="C154" s="3264">
        <v>0.121</v>
      </c>
      <c r="D154" s="3264">
        <v>0.121</v>
      </c>
      <c r="E154" s="3264">
        <v>0.105</v>
      </c>
      <c r="F154" s="3264">
        <v>0.121</v>
      </c>
      <c r="G154" s="3265">
        <v>0.123</v>
      </c>
    </row>
    <row r="155" spans="1:7">
      <c r="A155" s="3274" t="s">
        <v>29</v>
      </c>
      <c r="B155" s="3263" t="s">
        <v>2967</v>
      </c>
      <c r="C155" s="3264">
        <v>0.1</v>
      </c>
      <c r="D155" s="3264">
        <v>0.1</v>
      </c>
      <c r="E155" s="3264">
        <v>0.1</v>
      </c>
      <c r="F155" s="3264">
        <v>0.1</v>
      </c>
      <c r="G155" s="3265">
        <v>0.1</v>
      </c>
    </row>
    <row r="156" spans="1:7">
      <c r="A156" s="3274" t="s">
        <v>29</v>
      </c>
      <c r="B156" s="3263" t="s">
        <v>2974</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2994</v>
      </c>
      <c r="C160" s="3264">
        <v>0.13</v>
      </c>
      <c r="D160" s="3264">
        <v>0.13</v>
      </c>
      <c r="E160" s="3264">
        <v>0.124</v>
      </c>
      <c r="F160" s="3264">
        <v>0.126</v>
      </c>
      <c r="G160" s="3265">
        <v>0.13</v>
      </c>
    </row>
    <row r="161" spans="1:7">
      <c r="A161" s="3274" t="s">
        <v>29</v>
      </c>
      <c r="B161" s="3263" t="s">
        <v>2999</v>
      </c>
      <c r="C161" s="3264">
        <v>0.13</v>
      </c>
      <c r="D161" s="3264">
        <v>0.13</v>
      </c>
      <c r="E161" s="3264">
        <v>0.124</v>
      </c>
      <c r="F161" s="3264">
        <v>0.127</v>
      </c>
      <c r="G161" s="3265">
        <v>0.13</v>
      </c>
    </row>
    <row r="162" spans="1:7">
      <c r="A162" s="3274" t="s">
        <v>29</v>
      </c>
      <c r="B162" s="3263" t="s">
        <v>3004</v>
      </c>
      <c r="C162" s="3264">
        <v>0.1</v>
      </c>
      <c r="D162" s="3264">
        <v>0.1</v>
      </c>
      <c r="E162" s="3264">
        <v>0.1</v>
      </c>
      <c r="F162" s="3264">
        <v>0.121</v>
      </c>
      <c r="G162" s="3265">
        <v>0.105</v>
      </c>
    </row>
    <row r="163" spans="1:7">
      <c r="A163" s="3274" t="s">
        <v>29</v>
      </c>
      <c r="B163" s="3263" t="s">
        <v>3009</v>
      </c>
      <c r="C163" s="3264">
        <v>0.1</v>
      </c>
      <c r="D163" s="3264">
        <v>0.1</v>
      </c>
      <c r="E163" s="3264">
        <v>0.1</v>
      </c>
      <c r="F163" s="3264">
        <v>0.1</v>
      </c>
      <c r="G163" s="3265">
        <v>0.1</v>
      </c>
    </row>
    <row r="164" spans="1:7">
      <c r="A164" s="3274" t="s">
        <v>29</v>
      </c>
      <c r="B164" s="3263" t="s">
        <v>3014</v>
      </c>
      <c r="C164" s="3280"/>
      <c r="D164" s="3280"/>
      <c r="E164" s="3280"/>
      <c r="F164" s="3264">
        <v>0.1</v>
      </c>
      <c r="G164" s="3276"/>
    </row>
    <row r="165" spans="1:7">
      <c r="A165" s="3274" t="s">
        <v>29</v>
      </c>
      <c r="B165" s="3263" t="s">
        <v>3185</v>
      </c>
      <c r="C165" s="3264">
        <v>0.126</v>
      </c>
      <c r="D165" s="3264">
        <v>0.126</v>
      </c>
      <c r="E165" s="3264">
        <v>0.11899999999999999</v>
      </c>
      <c r="F165" s="3264">
        <v>0.13</v>
      </c>
      <c r="G165" s="3265">
        <v>0.128</v>
      </c>
    </row>
    <row r="166" spans="1:7">
      <c r="A166" s="3274" t="s">
        <v>29</v>
      </c>
      <c r="B166" s="3263" t="s">
        <v>3024</v>
      </c>
      <c r="C166" s="3264">
        <v>0.129</v>
      </c>
      <c r="D166" s="3264">
        <v>0.129</v>
      </c>
      <c r="E166" s="3264">
        <v>0.123</v>
      </c>
      <c r="F166" s="3264">
        <v>0.128</v>
      </c>
      <c r="G166" s="3265">
        <v>0.13</v>
      </c>
    </row>
    <row r="167" spans="1:7">
      <c r="A167" s="3274" t="s">
        <v>29</v>
      </c>
      <c r="B167" s="3263" t="s">
        <v>3028</v>
      </c>
      <c r="C167" s="3264">
        <v>0.125</v>
      </c>
      <c r="D167" s="3264">
        <v>0.125</v>
      </c>
      <c r="E167" s="3264">
        <v>0.11700000000000001</v>
      </c>
      <c r="F167" s="3264">
        <v>0.13</v>
      </c>
      <c r="G167" s="3265">
        <v>0.126</v>
      </c>
    </row>
    <row r="168" spans="1:7">
      <c r="A168" s="3274" t="s">
        <v>29</v>
      </c>
      <c r="B168" s="3263" t="s">
        <v>3033</v>
      </c>
      <c r="C168" s="3264">
        <v>0.128</v>
      </c>
      <c r="D168" s="3264">
        <v>0.128</v>
      </c>
      <c r="E168" s="3264">
        <v>0.123</v>
      </c>
      <c r="F168" s="3275"/>
      <c r="G168" s="3265">
        <v>0.13</v>
      </c>
    </row>
    <row r="169" spans="1:7">
      <c r="A169" s="3274" t="s">
        <v>29</v>
      </c>
      <c r="B169" s="3263" t="s">
        <v>3186</v>
      </c>
      <c r="C169" s="3280"/>
      <c r="D169" s="3280"/>
      <c r="E169" s="3280"/>
      <c r="F169" s="3264">
        <v>0.05</v>
      </c>
      <c r="G169" s="3276"/>
    </row>
    <row r="170" spans="1:7">
      <c r="A170" s="3274" t="s">
        <v>29</v>
      </c>
      <c r="B170" s="3263" t="s">
        <v>3187</v>
      </c>
      <c r="C170" s="3280"/>
      <c r="D170" s="3280"/>
      <c r="E170" s="3280"/>
      <c r="F170" s="3264">
        <v>0.05</v>
      </c>
      <c r="G170" s="3276"/>
    </row>
    <row r="171" spans="1:7">
      <c r="A171" s="3274" t="s">
        <v>29</v>
      </c>
      <c r="B171" s="3263" t="s">
        <v>3188</v>
      </c>
      <c r="C171" s="3280"/>
      <c r="D171" s="3280"/>
      <c r="E171" s="3280"/>
      <c r="F171" s="3264">
        <v>0.05</v>
      </c>
      <c r="G171" s="3281"/>
    </row>
    <row r="172" spans="1:7">
      <c r="A172" s="3274" t="s">
        <v>29</v>
      </c>
      <c r="B172" s="3263" t="s">
        <v>3189</v>
      </c>
      <c r="C172" s="3280"/>
      <c r="D172" s="3280"/>
      <c r="E172" s="3280"/>
      <c r="F172" s="3264">
        <v>0.05</v>
      </c>
      <c r="G172" s="3281"/>
    </row>
    <row r="173" spans="1:7">
      <c r="A173" s="3274" t="s">
        <v>29</v>
      </c>
      <c r="B173" s="3263" t="s">
        <v>3190</v>
      </c>
      <c r="C173" s="3280"/>
      <c r="D173" s="3280"/>
      <c r="E173" s="3280"/>
      <c r="F173" s="3264">
        <v>0.05</v>
      </c>
      <c r="G173" s="3276"/>
    </row>
    <row r="174" spans="1:7">
      <c r="A174" s="3274" t="s">
        <v>29</v>
      </c>
      <c r="B174" s="3263" t="s">
        <v>3191</v>
      </c>
      <c r="C174" s="3280"/>
      <c r="D174" s="3280"/>
      <c r="E174" s="3280"/>
      <c r="F174" s="3264">
        <v>0.05</v>
      </c>
      <c r="G174" s="3276"/>
    </row>
    <row r="175" spans="1:7">
      <c r="A175" s="3274" t="s">
        <v>29</v>
      </c>
      <c r="B175" s="3263" t="s">
        <v>3192</v>
      </c>
      <c r="C175" s="3280"/>
      <c r="D175" s="3280"/>
      <c r="E175" s="3280"/>
      <c r="F175" s="3264">
        <v>0.05</v>
      </c>
      <c r="G175" s="3276"/>
    </row>
    <row r="176" spans="1:7">
      <c r="A176" s="3274" t="s">
        <v>29</v>
      </c>
      <c r="B176" s="3263" t="s">
        <v>3193</v>
      </c>
      <c r="C176" s="3280"/>
      <c r="D176" s="3280"/>
      <c r="E176" s="3280"/>
      <c r="F176" s="3264">
        <v>0.05</v>
      </c>
      <c r="G176" s="3276"/>
    </row>
    <row r="177" spans="1:7">
      <c r="A177" s="3274" t="s">
        <v>29</v>
      </c>
      <c r="B177" s="3263" t="s">
        <v>3194</v>
      </c>
      <c r="C177" s="3275"/>
      <c r="D177" s="3275"/>
      <c r="E177" s="3275"/>
      <c r="F177" s="3264">
        <v>0.05</v>
      </c>
      <c r="G177" s="3281"/>
    </row>
    <row r="178" spans="1:7">
      <c r="A178" s="3274" t="s">
        <v>29</v>
      </c>
      <c r="B178" s="3263" t="s">
        <v>3195</v>
      </c>
      <c r="C178" s="3275"/>
      <c r="D178" s="3275"/>
      <c r="E178" s="3275"/>
      <c r="F178" s="3264">
        <v>0.05</v>
      </c>
      <c r="G178" s="3281"/>
    </row>
    <row r="179" spans="1:7">
      <c r="A179" s="3274" t="s">
        <v>29</v>
      </c>
      <c r="B179" s="3263" t="s">
        <v>3196</v>
      </c>
      <c r="C179" s="3275"/>
      <c r="D179" s="3275"/>
      <c r="E179" s="3275"/>
      <c r="F179" s="3264">
        <v>0.05</v>
      </c>
      <c r="G179" s="3281"/>
    </row>
    <row r="180" spans="1:7">
      <c r="A180" s="3274" t="s">
        <v>29</v>
      </c>
      <c r="B180" s="3263" t="s">
        <v>3197</v>
      </c>
      <c r="C180" s="3275"/>
      <c r="D180" s="3275"/>
      <c r="E180" s="3275"/>
      <c r="F180" s="3264">
        <v>0.05</v>
      </c>
      <c r="G180" s="3281"/>
    </row>
    <row r="181" spans="1:7">
      <c r="A181" s="3274" t="s">
        <v>29</v>
      </c>
      <c r="B181" s="3263" t="s">
        <v>3198</v>
      </c>
      <c r="C181" s="3275"/>
      <c r="D181" s="3275"/>
      <c r="E181" s="3275"/>
      <c r="F181" s="3264">
        <v>0.05</v>
      </c>
      <c r="G181" s="3281"/>
    </row>
    <row r="182" spans="1:7">
      <c r="A182" s="3274" t="s">
        <v>29</v>
      </c>
      <c r="B182" s="3263" t="s">
        <v>3199</v>
      </c>
      <c r="C182" s="3275"/>
      <c r="D182" s="3275"/>
      <c r="E182" s="3275"/>
      <c r="F182" s="3264">
        <v>0.05</v>
      </c>
      <c r="G182" s="3281"/>
    </row>
    <row r="183" spans="1:7">
      <c r="A183" s="3274" t="s">
        <v>29</v>
      </c>
      <c r="B183" s="3263" t="s">
        <v>3200</v>
      </c>
      <c r="C183" s="3275"/>
      <c r="D183" s="3275"/>
      <c r="E183" s="3275"/>
      <c r="F183" s="3264">
        <v>0.05</v>
      </c>
      <c r="G183" s="3281"/>
    </row>
    <row r="184" spans="1:7">
      <c r="A184" s="3274" t="s">
        <v>29</v>
      </c>
      <c r="B184" s="3263" t="s">
        <v>3201</v>
      </c>
      <c r="C184" s="3275"/>
      <c r="D184" s="3275"/>
      <c r="E184" s="3275"/>
      <c r="F184" s="3264">
        <v>0.05</v>
      </c>
      <c r="G184" s="3281"/>
    </row>
    <row r="185" spans="1:7">
      <c r="A185" s="3274" t="s">
        <v>29</v>
      </c>
      <c r="B185" s="3263" t="s">
        <v>3202</v>
      </c>
      <c r="C185" s="3275"/>
      <c r="D185" s="3275"/>
      <c r="E185" s="3275"/>
      <c r="F185" s="3264">
        <v>0.05</v>
      </c>
      <c r="G185" s="3281"/>
    </row>
    <row r="186" spans="1:7">
      <c r="A186" s="3274" t="s">
        <v>29</v>
      </c>
      <c r="B186" s="3263" t="s">
        <v>3203</v>
      </c>
      <c r="C186" s="3275"/>
      <c r="D186" s="3275"/>
      <c r="E186" s="3275"/>
      <c r="F186" s="3264">
        <v>0.05</v>
      </c>
      <c r="G186" s="3281"/>
    </row>
    <row r="187" spans="1:7">
      <c r="A187" s="3274" t="s">
        <v>29</v>
      </c>
      <c r="B187" s="3263" t="s">
        <v>3204</v>
      </c>
      <c r="C187" s="3275"/>
      <c r="D187" s="3275"/>
      <c r="E187" s="3275"/>
      <c r="F187" s="3264">
        <v>0.05</v>
      </c>
      <c r="G187" s="3281"/>
    </row>
    <row r="188" spans="1:7">
      <c r="A188" s="3274" t="s">
        <v>29</v>
      </c>
      <c r="B188" s="3263" t="s">
        <v>3205</v>
      </c>
      <c r="C188" s="3275"/>
      <c r="D188" s="3275"/>
      <c r="E188" s="3275"/>
      <c r="F188" s="3264">
        <v>0.05</v>
      </c>
      <c r="G188" s="3281"/>
    </row>
    <row r="189" spans="1:7" ht="15" thickBot="1">
      <c r="A189" s="3277" t="s">
        <v>29</v>
      </c>
      <c r="B189" s="3267" t="s">
        <v>3206</v>
      </c>
      <c r="C189" s="3269"/>
      <c r="D189" s="3269"/>
      <c r="E189" s="3269"/>
      <c r="F189" s="3268">
        <v>0.05</v>
      </c>
      <c r="G189" s="3282"/>
    </row>
    <row r="190" spans="1:7">
      <c r="A190" s="3273" t="s">
        <v>304</v>
      </c>
      <c r="B190" s="3259" t="s">
        <v>2862</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2898</v>
      </c>
      <c r="C199" s="3264">
        <v>0.13</v>
      </c>
      <c r="D199" s="3264">
        <v>0.13</v>
      </c>
      <c r="E199" s="3264">
        <v>0.13</v>
      </c>
      <c r="F199" s="3264">
        <v>0.13</v>
      </c>
      <c r="G199" s="3265">
        <v>0.13</v>
      </c>
    </row>
    <row r="200" spans="1:7">
      <c r="A200" s="3274" t="s">
        <v>304</v>
      </c>
      <c r="B200" s="3263" t="s">
        <v>2901</v>
      </c>
      <c r="C200" s="3280"/>
      <c r="D200" s="3280"/>
      <c r="E200" s="3280"/>
      <c r="F200" s="3264">
        <v>0.13</v>
      </c>
      <c r="G200" s="3276"/>
    </row>
    <row r="201" spans="1:7">
      <c r="A201" s="3274" t="s">
        <v>304</v>
      </c>
      <c r="B201" s="3263" t="s">
        <v>2906</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2909</v>
      </c>
      <c r="C203" s="3264">
        <v>0.129</v>
      </c>
      <c r="D203" s="3264">
        <v>0.129</v>
      </c>
      <c r="E203" s="3264">
        <v>0.13</v>
      </c>
      <c r="F203" s="3264">
        <v>0.13</v>
      </c>
      <c r="G203" s="3265">
        <v>0.13</v>
      </c>
    </row>
    <row r="204" spans="1:7">
      <c r="A204" s="3274" t="s">
        <v>304</v>
      </c>
      <c r="B204" s="3263" t="s">
        <v>2912</v>
      </c>
      <c r="C204" s="3264">
        <v>0.129</v>
      </c>
      <c r="D204" s="3264">
        <v>0.129</v>
      </c>
      <c r="E204" s="3264">
        <v>0.123</v>
      </c>
      <c r="F204" s="3264">
        <v>0.13</v>
      </c>
      <c r="G204" s="3265">
        <v>0.13</v>
      </c>
    </row>
    <row r="205" spans="1:7">
      <c r="A205" s="3274" t="s">
        <v>304</v>
      </c>
      <c r="B205" s="3263" t="s">
        <v>2914</v>
      </c>
      <c r="C205" s="3264">
        <v>0.13</v>
      </c>
      <c r="D205" s="3264">
        <v>0.13</v>
      </c>
      <c r="E205" s="3264">
        <v>0.13</v>
      </c>
      <c r="F205" s="3264">
        <v>0.13</v>
      </c>
      <c r="G205" s="3265">
        <v>0.13</v>
      </c>
    </row>
    <row r="206" spans="1:7">
      <c r="A206" s="3274" t="s">
        <v>304</v>
      </c>
      <c r="B206" s="3263" t="s">
        <v>2917</v>
      </c>
      <c r="C206" s="3264">
        <v>0.13</v>
      </c>
      <c r="D206" s="3264">
        <v>0.13</v>
      </c>
      <c r="E206" s="3264">
        <v>0.13</v>
      </c>
      <c r="F206" s="3264">
        <v>0.128</v>
      </c>
      <c r="G206" s="3265">
        <v>0.13</v>
      </c>
    </row>
    <row r="207" spans="1:7">
      <c r="A207" s="3274" t="s">
        <v>304</v>
      </c>
      <c r="B207" s="3263" t="s">
        <v>2919</v>
      </c>
      <c r="C207" s="3264">
        <v>0.13</v>
      </c>
      <c r="D207" s="3264">
        <v>0.13</v>
      </c>
      <c r="E207" s="3264">
        <v>0.13</v>
      </c>
      <c r="F207" s="3264">
        <v>0.13</v>
      </c>
      <c r="G207" s="3265">
        <v>0.13</v>
      </c>
    </row>
    <row r="208" spans="1:7">
      <c r="A208" s="3274" t="s">
        <v>304</v>
      </c>
      <c r="B208" s="3263" t="s">
        <v>2922</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2929</v>
      </c>
      <c r="C210" s="3264">
        <v>0.121</v>
      </c>
      <c r="D210" s="3264">
        <v>0.121</v>
      </c>
      <c r="E210" s="3264">
        <v>0.125</v>
      </c>
      <c r="F210" s="3264">
        <v>0.13</v>
      </c>
      <c r="G210" s="3265">
        <v>0.123</v>
      </c>
    </row>
    <row r="211" spans="1:7">
      <c r="A211" s="3274" t="s">
        <v>304</v>
      </c>
      <c r="B211" s="3263" t="s">
        <v>2932</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2944</v>
      </c>
      <c r="C214" s="3264">
        <v>0.128</v>
      </c>
      <c r="D214" s="3264">
        <v>0.128</v>
      </c>
      <c r="E214" s="3264">
        <v>0.13</v>
      </c>
      <c r="F214" s="3264">
        <v>0.13</v>
      </c>
      <c r="G214" s="3265">
        <v>0.13</v>
      </c>
    </row>
    <row r="215" spans="1:7">
      <c r="A215" s="3274" t="s">
        <v>304</v>
      </c>
      <c r="B215" s="3263" t="s">
        <v>2948</v>
      </c>
      <c r="C215" s="3264">
        <v>0.13</v>
      </c>
      <c r="D215" s="3264">
        <v>0.13</v>
      </c>
      <c r="E215" s="3264">
        <v>0.13</v>
      </c>
      <c r="F215" s="3264">
        <v>0.129</v>
      </c>
      <c r="G215" s="3265">
        <v>0.13</v>
      </c>
    </row>
    <row r="216" spans="1:7">
      <c r="A216" s="3274" t="s">
        <v>304</v>
      </c>
      <c r="B216" s="3263" t="s">
        <v>2955</v>
      </c>
      <c r="C216" s="3264">
        <v>0.13</v>
      </c>
      <c r="D216" s="3264">
        <v>0.13</v>
      </c>
      <c r="E216" s="3264">
        <v>0.13</v>
      </c>
      <c r="F216" s="3264">
        <v>0.13</v>
      </c>
      <c r="G216" s="3265">
        <v>0.13</v>
      </c>
    </row>
    <row r="217" spans="1:7">
      <c r="A217" s="3274" t="s">
        <v>304</v>
      </c>
      <c r="B217" s="3263" t="s">
        <v>2962</v>
      </c>
      <c r="C217" s="3264">
        <v>0.129</v>
      </c>
      <c r="D217" s="3264">
        <v>0.129</v>
      </c>
      <c r="E217" s="3264">
        <v>0.13</v>
      </c>
      <c r="F217" s="3264">
        <v>0.13</v>
      </c>
      <c r="G217" s="3265">
        <v>0.13</v>
      </c>
    </row>
    <row r="218" spans="1:7">
      <c r="A218" s="3274" t="s">
        <v>304</v>
      </c>
      <c r="B218" s="3263" t="s">
        <v>2968</v>
      </c>
      <c r="C218" s="3275"/>
      <c r="D218" s="3275"/>
      <c r="E218" s="3275"/>
      <c r="F218" s="3264">
        <v>0.05</v>
      </c>
      <c r="G218" s="3281"/>
    </row>
    <row r="219" spans="1:7">
      <c r="A219" s="3274" t="s">
        <v>304</v>
      </c>
      <c r="B219" s="3263" t="s">
        <v>2975</v>
      </c>
      <c r="C219" s="3275"/>
      <c r="D219" s="3275"/>
      <c r="E219" s="3275"/>
      <c r="F219" s="3264">
        <v>0.05</v>
      </c>
      <c r="G219" s="3281"/>
    </row>
    <row r="220" spans="1:7">
      <c r="A220" s="3274" t="s">
        <v>304</v>
      </c>
      <c r="B220" s="3263" t="s">
        <v>2981</v>
      </c>
      <c r="C220" s="3275"/>
      <c r="D220" s="3275"/>
      <c r="E220" s="3275"/>
      <c r="F220" s="3264">
        <v>0.05</v>
      </c>
      <c r="G220" s="3281"/>
    </row>
    <row r="221" spans="1:7">
      <c r="A221" s="3274" t="s">
        <v>304</v>
      </c>
      <c r="B221" s="3263" t="s">
        <v>2986</v>
      </c>
      <c r="C221" s="3275"/>
      <c r="D221" s="3275"/>
      <c r="E221" s="3275"/>
      <c r="F221" s="3264">
        <v>0.05</v>
      </c>
      <c r="G221" s="3281"/>
    </row>
    <row r="222" spans="1:7">
      <c r="A222" s="3274" t="s">
        <v>304</v>
      </c>
      <c r="B222" s="3263" t="s">
        <v>2990</v>
      </c>
      <c r="C222" s="3275"/>
      <c r="D222" s="3275"/>
      <c r="E222" s="3275"/>
      <c r="F222" s="3264">
        <v>0.05</v>
      </c>
      <c r="G222" s="3281"/>
    </row>
    <row r="223" spans="1:7">
      <c r="A223" s="3274" t="s">
        <v>304</v>
      </c>
      <c r="B223" s="3263" t="s">
        <v>2995</v>
      </c>
      <c r="C223" s="3275"/>
      <c r="D223" s="3275"/>
      <c r="E223" s="3275"/>
      <c r="F223" s="3264">
        <v>0.05</v>
      </c>
      <c r="G223" s="3281"/>
    </row>
    <row r="224" spans="1:7">
      <c r="A224" s="3274" t="s">
        <v>304</v>
      </c>
      <c r="B224" s="3263" t="s">
        <v>3000</v>
      </c>
      <c r="C224" s="3275"/>
      <c r="D224" s="3275"/>
      <c r="E224" s="3275"/>
      <c r="F224" s="3264">
        <v>0.05</v>
      </c>
      <c r="G224" s="3281"/>
    </row>
    <row r="225" spans="1:7">
      <c r="A225" s="3274" t="s">
        <v>304</v>
      </c>
      <c r="B225" s="3263" t="s">
        <v>3005</v>
      </c>
      <c r="C225" s="3275"/>
      <c r="D225" s="3275"/>
      <c r="E225" s="3275"/>
      <c r="F225" s="3264">
        <v>0.05</v>
      </c>
      <c r="G225" s="3281"/>
    </row>
    <row r="226" spans="1:7">
      <c r="A226" s="3274" t="s">
        <v>304</v>
      </c>
      <c r="B226" s="3263" t="s">
        <v>3207</v>
      </c>
      <c r="C226" s="3275"/>
      <c r="D226" s="3275"/>
      <c r="E226" s="3275"/>
      <c r="F226" s="3264">
        <v>0.05</v>
      </c>
      <c r="G226" s="3281"/>
    </row>
    <row r="227" spans="1:7">
      <c r="A227" s="3274" t="s">
        <v>304</v>
      </c>
      <c r="B227" s="3263" t="s">
        <v>3208</v>
      </c>
      <c r="C227" s="3275"/>
      <c r="D227" s="3275"/>
      <c r="E227" s="3275"/>
      <c r="F227" s="3264">
        <v>0.05</v>
      </c>
      <c r="G227" s="3281"/>
    </row>
    <row r="228" spans="1:7">
      <c r="A228" s="3274" t="s">
        <v>304</v>
      </c>
      <c r="B228" s="3263" t="s">
        <v>3209</v>
      </c>
      <c r="C228" s="3275"/>
      <c r="D228" s="3275"/>
      <c r="E228" s="3275"/>
      <c r="F228" s="3264">
        <v>0.05</v>
      </c>
      <c r="G228" s="3281"/>
    </row>
    <row r="229" spans="1:7">
      <c r="A229" s="3274" t="s">
        <v>304</v>
      </c>
      <c r="B229" s="3263" t="s">
        <v>3210</v>
      </c>
      <c r="C229" s="3275"/>
      <c r="D229" s="3275"/>
      <c r="E229" s="3275"/>
      <c r="F229" s="3264">
        <v>0.05</v>
      </c>
      <c r="G229" s="3281"/>
    </row>
    <row r="230" spans="1:7">
      <c r="A230" s="3274" t="s">
        <v>304</v>
      </c>
      <c r="B230" s="3263" t="s">
        <v>3211</v>
      </c>
      <c r="C230" s="3275"/>
      <c r="D230" s="3275"/>
      <c r="E230" s="3275"/>
      <c r="F230" s="3264">
        <v>0.05</v>
      </c>
      <c r="G230" s="3281"/>
    </row>
    <row r="231" spans="1:7">
      <c r="A231" s="3274" t="s">
        <v>304</v>
      </c>
      <c r="B231" s="3263" t="s">
        <v>3212</v>
      </c>
      <c r="C231" s="3275"/>
      <c r="D231" s="3275"/>
      <c r="E231" s="3275"/>
      <c r="F231" s="3264">
        <v>0.05</v>
      </c>
      <c r="G231" s="3281"/>
    </row>
    <row r="232" spans="1:7">
      <c r="A232" s="3274" t="s">
        <v>304</v>
      </c>
      <c r="B232" s="3263" t="s">
        <v>3213</v>
      </c>
      <c r="C232" s="3275"/>
      <c r="D232" s="3275"/>
      <c r="E232" s="3275"/>
      <c r="F232" s="3264">
        <v>0.05</v>
      </c>
      <c r="G232" s="3281"/>
    </row>
    <row r="233" spans="1:7" ht="15" thickBot="1">
      <c r="A233" s="3277" t="s">
        <v>304</v>
      </c>
      <c r="B233" s="3267" t="s">
        <v>3214</v>
      </c>
      <c r="C233" s="3269"/>
      <c r="D233" s="3269"/>
      <c r="E233" s="3269"/>
      <c r="F233" s="3268">
        <v>0.05</v>
      </c>
      <c r="G233" s="3282"/>
    </row>
    <row r="234" spans="1:7">
      <c r="A234" s="3273" t="s">
        <v>305</v>
      </c>
      <c r="B234" s="3259" t="s">
        <v>2863</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2883</v>
      </c>
      <c r="C238" s="3264">
        <v>0.14899999999999999</v>
      </c>
      <c r="D238" s="3264">
        <v>0.14899999999999999</v>
      </c>
      <c r="E238" s="3264">
        <v>0.15</v>
      </c>
      <c r="F238" s="3264">
        <v>0.15</v>
      </c>
      <c r="G238" s="3265">
        <v>0.15</v>
      </c>
    </row>
    <row r="239" spans="1:7">
      <c r="A239" s="3274" t="s">
        <v>305</v>
      </c>
      <c r="B239" s="3263" t="s">
        <v>2887</v>
      </c>
      <c r="C239" s="3264">
        <v>0.15</v>
      </c>
      <c r="D239" s="3264">
        <v>0.15</v>
      </c>
      <c r="E239" s="3264">
        <v>0.15</v>
      </c>
      <c r="F239" s="3264">
        <v>0.15</v>
      </c>
      <c r="G239" s="3265">
        <v>0.15</v>
      </c>
    </row>
    <row r="240" spans="1:7">
      <c r="A240" s="3274" t="s">
        <v>305</v>
      </c>
      <c r="B240" s="3263" t="s">
        <v>2892</v>
      </c>
      <c r="C240" s="3264">
        <v>0.15</v>
      </c>
      <c r="D240" s="3264">
        <v>0.15</v>
      </c>
      <c r="E240" s="3264">
        <v>0.15</v>
      </c>
      <c r="F240" s="3264">
        <v>0.15</v>
      </c>
      <c r="G240" s="3265">
        <v>0.15</v>
      </c>
    </row>
    <row r="241" spans="1:7">
      <c r="A241" s="3274" t="s">
        <v>305</v>
      </c>
      <c r="B241" s="3263" t="s">
        <v>2896</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2902</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2910</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2915</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2923</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2936</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2945</v>
      </c>
      <c r="C258" s="3264">
        <v>0.14299999999999999</v>
      </c>
      <c r="D258" s="3264">
        <v>0.14299999999999999</v>
      </c>
      <c r="E258" s="3264">
        <v>0.15</v>
      </c>
      <c r="F258" s="3264">
        <v>0.14799999999999999</v>
      </c>
      <c r="G258" s="3265">
        <v>0.14599999999999999</v>
      </c>
    </row>
    <row r="259" spans="1:7">
      <c r="A259" s="3274" t="s">
        <v>305</v>
      </c>
      <c r="B259" s="3263" t="s">
        <v>2949</v>
      </c>
      <c r="C259" s="3264">
        <v>0.14399999999999999</v>
      </c>
      <c r="D259" s="3264">
        <v>0.14399999999999999</v>
      </c>
      <c r="E259" s="3264">
        <v>0.14899999999999999</v>
      </c>
      <c r="F259" s="3264">
        <v>0.14699999999999999</v>
      </c>
      <c r="G259" s="3265">
        <v>0.14599999999999999</v>
      </c>
    </row>
    <row r="260" spans="1:7">
      <c r="A260" s="3274" t="s">
        <v>305</v>
      </c>
      <c r="B260" s="3263" t="s">
        <v>2956</v>
      </c>
      <c r="C260" s="3264">
        <v>0.109</v>
      </c>
      <c r="D260" s="3264">
        <v>0.111</v>
      </c>
      <c r="E260" s="3264">
        <v>0.13100000000000001</v>
      </c>
      <c r="F260" s="3264">
        <v>0.126</v>
      </c>
      <c r="G260" s="3265">
        <v>0.11899999999999999</v>
      </c>
    </row>
    <row r="261" spans="1:7">
      <c r="A261" s="3274" t="s">
        <v>305</v>
      </c>
      <c r="B261" s="3263" t="s">
        <v>2963</v>
      </c>
      <c r="C261" s="3264">
        <v>0.1</v>
      </c>
      <c r="D261" s="3264">
        <v>0.1</v>
      </c>
      <c r="E261" s="3264">
        <v>0.11799999999999999</v>
      </c>
      <c r="F261" s="3264">
        <v>0.108</v>
      </c>
      <c r="G261" s="3265">
        <v>0.107</v>
      </c>
    </row>
    <row r="262" spans="1:7">
      <c r="A262" s="3274" t="s">
        <v>305</v>
      </c>
      <c r="B262" s="3263" t="s">
        <v>2969</v>
      </c>
      <c r="C262" s="3264">
        <v>0.1</v>
      </c>
      <c r="D262" s="3264">
        <v>0.1</v>
      </c>
      <c r="E262" s="3264">
        <v>0.1</v>
      </c>
      <c r="F262" s="3264">
        <v>0.14099999999999999</v>
      </c>
      <c r="G262" s="3265">
        <v>0.1</v>
      </c>
    </row>
    <row r="263" spans="1:7">
      <c r="A263" s="3274" t="s">
        <v>305</v>
      </c>
      <c r="B263" s="3263" t="s">
        <v>2976</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2987</v>
      </c>
      <c r="C265" s="3275"/>
      <c r="D265" s="3275"/>
      <c r="E265" s="3275"/>
      <c r="F265" s="3264">
        <v>0.05</v>
      </c>
      <c r="G265" s="3281"/>
    </row>
    <row r="266" spans="1:7">
      <c r="A266" s="3274" t="s">
        <v>305</v>
      </c>
      <c r="B266" s="3263" t="s">
        <v>2991</v>
      </c>
      <c r="C266" s="3275"/>
      <c r="D266" s="3275"/>
      <c r="E266" s="3275"/>
      <c r="F266" s="3264">
        <v>0.05</v>
      </c>
      <c r="G266" s="3281"/>
    </row>
    <row r="267" spans="1:7">
      <c r="A267" s="3274" t="s">
        <v>305</v>
      </c>
      <c r="B267" s="3263" t="s">
        <v>2996</v>
      </c>
      <c r="C267" s="3275"/>
      <c r="D267" s="3275"/>
      <c r="E267" s="3275"/>
      <c r="F267" s="3264">
        <v>0.05</v>
      </c>
      <c r="G267" s="3281"/>
    </row>
    <row r="268" spans="1:7">
      <c r="A268" s="3274" t="s">
        <v>305</v>
      </c>
      <c r="B268" s="3263" t="s">
        <v>3001</v>
      </c>
      <c r="C268" s="3275"/>
      <c r="D268" s="3275"/>
      <c r="E268" s="3275"/>
      <c r="F268" s="3264">
        <v>0.05</v>
      </c>
      <c r="G268" s="3281"/>
    </row>
    <row r="269" spans="1:7">
      <c r="A269" s="3274" t="s">
        <v>305</v>
      </c>
      <c r="B269" s="3263" t="s">
        <v>3006</v>
      </c>
      <c r="C269" s="3275"/>
      <c r="D269" s="3275"/>
      <c r="E269" s="3275"/>
      <c r="F269" s="3264">
        <v>0.05</v>
      </c>
      <c r="G269" s="3281"/>
    </row>
    <row r="270" spans="1:7">
      <c r="A270" s="3274" t="s">
        <v>305</v>
      </c>
      <c r="B270" s="3263" t="s">
        <v>3011</v>
      </c>
      <c r="C270" s="3275"/>
      <c r="D270" s="3275"/>
      <c r="E270" s="3275"/>
      <c r="F270" s="3264">
        <v>0.05</v>
      </c>
      <c r="G270" s="3281"/>
    </row>
    <row r="271" spans="1:7">
      <c r="A271" s="3274" t="s">
        <v>305</v>
      </c>
      <c r="B271" s="3263" t="s">
        <v>3215</v>
      </c>
      <c r="C271" s="3275"/>
      <c r="D271" s="3275"/>
      <c r="E271" s="3275"/>
      <c r="F271" s="3264">
        <v>0.05</v>
      </c>
      <c r="G271" s="3281"/>
    </row>
    <row r="272" spans="1:7">
      <c r="A272" s="3274" t="s">
        <v>305</v>
      </c>
      <c r="B272" s="3263" t="s">
        <v>3216</v>
      </c>
      <c r="C272" s="3275"/>
      <c r="D272" s="3275"/>
      <c r="E272" s="3275"/>
      <c r="F272" s="3264">
        <v>0.05</v>
      </c>
      <c r="G272" s="3281"/>
    </row>
    <row r="273" spans="1:7">
      <c r="A273" s="3274" t="s">
        <v>305</v>
      </c>
      <c r="B273" s="3263" t="s">
        <v>3217</v>
      </c>
      <c r="C273" s="3275"/>
      <c r="D273" s="3275"/>
      <c r="E273" s="3275"/>
      <c r="F273" s="3264">
        <v>0.05</v>
      </c>
      <c r="G273" s="3281"/>
    </row>
    <row r="274" spans="1:7">
      <c r="A274" s="3274" t="s">
        <v>305</v>
      </c>
      <c r="B274" s="3263" t="s">
        <v>3218</v>
      </c>
      <c r="C274" s="3275"/>
      <c r="D274" s="3275"/>
      <c r="E274" s="3275"/>
      <c r="F274" s="3264">
        <v>0.05</v>
      </c>
      <c r="G274" s="3281"/>
    </row>
    <row r="275" spans="1:7">
      <c r="A275" s="3274" t="s">
        <v>305</v>
      </c>
      <c r="B275" s="3263" t="s">
        <v>3219</v>
      </c>
      <c r="C275" s="3275"/>
      <c r="D275" s="3275"/>
      <c r="E275" s="3275"/>
      <c r="F275" s="3264">
        <v>0.05</v>
      </c>
      <c r="G275" s="3281"/>
    </row>
    <row r="276" spans="1:7" ht="15" thickBot="1">
      <c r="A276" s="3277" t="s">
        <v>305</v>
      </c>
      <c r="B276" s="3267" t="s">
        <v>3220</v>
      </c>
      <c r="C276" s="3269"/>
      <c r="D276" s="3269"/>
      <c r="E276" s="3269"/>
      <c r="F276" s="3268">
        <v>0.05</v>
      </c>
      <c r="G276" s="3282"/>
    </row>
    <row r="277" spans="1:7">
      <c r="A277" s="3273" t="s">
        <v>306</v>
      </c>
      <c r="B277" s="3259" t="s">
        <v>2864</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2876</v>
      </c>
      <c r="C279" s="3264">
        <v>0.15</v>
      </c>
      <c r="D279" s="3264">
        <v>0.15</v>
      </c>
      <c r="E279" s="3264">
        <v>0.15</v>
      </c>
      <c r="F279" s="3264">
        <v>0.15</v>
      </c>
      <c r="G279" s="3265">
        <v>0.15</v>
      </c>
    </row>
    <row r="280" spans="1:7">
      <c r="A280" s="3274" t="s">
        <v>306</v>
      </c>
      <c r="B280" s="3263" t="s">
        <v>2880</v>
      </c>
      <c r="C280" s="3264">
        <v>0.15</v>
      </c>
      <c r="D280" s="3264">
        <v>0.15</v>
      </c>
      <c r="E280" s="3264">
        <v>0.15</v>
      </c>
      <c r="F280" s="3264">
        <v>0.15</v>
      </c>
      <c r="G280" s="3265">
        <v>0.15</v>
      </c>
    </row>
    <row r="281" spans="1:7">
      <c r="A281" s="3274" t="s">
        <v>306</v>
      </c>
      <c r="B281" s="3263" t="s">
        <v>2884</v>
      </c>
      <c r="C281" s="3264">
        <v>0.15</v>
      </c>
      <c r="D281" s="3264">
        <v>0.15</v>
      </c>
      <c r="E281" s="3264">
        <v>0.15</v>
      </c>
      <c r="F281" s="3264">
        <v>0.15</v>
      </c>
      <c r="G281" s="3265">
        <v>0.15</v>
      </c>
    </row>
    <row r="282" spans="1:7">
      <c r="A282" s="3274" t="s">
        <v>306</v>
      </c>
      <c r="B282" s="3263" t="s">
        <v>2888</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2903</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2908</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2918</v>
      </c>
      <c r="C293" s="3264">
        <v>0.15</v>
      </c>
      <c r="D293" s="3264">
        <v>0.15</v>
      </c>
      <c r="E293" s="3264">
        <v>0.15</v>
      </c>
      <c r="F293" s="3264">
        <v>0.14499999999999999</v>
      </c>
      <c r="G293" s="3265">
        <v>0.15</v>
      </c>
    </row>
    <row r="294" spans="1:7">
      <c r="A294" s="3274" t="s">
        <v>306</v>
      </c>
      <c r="B294" s="3263" t="s">
        <v>2920</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2937</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2950</v>
      </c>
      <c r="C302" s="3264">
        <v>0.15</v>
      </c>
      <c r="D302" s="3264">
        <v>0.15</v>
      </c>
      <c r="E302" s="3264">
        <v>0.15</v>
      </c>
      <c r="F302" s="3264">
        <v>0.14699999999999999</v>
      </c>
      <c r="G302" s="3265">
        <v>0.15</v>
      </c>
    </row>
    <row r="303" spans="1:7">
      <c r="A303" s="3274" t="s">
        <v>306</v>
      </c>
      <c r="B303" s="3263" t="s">
        <v>2957</v>
      </c>
      <c r="C303" s="3264">
        <v>0.15</v>
      </c>
      <c r="D303" s="3264">
        <v>0.15</v>
      </c>
      <c r="E303" s="3264">
        <v>0.15</v>
      </c>
      <c r="F303" s="3264">
        <v>0.14199999999999999</v>
      </c>
      <c r="G303" s="3265">
        <v>0.15</v>
      </c>
    </row>
    <row r="304" spans="1:7">
      <c r="A304" s="3274" t="s">
        <v>306</v>
      </c>
      <c r="B304" s="3263" t="s">
        <v>2964</v>
      </c>
      <c r="C304" s="3264">
        <v>0.15</v>
      </c>
      <c r="D304" s="3264">
        <v>0.15</v>
      </c>
      <c r="E304" s="3264">
        <v>0.15</v>
      </c>
      <c r="F304" s="3264">
        <v>0.14499999999999999</v>
      </c>
      <c r="G304" s="3265">
        <v>0.15</v>
      </c>
    </row>
    <row r="305" spans="1:7">
      <c r="A305" s="3274" t="s">
        <v>306</v>
      </c>
      <c r="B305" s="3263" t="s">
        <v>2970</v>
      </c>
      <c r="C305" s="3264">
        <v>0.15</v>
      </c>
      <c r="D305" s="3264">
        <v>0.15</v>
      </c>
      <c r="E305" s="3264">
        <v>0.15</v>
      </c>
      <c r="F305" s="3264">
        <v>0.111</v>
      </c>
      <c r="G305" s="3265">
        <v>0.15</v>
      </c>
    </row>
    <row r="306" spans="1:7">
      <c r="A306" s="3274" t="s">
        <v>306</v>
      </c>
      <c r="B306" s="3263" t="s">
        <v>2977</v>
      </c>
      <c r="C306" s="3264">
        <v>0.15</v>
      </c>
      <c r="D306" s="3264">
        <v>0.15</v>
      </c>
      <c r="E306" s="3264">
        <v>0.15</v>
      </c>
      <c r="F306" s="3264">
        <v>0.126</v>
      </c>
      <c r="G306" s="3265">
        <v>0.15</v>
      </c>
    </row>
    <row r="307" spans="1:7">
      <c r="A307" s="3274" t="s">
        <v>306</v>
      </c>
      <c r="B307" s="3263" t="s">
        <v>2982</v>
      </c>
      <c r="C307" s="3264">
        <v>0.15</v>
      </c>
      <c r="D307" s="3264">
        <v>0.15</v>
      </c>
      <c r="E307" s="3264">
        <v>0.15</v>
      </c>
      <c r="F307" s="3264">
        <v>0.12</v>
      </c>
      <c r="G307" s="3265">
        <v>0.15</v>
      </c>
    </row>
    <row r="308" spans="1:7">
      <c r="A308" s="3274" t="s">
        <v>306</v>
      </c>
      <c r="B308" s="3263" t="s">
        <v>2988</v>
      </c>
      <c r="C308" s="3264">
        <v>0.15</v>
      </c>
      <c r="D308" s="3264">
        <v>0.15</v>
      </c>
      <c r="E308" s="3264">
        <v>0.15</v>
      </c>
      <c r="F308" s="3264">
        <v>0.13</v>
      </c>
      <c r="G308" s="3265">
        <v>0.15</v>
      </c>
    </row>
    <row r="309" spans="1:7">
      <c r="A309" s="3274" t="s">
        <v>306</v>
      </c>
      <c r="B309" s="3263" t="s">
        <v>2992</v>
      </c>
      <c r="C309" s="3264">
        <v>0.15</v>
      </c>
      <c r="D309" s="3264">
        <v>0.15</v>
      </c>
      <c r="E309" s="3264">
        <v>0.15</v>
      </c>
      <c r="F309" s="3264">
        <v>0.14099999999999999</v>
      </c>
      <c r="G309" s="3265">
        <v>0.15</v>
      </c>
    </row>
    <row r="310" spans="1:7">
      <c r="A310" s="3274" t="s">
        <v>306</v>
      </c>
      <c r="B310" s="3263" t="s">
        <v>2997</v>
      </c>
      <c r="C310" s="3264">
        <v>0.15</v>
      </c>
      <c r="D310" s="3264">
        <v>0.15</v>
      </c>
      <c r="E310" s="3264">
        <v>0.15</v>
      </c>
      <c r="F310" s="3264">
        <v>0.15</v>
      </c>
      <c r="G310" s="3265">
        <v>0.15</v>
      </c>
    </row>
    <row r="311" spans="1:7">
      <c r="A311" s="3274" t="s">
        <v>306</v>
      </c>
      <c r="B311" s="3263" t="s">
        <v>3002</v>
      </c>
      <c r="C311" s="3264">
        <v>0.13200000000000001</v>
      </c>
      <c r="D311" s="3264">
        <v>0.13300000000000001</v>
      </c>
      <c r="E311" s="3264">
        <v>0.14499999999999999</v>
      </c>
      <c r="F311" s="3264">
        <v>0.14199999999999999</v>
      </c>
      <c r="G311" s="3265">
        <v>0.14000000000000001</v>
      </c>
    </row>
    <row r="312" spans="1:7">
      <c r="A312" s="3274" t="s">
        <v>306</v>
      </c>
      <c r="B312" s="3263" t="s">
        <v>3007</v>
      </c>
      <c r="C312" s="3264">
        <v>0.13800000000000001</v>
      </c>
      <c r="D312" s="3264">
        <v>0.14000000000000001</v>
      </c>
      <c r="E312" s="3264">
        <v>0.14599999999999999</v>
      </c>
      <c r="F312" s="3264">
        <v>0.14899999999999999</v>
      </c>
      <c r="G312" s="3265">
        <v>0.14199999999999999</v>
      </c>
    </row>
    <row r="313" spans="1:7">
      <c r="A313" s="3274" t="s">
        <v>306</v>
      </c>
      <c r="B313" s="3263" t="s">
        <v>3012</v>
      </c>
      <c r="C313" s="3264">
        <v>0.125</v>
      </c>
      <c r="D313" s="3264">
        <v>0.127</v>
      </c>
      <c r="E313" s="3264">
        <v>0.14399999999999999</v>
      </c>
      <c r="F313" s="3264">
        <v>0.115</v>
      </c>
      <c r="G313" s="3265">
        <v>0.13600000000000001</v>
      </c>
    </row>
    <row r="314" spans="1:7">
      <c r="A314" s="3274" t="s">
        <v>306</v>
      </c>
      <c r="B314" s="3263" t="s">
        <v>3221</v>
      </c>
      <c r="C314" s="3280"/>
      <c r="D314" s="3280"/>
      <c r="E314" s="3280"/>
      <c r="F314" s="3264">
        <v>0.05</v>
      </c>
      <c r="G314" s="3281"/>
    </row>
    <row r="315" spans="1:7">
      <c r="A315" s="3274" t="s">
        <v>306</v>
      </c>
      <c r="B315" s="3263" t="s">
        <v>3222</v>
      </c>
      <c r="C315" s="3280"/>
      <c r="D315" s="3280"/>
      <c r="E315" s="3280"/>
      <c r="F315" s="3264">
        <v>0.05</v>
      </c>
      <c r="G315" s="3281"/>
    </row>
    <row r="316" spans="1:7">
      <c r="A316" s="3274" t="s">
        <v>306</v>
      </c>
      <c r="B316" s="3263" t="s">
        <v>3223</v>
      </c>
      <c r="C316" s="3275"/>
      <c r="D316" s="3275"/>
      <c r="E316" s="3275"/>
      <c r="F316" s="3264">
        <v>0.05</v>
      </c>
      <c r="G316" s="3281"/>
    </row>
    <row r="317" spans="1:7">
      <c r="A317" s="3274" t="s">
        <v>306</v>
      </c>
      <c r="B317" s="3263" t="s">
        <v>3224</v>
      </c>
      <c r="C317" s="3275"/>
      <c r="D317" s="3275"/>
      <c r="E317" s="3275"/>
      <c r="F317" s="3264">
        <v>0.05</v>
      </c>
      <c r="G317" s="3281"/>
    </row>
    <row r="318" spans="1:7">
      <c r="A318" s="3274" t="s">
        <v>306</v>
      </c>
      <c r="B318" s="3263" t="s">
        <v>3225</v>
      </c>
      <c r="C318" s="3275"/>
      <c r="D318" s="3275"/>
      <c r="E318" s="3275"/>
      <c r="F318" s="3264">
        <v>0.05</v>
      </c>
      <c r="G318" s="3281"/>
    </row>
    <row r="319" spans="1:7">
      <c r="A319" s="3274" t="s">
        <v>306</v>
      </c>
      <c r="B319" s="3263" t="s">
        <v>3226</v>
      </c>
      <c r="C319" s="3275"/>
      <c r="D319" s="3275"/>
      <c r="E319" s="3275"/>
      <c r="F319" s="3264">
        <v>0.05</v>
      </c>
      <c r="G319" s="3281"/>
    </row>
    <row r="320" spans="1:7">
      <c r="A320" s="3274" t="s">
        <v>306</v>
      </c>
      <c r="B320" s="3263" t="s">
        <v>3227</v>
      </c>
      <c r="C320" s="3275"/>
      <c r="D320" s="3275"/>
      <c r="E320" s="3275"/>
      <c r="F320" s="3264">
        <v>0.05</v>
      </c>
      <c r="G320" s="3281"/>
    </row>
    <row r="321" spans="1:7">
      <c r="A321" s="3274" t="s">
        <v>306</v>
      </c>
      <c r="B321" s="3263" t="s">
        <v>3228</v>
      </c>
      <c r="C321" s="3275"/>
      <c r="D321" s="3275"/>
      <c r="E321" s="3275"/>
      <c r="F321" s="3264">
        <v>0.05</v>
      </c>
      <c r="G321" s="3281"/>
    </row>
    <row r="322" spans="1:7">
      <c r="A322" s="3274" t="s">
        <v>306</v>
      </c>
      <c r="B322" s="3263" t="s">
        <v>3229</v>
      </c>
      <c r="C322" s="3275"/>
      <c r="D322" s="3275"/>
      <c r="E322" s="3275"/>
      <c r="F322" s="3264">
        <v>0.05</v>
      </c>
      <c r="G322" s="3281"/>
    </row>
    <row r="323" spans="1:7">
      <c r="A323" s="3274" t="s">
        <v>306</v>
      </c>
      <c r="B323" s="3263" t="s">
        <v>3230</v>
      </c>
      <c r="C323" s="3275"/>
      <c r="D323" s="3275"/>
      <c r="E323" s="3275"/>
      <c r="F323" s="3264">
        <v>0.05</v>
      </c>
      <c r="G323" s="3281"/>
    </row>
    <row r="324" spans="1:7">
      <c r="A324" s="3274" t="s">
        <v>306</v>
      </c>
      <c r="B324" s="3263" t="s">
        <v>3231</v>
      </c>
      <c r="C324" s="3275"/>
      <c r="D324" s="3275"/>
      <c r="E324" s="3275"/>
      <c r="F324" s="3264">
        <v>0.05</v>
      </c>
      <c r="G324" s="3281"/>
    </row>
    <row r="325" spans="1:7">
      <c r="A325" s="3274" t="s">
        <v>306</v>
      </c>
      <c r="B325" s="3263" t="s">
        <v>3232</v>
      </c>
      <c r="C325" s="3275"/>
      <c r="D325" s="3275"/>
      <c r="E325" s="3275"/>
      <c r="F325" s="3264">
        <v>0.05</v>
      </c>
      <c r="G325" s="3281"/>
    </row>
    <row r="326" spans="1:7" ht="15" thickBot="1">
      <c r="A326" s="3277" t="s">
        <v>306</v>
      </c>
      <c r="B326" s="3267" t="s">
        <v>3233</v>
      </c>
      <c r="C326" s="3269"/>
      <c r="D326" s="3269"/>
      <c r="E326" s="3269"/>
      <c r="F326" s="3268">
        <v>0.05</v>
      </c>
      <c r="G326" s="3282"/>
    </row>
    <row r="327" spans="1:7">
      <c r="A327" s="3273" t="s">
        <v>307</v>
      </c>
      <c r="B327" s="3259" t="s">
        <v>2865</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2877</v>
      </c>
      <c r="C329" s="3264">
        <v>0.15</v>
      </c>
      <c r="D329" s="3264">
        <v>0.15</v>
      </c>
      <c r="E329" s="3264">
        <v>0.15</v>
      </c>
      <c r="F329" s="3264">
        <v>0.15</v>
      </c>
      <c r="G329" s="3265">
        <v>0.15</v>
      </c>
    </row>
    <row r="330" spans="1:7">
      <c r="A330" s="3274" t="s">
        <v>307</v>
      </c>
      <c r="B330" s="3263" t="s">
        <v>2881</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2889</v>
      </c>
      <c r="C332" s="3264">
        <v>0.15</v>
      </c>
      <c r="D332" s="3264">
        <v>0.15</v>
      </c>
      <c r="E332" s="3264">
        <v>0.15</v>
      </c>
      <c r="F332" s="3264">
        <v>0.15</v>
      </c>
      <c r="G332" s="3265">
        <v>0.15</v>
      </c>
    </row>
    <row r="333" spans="1:7">
      <c r="A333" s="3274" t="s">
        <v>307</v>
      </c>
      <c r="B333" s="3263" t="s">
        <v>2893</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2899</v>
      </c>
      <c r="C336" s="3264">
        <v>0.15</v>
      </c>
      <c r="D336" s="3264">
        <v>0.15</v>
      </c>
      <c r="E336" s="3264">
        <v>0.15</v>
      </c>
      <c r="F336" s="3264">
        <v>0.14199999999999999</v>
      </c>
      <c r="G336" s="3265">
        <v>0.15</v>
      </c>
    </row>
    <row r="337" spans="1:7">
      <c r="A337" s="3274" t="s">
        <v>307</v>
      </c>
      <c r="B337" s="3263" t="s">
        <v>2904</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2911</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2916</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2924</v>
      </c>
      <c r="C345" s="3264">
        <v>0.15</v>
      </c>
      <c r="D345" s="3264">
        <v>0.15</v>
      </c>
      <c r="E345" s="3264">
        <v>0.15</v>
      </c>
      <c r="F345" s="3264">
        <v>0.13800000000000001</v>
      </c>
      <c r="G345" s="3265">
        <v>0.15</v>
      </c>
    </row>
    <row r="346" spans="1:7">
      <c r="A346" s="3274" t="s">
        <v>307</v>
      </c>
      <c r="B346" s="3263" t="s">
        <v>2926</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2933</v>
      </c>
      <c r="C348" s="3264">
        <v>0.15</v>
      </c>
      <c r="D348" s="3264">
        <v>0.15</v>
      </c>
      <c r="E348" s="3264">
        <v>0.15</v>
      </c>
      <c r="F348" s="3264">
        <v>0.14399999999999999</v>
      </c>
      <c r="G348" s="3265">
        <v>0.15</v>
      </c>
    </row>
    <row r="349" spans="1:7">
      <c r="A349" s="3274" t="s">
        <v>307</v>
      </c>
      <c r="B349" s="3263" t="s">
        <v>2938</v>
      </c>
      <c r="C349" s="3264">
        <v>0.15</v>
      </c>
      <c r="D349" s="3264">
        <v>0.15</v>
      </c>
      <c r="E349" s="3264">
        <v>0.15</v>
      </c>
      <c r="F349" s="3264">
        <v>0.15</v>
      </c>
      <c r="G349" s="3265">
        <v>0.15</v>
      </c>
    </row>
    <row r="350" spans="1:7">
      <c r="A350" s="3274" t="s">
        <v>307</v>
      </c>
      <c r="B350" s="3263" t="s">
        <v>2941</v>
      </c>
      <c r="C350" s="3264">
        <v>0.15</v>
      </c>
      <c r="D350" s="3264">
        <v>0.15</v>
      </c>
      <c r="E350" s="3264">
        <v>0.15</v>
      </c>
      <c r="F350" s="3264">
        <v>0.14699999999999999</v>
      </c>
      <c r="G350" s="3265">
        <v>0.15</v>
      </c>
    </row>
    <row r="351" spans="1:7">
      <c r="A351" s="3274" t="s">
        <v>307</v>
      </c>
      <c r="B351" s="3263" t="s">
        <v>2946</v>
      </c>
      <c r="C351" s="3264">
        <v>0.15</v>
      </c>
      <c r="D351" s="3264">
        <v>0.15</v>
      </c>
      <c r="E351" s="3264">
        <v>0.15</v>
      </c>
      <c r="F351" s="3264">
        <v>0.13</v>
      </c>
      <c r="G351" s="3265">
        <v>0.15</v>
      </c>
    </row>
    <row r="352" spans="1:7">
      <c r="A352" s="3274" t="s">
        <v>307</v>
      </c>
      <c r="B352" s="3263" t="s">
        <v>2951</v>
      </c>
      <c r="C352" s="3264">
        <v>0.15</v>
      </c>
      <c r="D352" s="3264">
        <v>0.15</v>
      </c>
      <c r="E352" s="3264">
        <v>0.15</v>
      </c>
      <c r="F352" s="3264">
        <v>0.14599999999999999</v>
      </c>
      <c r="G352" s="3265">
        <v>0.15</v>
      </c>
    </row>
    <row r="353" spans="1:7">
      <c r="A353" s="3274" t="s">
        <v>307</v>
      </c>
      <c r="B353" s="3263" t="s">
        <v>2958</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2971</v>
      </c>
      <c r="C355" s="3264">
        <v>0.15</v>
      </c>
      <c r="D355" s="3264">
        <v>0.15</v>
      </c>
      <c r="E355" s="3264">
        <v>0.15</v>
      </c>
      <c r="F355" s="3264">
        <v>0.15</v>
      </c>
      <c r="G355" s="3265">
        <v>0.15</v>
      </c>
    </row>
    <row r="356" spans="1:7">
      <c r="A356" s="3274" t="s">
        <v>307</v>
      </c>
      <c r="B356" s="3263" t="s">
        <v>2978</v>
      </c>
      <c r="C356" s="3264">
        <v>0.15</v>
      </c>
      <c r="D356" s="3264">
        <v>0.15</v>
      </c>
      <c r="E356" s="3264">
        <v>0.15</v>
      </c>
      <c r="F356" s="3264">
        <v>0.15</v>
      </c>
      <c r="G356" s="3265">
        <v>0.15</v>
      </c>
    </row>
    <row r="357" spans="1:7" ht="15" thickBot="1">
      <c r="A357" s="3277" t="s">
        <v>307</v>
      </c>
      <c r="B357" s="3267" t="s">
        <v>2983</v>
      </c>
      <c r="C357" s="3268">
        <v>0.126</v>
      </c>
      <c r="D357" s="3268">
        <v>0.127</v>
      </c>
      <c r="E357" s="3268">
        <v>0.14299999999999999</v>
      </c>
      <c r="F357" s="3268">
        <v>0.125</v>
      </c>
      <c r="G357" s="3270">
        <v>0.129</v>
      </c>
    </row>
    <row r="358" spans="1:7">
      <c r="A358" s="3273" t="s">
        <v>2852</v>
      </c>
      <c r="B358" s="3259" t="s">
        <v>2866</v>
      </c>
      <c r="C358" s="3260">
        <v>0.15</v>
      </c>
      <c r="D358" s="3260">
        <v>0.15</v>
      </c>
      <c r="E358" s="3260">
        <v>0.15</v>
      </c>
      <c r="F358" s="3260">
        <v>0.15</v>
      </c>
      <c r="G358" s="3261">
        <v>0.15</v>
      </c>
    </row>
    <row r="359" spans="1:7">
      <c r="A359" s="3274" t="s">
        <v>2852</v>
      </c>
      <c r="B359" s="3263" t="s">
        <v>2872</v>
      </c>
      <c r="C359" s="3264">
        <v>0.1</v>
      </c>
      <c r="D359" s="3264">
        <v>0.1</v>
      </c>
      <c r="E359" s="3264">
        <v>0.1</v>
      </c>
      <c r="F359" s="3264">
        <v>0.1</v>
      </c>
      <c r="G359" s="3265">
        <v>0.1</v>
      </c>
    </row>
    <row r="360" spans="1:7">
      <c r="A360" s="3274" t="s">
        <v>2852</v>
      </c>
      <c r="B360" s="3263" t="s">
        <v>2878</v>
      </c>
      <c r="C360" s="3264">
        <v>0.15</v>
      </c>
      <c r="D360" s="3264">
        <v>0.15</v>
      </c>
      <c r="E360" s="3264">
        <v>0.15</v>
      </c>
      <c r="F360" s="3264">
        <v>0.14899999999999999</v>
      </c>
      <c r="G360" s="3265">
        <v>0.15</v>
      </c>
    </row>
    <row r="361" spans="1:7">
      <c r="A361" s="3274" t="s">
        <v>2852</v>
      </c>
      <c r="B361" s="3263" t="s">
        <v>153</v>
      </c>
      <c r="C361" s="3264">
        <v>0.15</v>
      </c>
      <c r="D361" s="3264">
        <v>0.15</v>
      </c>
      <c r="E361" s="3264">
        <v>0.15</v>
      </c>
      <c r="F361" s="3264">
        <v>0.115</v>
      </c>
      <c r="G361" s="3265">
        <v>0.15</v>
      </c>
    </row>
    <row r="362" spans="1:7">
      <c r="A362" s="3274" t="s">
        <v>2852</v>
      </c>
      <c r="B362" s="3263" t="s">
        <v>2885</v>
      </c>
      <c r="C362" s="3264">
        <v>0.15</v>
      </c>
      <c r="D362" s="3264">
        <v>0.15</v>
      </c>
      <c r="E362" s="3264">
        <v>0.15</v>
      </c>
      <c r="F362" s="3264">
        <v>0.106</v>
      </c>
      <c r="G362" s="3265">
        <v>0.15</v>
      </c>
    </row>
    <row r="363" spans="1:7">
      <c r="A363" s="3274" t="s">
        <v>2852</v>
      </c>
      <c r="B363" s="3263" t="s">
        <v>2890</v>
      </c>
      <c r="C363" s="3264">
        <v>0.15</v>
      </c>
      <c r="D363" s="3264">
        <v>0.15</v>
      </c>
      <c r="E363" s="3264">
        <v>0.15</v>
      </c>
      <c r="F363" s="3264">
        <v>0.14699999999999999</v>
      </c>
      <c r="G363" s="3265">
        <v>0.15</v>
      </c>
    </row>
    <row r="364" spans="1:7">
      <c r="A364" s="3274" t="s">
        <v>2852</v>
      </c>
      <c r="B364" s="3263" t="s">
        <v>2894</v>
      </c>
      <c r="C364" s="3264">
        <v>0.15</v>
      </c>
      <c r="D364" s="3264">
        <v>0.15</v>
      </c>
      <c r="E364" s="3264">
        <v>0.15</v>
      </c>
      <c r="F364" s="3264">
        <v>0.14799999999999999</v>
      </c>
      <c r="G364" s="3265">
        <v>0.15</v>
      </c>
    </row>
    <row r="365" spans="1:7">
      <c r="A365" s="3274" t="s">
        <v>2852</v>
      </c>
      <c r="B365" s="3263" t="s">
        <v>200</v>
      </c>
      <c r="C365" s="3264">
        <v>0.15</v>
      </c>
      <c r="D365" s="3264">
        <v>0.15</v>
      </c>
      <c r="E365" s="3264">
        <v>0.15</v>
      </c>
      <c r="F365" s="3264">
        <v>0.15</v>
      </c>
      <c r="G365" s="3265">
        <v>0.15</v>
      </c>
    </row>
    <row r="366" spans="1:7">
      <c r="A366" s="3274" t="s">
        <v>2852</v>
      </c>
      <c r="B366" s="3263" t="s">
        <v>2897</v>
      </c>
      <c r="C366" s="3264">
        <v>0.15</v>
      </c>
      <c r="D366" s="3264">
        <v>0.15</v>
      </c>
      <c r="E366" s="3264">
        <v>0.15</v>
      </c>
      <c r="F366" s="3264">
        <v>0.15</v>
      </c>
      <c r="G366" s="3265">
        <v>0.15</v>
      </c>
    </row>
    <row r="367" spans="1:7">
      <c r="A367" s="3274" t="s">
        <v>2852</v>
      </c>
      <c r="B367" s="3263" t="s">
        <v>2900</v>
      </c>
      <c r="C367" s="3264">
        <v>0.15</v>
      </c>
      <c r="D367" s="3264">
        <v>0.15</v>
      </c>
      <c r="E367" s="3264">
        <v>0.15</v>
      </c>
      <c r="F367" s="3264">
        <v>0.14699999999999999</v>
      </c>
      <c r="G367" s="3265">
        <v>0.15</v>
      </c>
    </row>
    <row r="368" spans="1:7">
      <c r="A368" s="3274" t="s">
        <v>2852</v>
      </c>
      <c r="B368" s="3263" t="s">
        <v>2905</v>
      </c>
      <c r="C368" s="3264">
        <v>0.15</v>
      </c>
      <c r="D368" s="3264">
        <v>0.15</v>
      </c>
      <c r="E368" s="3264">
        <v>0.15</v>
      </c>
      <c r="F368" s="3264">
        <v>0.13600000000000001</v>
      </c>
      <c r="G368" s="3265">
        <v>0.15</v>
      </c>
    </row>
    <row r="369" spans="1:7">
      <c r="A369" s="3274" t="s">
        <v>2852</v>
      </c>
      <c r="B369" s="3263" t="s">
        <v>214</v>
      </c>
      <c r="C369" s="3264">
        <v>0.15</v>
      </c>
      <c r="D369" s="3264">
        <v>0.15</v>
      </c>
      <c r="E369" s="3264">
        <v>0.15</v>
      </c>
      <c r="F369" s="3264">
        <v>0.14399999999999999</v>
      </c>
      <c r="G369" s="3265">
        <v>0.15</v>
      </c>
    </row>
    <row r="370" spans="1:7">
      <c r="A370" s="3274" t="s">
        <v>2852</v>
      </c>
      <c r="B370" s="3263" t="s">
        <v>221</v>
      </c>
      <c r="C370" s="3264">
        <v>0.15</v>
      </c>
      <c r="D370" s="3264">
        <v>0.15</v>
      </c>
      <c r="E370" s="3264">
        <v>0.15</v>
      </c>
      <c r="F370" s="3264">
        <v>0.14599999999999999</v>
      </c>
      <c r="G370" s="3265">
        <v>0.15</v>
      </c>
    </row>
    <row r="371" spans="1:7">
      <c r="A371" s="3274" t="s">
        <v>2852</v>
      </c>
      <c r="B371" s="3263" t="s">
        <v>229</v>
      </c>
      <c r="C371" s="3264">
        <v>0.15</v>
      </c>
      <c r="D371" s="3264">
        <v>0.15</v>
      </c>
      <c r="E371" s="3264">
        <v>0.15</v>
      </c>
      <c r="F371" s="3264">
        <v>0.12</v>
      </c>
      <c r="G371" s="3265">
        <v>0.15</v>
      </c>
    </row>
    <row r="372" spans="1:7">
      <c r="A372" s="3274" t="s">
        <v>2852</v>
      </c>
      <c r="B372" s="3263" t="s">
        <v>2913</v>
      </c>
      <c r="C372" s="3264">
        <v>0.15</v>
      </c>
      <c r="D372" s="3264">
        <v>0.15</v>
      </c>
      <c r="E372" s="3264">
        <v>0.15</v>
      </c>
      <c r="F372" s="3264">
        <v>0.14299999999999999</v>
      </c>
      <c r="G372" s="3265">
        <v>0.15</v>
      </c>
    </row>
    <row r="373" spans="1:7">
      <c r="A373" s="3274" t="s">
        <v>2852</v>
      </c>
      <c r="B373" s="3263" t="s">
        <v>258</v>
      </c>
      <c r="C373" s="3264">
        <v>0.15</v>
      </c>
      <c r="D373" s="3264">
        <v>0.15</v>
      </c>
      <c r="E373" s="3264">
        <v>0.15</v>
      </c>
      <c r="F373" s="3264">
        <v>0.14599999999999999</v>
      </c>
      <c r="G373" s="3265">
        <v>0.15</v>
      </c>
    </row>
    <row r="374" spans="1:7">
      <c r="A374" s="3274" t="s">
        <v>2852</v>
      </c>
      <c r="B374" s="3263" t="s">
        <v>266</v>
      </c>
      <c r="C374" s="3264">
        <v>0.15</v>
      </c>
      <c r="D374" s="3264">
        <v>0.15</v>
      </c>
      <c r="E374" s="3264">
        <v>0.15</v>
      </c>
      <c r="F374" s="3264">
        <v>0.14399999999999999</v>
      </c>
      <c r="G374" s="3265">
        <v>0.15</v>
      </c>
    </row>
    <row r="375" spans="1:7">
      <c r="A375" s="3274" t="s">
        <v>2852</v>
      </c>
      <c r="B375" s="3263" t="s">
        <v>2921</v>
      </c>
      <c r="C375" s="3264">
        <v>0.15</v>
      </c>
      <c r="D375" s="3264">
        <v>0.15</v>
      </c>
      <c r="E375" s="3264">
        <v>0.15</v>
      </c>
      <c r="F375" s="3264">
        <v>0.13</v>
      </c>
      <c r="G375" s="3265">
        <v>0.15</v>
      </c>
    </row>
    <row r="376" spans="1:7">
      <c r="A376" s="3274" t="s">
        <v>2852</v>
      </c>
      <c r="B376" s="3263" t="s">
        <v>277</v>
      </c>
      <c r="C376" s="3264">
        <v>0.15</v>
      </c>
      <c r="D376" s="3264">
        <v>0.15</v>
      </c>
      <c r="E376" s="3264">
        <v>0.15</v>
      </c>
      <c r="F376" s="3264">
        <v>0.14199999999999999</v>
      </c>
      <c r="G376" s="3265">
        <v>0.15</v>
      </c>
    </row>
    <row r="377" spans="1:7" ht="15" thickBot="1">
      <c r="A377" s="3277" t="s">
        <v>2852</v>
      </c>
      <c r="B377" s="3267" t="s">
        <v>2927</v>
      </c>
      <c r="C377" s="3268">
        <v>0.15</v>
      </c>
      <c r="D377" s="3268">
        <v>0.15</v>
      </c>
      <c r="E377" s="3268">
        <v>0.15</v>
      </c>
      <c r="F377" s="3268">
        <v>0.14000000000000001</v>
      </c>
      <c r="G377" s="3270">
        <v>0.15</v>
      </c>
    </row>
    <row r="378" spans="1:7">
      <c r="A378" s="3273" t="s">
        <v>2853</v>
      </c>
      <c r="B378" s="3259" t="s">
        <v>2867</v>
      </c>
      <c r="C378" s="3260">
        <v>0.15</v>
      </c>
      <c r="D378" s="3260">
        <v>0.15</v>
      </c>
      <c r="E378" s="3260">
        <v>0.15</v>
      </c>
      <c r="F378" s="3260">
        <v>0.107</v>
      </c>
      <c r="G378" s="3261">
        <v>0.15</v>
      </c>
    </row>
    <row r="379" spans="1:7">
      <c r="A379" s="3274" t="s">
        <v>2853</v>
      </c>
      <c r="B379" s="3263" t="s">
        <v>2873</v>
      </c>
      <c r="C379" s="3264">
        <v>0.15</v>
      </c>
      <c r="D379" s="3264">
        <v>0.15</v>
      </c>
      <c r="E379" s="3264">
        <v>0.15</v>
      </c>
      <c r="F379" s="3264">
        <v>0.115</v>
      </c>
      <c r="G379" s="3265">
        <v>0.14899999999999999</v>
      </c>
    </row>
    <row r="380" spans="1:7">
      <c r="A380" s="3274" t="s">
        <v>2853</v>
      </c>
      <c r="B380" s="3263" t="s">
        <v>2879</v>
      </c>
      <c r="C380" s="3264">
        <v>0.15</v>
      </c>
      <c r="D380" s="3264">
        <v>0.15</v>
      </c>
      <c r="E380" s="3264">
        <v>0.15</v>
      </c>
      <c r="F380" s="3264">
        <v>0.1</v>
      </c>
      <c r="G380" s="3265">
        <v>0.14799999999999999</v>
      </c>
    </row>
    <row r="381" spans="1:7">
      <c r="A381" s="3274" t="s">
        <v>2853</v>
      </c>
      <c r="B381" s="3263" t="s">
        <v>2882</v>
      </c>
      <c r="C381" s="3264">
        <v>0.15</v>
      </c>
      <c r="D381" s="3264">
        <v>0.15</v>
      </c>
      <c r="E381" s="3264">
        <v>0.15</v>
      </c>
      <c r="F381" s="3264">
        <v>0.126</v>
      </c>
      <c r="G381" s="3265">
        <v>0.15</v>
      </c>
    </row>
    <row r="382" spans="1:7">
      <c r="A382" s="3274" t="s">
        <v>2853</v>
      </c>
      <c r="B382" s="3263" t="s">
        <v>2886</v>
      </c>
      <c r="C382" s="3264">
        <v>0.15</v>
      </c>
      <c r="D382" s="3264">
        <v>0.15</v>
      </c>
      <c r="E382" s="3264">
        <v>0.15</v>
      </c>
      <c r="F382" s="3264">
        <v>0.15</v>
      </c>
      <c r="G382" s="3265">
        <v>0.15</v>
      </c>
    </row>
    <row r="383" spans="1:7">
      <c r="A383" s="3274" t="s">
        <v>2853</v>
      </c>
      <c r="B383" s="3263" t="s">
        <v>2891</v>
      </c>
      <c r="C383" s="3264">
        <v>0.15</v>
      </c>
      <c r="D383" s="3264">
        <v>0.15</v>
      </c>
      <c r="E383" s="3264">
        <v>0.15</v>
      </c>
      <c r="F383" s="3264">
        <v>0.14699999999999999</v>
      </c>
      <c r="G383" s="3265">
        <v>0.15</v>
      </c>
    </row>
    <row r="384" spans="1:7" ht="15" thickBot="1">
      <c r="A384" s="3284" t="s">
        <v>2853</v>
      </c>
      <c r="B384" s="3285" t="s">
        <v>2895</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9"/>
  </cols>
  <sheetData>
    <row r="1" spans="1:6">
      <c r="A1" s="3773" t="s">
        <v>3234</v>
      </c>
      <c r="B1" s="3773"/>
      <c r="C1" s="3773"/>
      <c r="D1" s="3773"/>
      <c r="E1" s="3773"/>
      <c r="F1" s="3774"/>
    </row>
    <row r="2" spans="1:6">
      <c r="A2" s="3290" t="s">
        <v>3235</v>
      </c>
      <c r="B2" s="3291"/>
      <c r="C2" s="3291"/>
      <c r="D2" s="3291"/>
      <c r="E2" s="3291"/>
      <c r="F2" s="3291"/>
    </row>
    <row r="3" spans="1:6">
      <c r="A3" s="3290" t="s">
        <v>3236</v>
      </c>
      <c r="B3" s="3291"/>
      <c r="C3" s="3291"/>
      <c r="D3" s="3291"/>
      <c r="E3" s="3291"/>
      <c r="F3" s="3292" t="s">
        <v>3237</v>
      </c>
    </row>
    <row r="4" spans="1:6">
      <c r="A4" s="3293" t="s">
        <v>672</v>
      </c>
      <c r="B4" s="3293" t="s">
        <v>673</v>
      </c>
      <c r="C4" s="3293" t="s">
        <v>21</v>
      </c>
      <c r="D4" s="3293" t="s">
        <v>674</v>
      </c>
      <c r="E4" s="3293" t="s">
        <v>3</v>
      </c>
      <c r="F4" s="3293" t="s">
        <v>3238</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2" sqref="G52"/>
    </sheetView>
  </sheetViews>
  <sheetFormatPr defaultRowHeight="14.4"/>
  <cols>
    <col min="1" max="1" width="13.88671875" customWidth="1"/>
    <col min="11" max="17" width="0" hidden="1" customWidth="1"/>
    <col min="25" max="30" width="0" hidden="1" customWidth="1"/>
  </cols>
  <sheetData>
    <row r="1" spans="1:30">
      <c r="A1" s="3220">
        <f>基准地价修正!G23</f>
        <v>45539</v>
      </c>
      <c r="B1" s="3209" t="s">
        <v>3373</v>
      </c>
      <c r="C1" s="3210"/>
      <c r="D1" s="3210"/>
      <c r="E1" s="3210"/>
      <c r="F1" s="3210"/>
      <c r="G1" s="3210"/>
      <c r="H1" s="3210"/>
      <c r="I1" s="3210"/>
      <c r="J1" s="3164"/>
      <c r="K1" s="3210" t="s">
        <v>454</v>
      </c>
      <c r="L1" s="3210"/>
      <c r="M1" s="3210"/>
      <c r="N1" s="3210"/>
      <c r="O1" s="3210"/>
      <c r="P1" s="3210"/>
      <c r="Q1" s="3164"/>
      <c r="R1" s="3775" t="s">
        <v>456</v>
      </c>
      <c r="S1" s="3776"/>
      <c r="T1" s="3776"/>
      <c r="U1" s="3776"/>
      <c r="V1" s="3776"/>
      <c r="W1" s="3776"/>
      <c r="X1" s="3164"/>
      <c r="Y1" s="3775" t="s">
        <v>457</v>
      </c>
      <c r="Z1" s="3776"/>
      <c r="AA1" s="3776"/>
      <c r="AB1" s="3776"/>
      <c r="AC1" s="3776"/>
      <c r="AD1" s="3776"/>
    </row>
    <row r="2" spans="1:30" s="3142" customFormat="1" ht="15" thickBot="1">
      <c r="B2" s="3143"/>
      <c r="C2" s="3144"/>
      <c r="D2" s="3145" t="s">
        <v>2812</v>
      </c>
      <c r="E2" s="3146" t="s">
        <v>2813</v>
      </c>
      <c r="F2" s="3146" t="s">
        <v>2814</v>
      </c>
      <c r="G2" s="3146" t="s">
        <v>2815</v>
      </c>
      <c r="H2" s="3146" t="s">
        <v>2816</v>
      </c>
      <c r="I2" s="3146" t="s">
        <v>2633</v>
      </c>
      <c r="J2" s="3147"/>
      <c r="K2" s="3145" t="s">
        <v>2812</v>
      </c>
      <c r="L2" s="3146" t="s">
        <v>2813</v>
      </c>
      <c r="M2" s="3146" t="s">
        <v>2814</v>
      </c>
      <c r="N2" s="3146" t="s">
        <v>2815</v>
      </c>
      <c r="O2" s="3146" t="s">
        <v>2817</v>
      </c>
      <c r="P2" s="3146" t="s">
        <v>2633</v>
      </c>
      <c r="Q2" s="3147"/>
      <c r="R2" s="3145" t="s">
        <v>2812</v>
      </c>
      <c r="S2" s="3146" t="s">
        <v>2813</v>
      </c>
      <c r="T2" s="3146" t="s">
        <v>2814</v>
      </c>
      <c r="U2" s="3146" t="s">
        <v>2818</v>
      </c>
      <c r="V2" s="3146" t="s">
        <v>2819</v>
      </c>
      <c r="W2" s="3146" t="s">
        <v>2633</v>
      </c>
      <c r="X2" s="3147"/>
      <c r="Y2" s="3145" t="s">
        <v>2812</v>
      </c>
      <c r="Z2" s="3146" t="s">
        <v>2813</v>
      </c>
      <c r="AA2" s="3146" t="s">
        <v>2814</v>
      </c>
      <c r="AB2" s="3146" t="s">
        <v>2820</v>
      </c>
      <c r="AC2" s="3146" t="s">
        <v>2819</v>
      </c>
      <c r="AD2" s="3146" t="s">
        <v>2633</v>
      </c>
    </row>
    <row r="3" spans="1:30" s="3160" customFormat="1" ht="13.2">
      <c r="A3" s="3148" t="s">
        <v>2821</v>
      </c>
      <c r="B3" s="3149"/>
      <c r="C3" s="3150"/>
      <c r="D3" s="3150">
        <f>ROUND(AVERAGEIF(D4:D19,"&lt;&gt;0"),2)</f>
        <v>0.59</v>
      </c>
      <c r="E3" s="3150">
        <f t="shared" ref="E3:H3" si="0">ROUND(AVERAGEIF(E4:E19,"&lt;&gt;0"),2)</f>
        <v>0.36</v>
      </c>
      <c r="F3" s="3150">
        <f t="shared" si="0"/>
        <v>0.06</v>
      </c>
      <c r="G3" s="3150">
        <f t="shared" si="0"/>
        <v>0.6</v>
      </c>
      <c r="H3" s="3150">
        <f t="shared" si="0"/>
        <v>0.6</v>
      </c>
      <c r="I3" s="3150">
        <f>F3</f>
        <v>0.06</v>
      </c>
      <c r="J3" s="3151"/>
      <c r="K3" s="3152">
        <f>ROUND(AVERAGEIF(K4:K19,"&lt;&gt;0"),4)</f>
        <v>5.8999999999999999E-3</v>
      </c>
      <c r="L3" s="3153">
        <f t="shared" ref="L3:O3" si="1">ROUND(AVERAGEIF(L4:L19,"&lt;&gt;0"),4)</f>
        <v>3.5999999999999999E-3</v>
      </c>
      <c r="M3" s="3153">
        <f t="shared" si="1"/>
        <v>5.9999999999999995E-4</v>
      </c>
      <c r="N3" s="3153">
        <f t="shared" si="1"/>
        <v>6.0000000000000001E-3</v>
      </c>
      <c r="O3" s="3153">
        <f t="shared" si="1"/>
        <v>6.0000000000000001E-3</v>
      </c>
      <c r="P3" s="3153">
        <f>M3</f>
        <v>5.9999999999999995E-4</v>
      </c>
      <c r="Q3" s="3151"/>
      <c r="R3" s="3154">
        <f>ROUND(SUMPRODUCT(PRODUCT(1+K4:K19)),4)</f>
        <v>1.0852999999999999</v>
      </c>
      <c r="S3" s="3155">
        <f t="shared" ref="S3:V3" si="2">ROUND(SUMPRODUCT(PRODUCT(1+L4:L19)),4)</f>
        <v>1.0513999999999999</v>
      </c>
      <c r="T3" s="3155">
        <f t="shared" si="2"/>
        <v>1.0083</v>
      </c>
      <c r="U3" s="3155">
        <f t="shared" si="2"/>
        <v>1.0871999999999999</v>
      </c>
      <c r="V3" s="3155">
        <f t="shared" si="2"/>
        <v>1.0880000000000001</v>
      </c>
      <c r="W3" s="3154">
        <f>T3</f>
        <v>1.0083</v>
      </c>
      <c r="X3" s="3151"/>
      <c r="Y3" s="3156">
        <f>ROUND(AVERAGEIF(Y6:Y19,"&lt;&gt;0"),4)</f>
        <v>8.3999999999999995E-3</v>
      </c>
      <c r="Z3" s="3157">
        <f t="shared" ref="Z3:AC3" si="3">ROUND(AVERAGEIF(Z6:Z19,"&lt;&gt;0"),4)</f>
        <v>3.5000000000000001E-3</v>
      </c>
      <c r="AA3" s="3158">
        <f t="shared" si="3"/>
        <v>8.0000000000000004E-4</v>
      </c>
      <c r="AB3" s="3156">
        <f t="shared" si="3"/>
        <v>9.1000000000000004E-3</v>
      </c>
      <c r="AC3" s="3159">
        <f t="shared" si="3"/>
        <v>6.1000000000000004E-3</v>
      </c>
      <c r="AD3" s="3156">
        <f>AA3</f>
        <v>8.0000000000000004E-4</v>
      </c>
    </row>
    <row r="4" spans="1:30" s="3161" customFormat="1" ht="13.2">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3.2">
      <c r="A5" s="2205" t="s">
        <v>3379</v>
      </c>
      <c r="B5" s="3176">
        <v>2024</v>
      </c>
      <c r="C5" s="3177">
        <v>3</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M5</f>
        <v>0</v>
      </c>
      <c r="Q5" s="3180"/>
      <c r="R5" s="3182">
        <f>ROUND(IF(项目基本情况!$B$8="出让",SUMPRODUCT(PRODUCT(1+K5:$K$19)),SUMPRODUCT(PRODUCT(1+K5:$K$18))),4)</f>
        <v>1.0748</v>
      </c>
      <c r="S5" s="3182">
        <f>ROUND(IF(项目基本情况!$B$8="出让",SUMPRODUCT(PRODUCT(1+L5:$L$19)),SUMPRODUCT(PRODUCT(1+L5:$L$18))),4)</f>
        <v>1.0498000000000001</v>
      </c>
      <c r="T5" s="3182">
        <f>ROUND(IF(项目基本情况!$B$8="出让",SUMPRODUCT(PRODUCT(1+M5:$M$19)),SUMPRODUCT(PRODUCT(1+M5:$M$18))),4)</f>
        <v>1.0107999999999999</v>
      </c>
      <c r="U5" s="3182">
        <f>ROUND(IF(项目基本情况!$B$8="出让",SUMPRODUCT(PRODUCT(1+N5:$N$19)),SUMPRODUCT(PRODUCT(1+N5:$N$18))),4)</f>
        <v>1.0752999999999999</v>
      </c>
      <c r="V5" s="3182">
        <f>ROUND(IF(项目基本情况!$B$8="出让",SUMPRODUCT(PRODUCT(1+O5:$O$19)),SUMPRODUCT(PRODUCT(1+O5:$O$18))),4)</f>
        <v>1.0841000000000001</v>
      </c>
      <c r="W5" s="3182">
        <f>T5</f>
        <v>1.0107999999999999</v>
      </c>
      <c r="X5" s="3180"/>
      <c r="Y5" s="3183">
        <f>IF(D5=0,0,ROUND(AVERAGE(D5:D18)/100,4))</f>
        <v>0</v>
      </c>
      <c r="Z5" s="3183">
        <f t="shared" ref="Z5" si="10">IF(E5=0,0,ROUND(AVERAGE(E5:E18)/100,4))</f>
        <v>0</v>
      </c>
      <c r="AA5" s="3183">
        <f t="shared" ref="AA5" si="11">IF(F5=0,0,ROUND(AVERAGE(F5:F18)/100,4))</f>
        <v>0</v>
      </c>
      <c r="AB5" s="3183">
        <f t="shared" ref="AB5" si="12">IF(G5=0,0,ROUND(AVERAGE(G5:G18)/100,4))</f>
        <v>0</v>
      </c>
      <c r="AC5" s="3183">
        <f t="shared" ref="AC5" si="13">IF(H5=0,0,ROUND(AVERAGE(H5:H18)/100,4))</f>
        <v>0</v>
      </c>
      <c r="AD5" s="3183">
        <f t="shared" ref="AD5" si="14">AA5</f>
        <v>0</v>
      </c>
    </row>
    <row r="6" spans="1:30" s="3194" customFormat="1" ht="13.2">
      <c r="A6" s="3185" t="s">
        <v>3380</v>
      </c>
      <c r="B6" s="3186">
        <v>2024</v>
      </c>
      <c r="C6" s="3187">
        <v>2</v>
      </c>
      <c r="D6" s="3188">
        <v>-0.59</v>
      </c>
      <c r="E6" s="3188">
        <v>-0.21</v>
      </c>
      <c r="F6" s="3188">
        <v>-1.38</v>
      </c>
      <c r="G6" s="3188">
        <v>-1.24</v>
      </c>
      <c r="H6" s="3189">
        <v>0.34</v>
      </c>
      <c r="I6" s="3190">
        <f t="shared" ref="I6:I19" si="15">F6</f>
        <v>-1.38</v>
      </c>
      <c r="J6" s="3191"/>
      <c r="K6" s="3192">
        <f t="shared" ref="K6:O19" si="16">D6/100</f>
        <v>-5.8999999999999999E-3</v>
      </c>
      <c r="L6" s="3193">
        <f t="shared" si="16"/>
        <v>-2.0999999999999999E-3</v>
      </c>
      <c r="M6" s="3193">
        <f t="shared" si="16"/>
        <v>-1.38E-2</v>
      </c>
      <c r="N6" s="3193">
        <f t="shared" si="16"/>
        <v>-1.24E-2</v>
      </c>
      <c r="O6" s="3193">
        <f t="shared" si="16"/>
        <v>3.4000000000000002E-3</v>
      </c>
      <c r="P6" s="3193">
        <f>M6</f>
        <v>-1.38E-2</v>
      </c>
      <c r="Q6" s="3191"/>
      <c r="R6" s="3191">
        <f>ROUND(IF(项目基本情况!$B$8="出让",SUMPRODUCT(PRODUCT(1+K6:$K$19)),SUMPRODUCT(PRODUCT(1+K6:$K$18))),4)</f>
        <v>1.0748</v>
      </c>
      <c r="S6" s="3191">
        <f>ROUND(IF(项目基本情况!$B$8="出让",SUMPRODUCT(PRODUCT(1+L6:$L$19)),SUMPRODUCT(PRODUCT(1+L6:$L$18))),4)</f>
        <v>1.0498000000000001</v>
      </c>
      <c r="T6" s="3191">
        <f>ROUND(IF(项目基本情况!$B$8="出让",SUMPRODUCT(PRODUCT(1+M6:$M$19)),SUMPRODUCT(PRODUCT(1+M6:$M$18))),4)</f>
        <v>1.0107999999999999</v>
      </c>
      <c r="U6" s="3191">
        <f>ROUND(IF(项目基本情况!$B$8="出让",SUMPRODUCT(PRODUCT(1+N6:$N$19)),SUMPRODUCT(PRODUCT(1+N6:$N$18))),4)</f>
        <v>1.0752999999999999</v>
      </c>
      <c r="V6" s="3191">
        <f>ROUND(IF(项目基本情况!$B$8="出让",SUMPRODUCT(PRODUCT(1+O6:$O$19)),SUMPRODUCT(PRODUCT(1+O6:$O$18))),4)</f>
        <v>1.0841000000000001</v>
      </c>
      <c r="W6" s="3191">
        <f>T6</f>
        <v>1.0107999999999999</v>
      </c>
      <c r="X6" s="3191"/>
      <c r="Y6" s="3193">
        <f>IF(D6=0,0,ROUND(AVERAGE(D6:D19)/100,4))</f>
        <v>5.8999999999999999E-3</v>
      </c>
      <c r="Z6" s="3193">
        <f t="shared" ref="Z6:AC6" si="17">IF(E6=0,0,ROUND(AVERAGE(E6:E19)/100,4))</f>
        <v>3.5999999999999999E-3</v>
      </c>
      <c r="AA6" s="3193">
        <f t="shared" si="17"/>
        <v>5.9999999999999995E-4</v>
      </c>
      <c r="AB6" s="3193">
        <f t="shared" si="17"/>
        <v>6.0000000000000001E-3</v>
      </c>
      <c r="AC6" s="3193">
        <f t="shared" si="17"/>
        <v>6.0000000000000001E-3</v>
      </c>
      <c r="AD6" s="3193">
        <f t="shared" ref="AD6:AD18" si="18">AA6</f>
        <v>5.9999999999999995E-4</v>
      </c>
    </row>
    <row r="7" spans="1:30" s="3184" customFormat="1" ht="13.2">
      <c r="A7" s="3175" t="s">
        <v>3382</v>
      </c>
      <c r="B7" s="3176">
        <v>2024</v>
      </c>
      <c r="C7" s="3177">
        <v>1</v>
      </c>
      <c r="D7" s="3178">
        <v>0.08</v>
      </c>
      <c r="E7" s="3178">
        <v>0.46</v>
      </c>
      <c r="F7" s="3178">
        <v>-0.16</v>
      </c>
      <c r="G7" s="3178">
        <v>0.26</v>
      </c>
      <c r="H7" s="3195">
        <v>0.59</v>
      </c>
      <c r="I7" s="3179">
        <v>0</v>
      </c>
      <c r="J7" s="3180"/>
      <c r="K7" s="3181">
        <f t="shared" ref="K7" si="19">D7/100</f>
        <v>8.0000000000000004E-4</v>
      </c>
      <c r="L7" s="3171">
        <f t="shared" ref="L7" si="20">E7/100</f>
        <v>4.5999999999999999E-3</v>
      </c>
      <c r="M7" s="3171">
        <f t="shared" ref="M7" si="21">F7/100</f>
        <v>-1.6000000000000001E-3</v>
      </c>
      <c r="N7" s="3171">
        <f t="shared" ref="N7" si="22">G7/100</f>
        <v>2.5999999999999999E-3</v>
      </c>
      <c r="O7" s="3171">
        <f t="shared" ref="O7" si="23">H7/100</f>
        <v>5.8999999999999999E-3</v>
      </c>
      <c r="P7" s="3171">
        <f t="shared" ref="P7" si="24">M7</f>
        <v>-1.6000000000000001E-3</v>
      </c>
      <c r="Q7" s="3180"/>
      <c r="R7" s="3182">
        <f>ROUND(IF(项目基本情况!$B$8="出让",SUMPRODUCT(PRODUCT(1+K7:$K$19)),SUMPRODUCT(PRODUCT(1+K7:$K$18))),4)</f>
        <v>1.0811999999999999</v>
      </c>
      <c r="S7" s="3182">
        <f>ROUND(IF(项目基本情况!$B$8="出让",SUMPRODUCT(PRODUCT(1+L7:$L$19)),SUMPRODUCT(PRODUCT(1+L7:$L$18))),4)</f>
        <v>1.052</v>
      </c>
      <c r="T7" s="3182">
        <f>ROUND(IF(项目基本情况!$B$8="出让",SUMPRODUCT(PRODUCT(1+M7:$M$19)),SUMPRODUCT(PRODUCT(1+M7:$M$18))),4)</f>
        <v>1.0249999999999999</v>
      </c>
      <c r="U7" s="3182">
        <f>ROUND(IF(项目基本情况!$B$8="出让",SUMPRODUCT(PRODUCT(1+N7:$N$19)),SUMPRODUCT(PRODUCT(1+N7:$N$18))),4)</f>
        <v>1.0888</v>
      </c>
      <c r="V7" s="3182">
        <f>ROUND(IF(项目基本情况!$B$8="出让",SUMPRODUCT(PRODUCT(1+O7:$O$19)),SUMPRODUCT(PRODUCT(1+O7:$O$18))),4)</f>
        <v>1.0804</v>
      </c>
      <c r="W7" s="3182">
        <f t="shared" ref="W7" si="25">T7</f>
        <v>1.0249999999999999</v>
      </c>
      <c r="X7" s="3180"/>
      <c r="Y7" s="3183"/>
      <c r="Z7" s="3183"/>
      <c r="AA7" s="3183"/>
      <c r="AB7" s="3183"/>
      <c r="AC7" s="3183"/>
      <c r="AD7" s="3183"/>
    </row>
    <row r="8" spans="1:30" s="3184" customFormat="1" ht="13.2">
      <c r="A8" s="3175" t="s">
        <v>3377</v>
      </c>
      <c r="B8" s="3176">
        <v>2023</v>
      </c>
      <c r="C8" s="3177">
        <v>4</v>
      </c>
      <c r="D8" s="3178">
        <v>0.19</v>
      </c>
      <c r="E8" s="3178">
        <v>0.24</v>
      </c>
      <c r="F8" s="3178">
        <v>-0.16</v>
      </c>
      <c r="G8" s="3178">
        <v>0.17</v>
      </c>
      <c r="H8" s="3195">
        <v>0.61</v>
      </c>
      <c r="I8" s="3179">
        <f>F8</f>
        <v>-0.16</v>
      </c>
      <c r="J8" s="3180"/>
      <c r="K8" s="3181">
        <f t="shared" si="16"/>
        <v>1.9E-3</v>
      </c>
      <c r="L8" s="3171">
        <f t="shared" si="16"/>
        <v>2.3999999999999998E-3</v>
      </c>
      <c r="M8" s="3171">
        <f t="shared" si="16"/>
        <v>-1.6000000000000001E-3</v>
      </c>
      <c r="N8" s="3171">
        <f t="shared" si="16"/>
        <v>1.7000000000000001E-3</v>
      </c>
      <c r="O8" s="3171">
        <f t="shared" si="16"/>
        <v>6.0999999999999995E-3</v>
      </c>
      <c r="P8" s="3171">
        <f t="shared" ref="P8" si="26">M8</f>
        <v>-1.6000000000000001E-3</v>
      </c>
      <c r="Q8" s="3180"/>
      <c r="R8" s="3182">
        <f>ROUND(IF(项目基本情况!$B$8="出让",SUMPRODUCT(PRODUCT(1+K8:$K$19)),SUMPRODUCT(PRODUCT(1+K8:$K$18))),4)</f>
        <v>1.0804</v>
      </c>
      <c r="S8" s="3182">
        <f>ROUND(IF(项目基本情况!$B$8="出让",SUMPRODUCT(PRODUCT(1+L8:$L$19)),SUMPRODUCT(PRODUCT(1+L8:$L$18))),4)</f>
        <v>1.0471999999999999</v>
      </c>
      <c r="T8" s="3182">
        <f>ROUND(IF(项目基本情况!$B$8="出让",SUMPRODUCT(PRODUCT(1+M8:$M$19)),SUMPRODUCT(PRODUCT(1+M8:$M$18))),4)</f>
        <v>1.0266</v>
      </c>
      <c r="U8" s="3182">
        <f>ROUND(IF(项目基本情况!$B$8="出让",SUMPRODUCT(PRODUCT(1+N8:$N$19)),SUMPRODUCT(PRODUCT(1+N8:$N$18))),4)</f>
        <v>1.0859000000000001</v>
      </c>
      <c r="V8" s="3182">
        <f>ROUND(IF(项目基本情况!$B$8="出让",SUMPRODUCT(PRODUCT(1+O8:$O$19)),SUMPRODUCT(PRODUCT(1+O8:$O$18))),4)</f>
        <v>1.0741000000000001</v>
      </c>
      <c r="W8" s="3182">
        <f t="shared" ref="W8" si="27">T8</f>
        <v>1.0266</v>
      </c>
      <c r="X8" s="3180"/>
      <c r="Y8" s="3183"/>
      <c r="Z8" s="3183"/>
      <c r="AA8" s="3183"/>
      <c r="AB8" s="3183"/>
      <c r="AC8" s="3183"/>
      <c r="AD8" s="3183"/>
    </row>
    <row r="9" spans="1:30" s="3184" customFormat="1" ht="13.2">
      <c r="A9" s="3175" t="s">
        <v>3376</v>
      </c>
      <c r="B9" s="3176">
        <v>2023</v>
      </c>
      <c r="C9" s="3177">
        <v>3</v>
      </c>
      <c r="D9" s="3178">
        <v>0.25</v>
      </c>
      <c r="E9" s="3178">
        <v>0.5</v>
      </c>
      <c r="F9" s="3178">
        <v>0.31</v>
      </c>
      <c r="G9" s="3178">
        <v>0.21</v>
      </c>
      <c r="H9" s="3195">
        <v>0.43</v>
      </c>
      <c r="I9" s="3179">
        <f t="shared" si="15"/>
        <v>0.31</v>
      </c>
      <c r="J9" s="3180"/>
      <c r="K9" s="3181">
        <f t="shared" ref="K9:K11" si="28">D9/100</f>
        <v>2.5000000000000001E-3</v>
      </c>
      <c r="L9" s="3171">
        <f t="shared" ref="L9:L11" si="29">E9/100</f>
        <v>5.0000000000000001E-3</v>
      </c>
      <c r="M9" s="3171">
        <f t="shared" ref="M9:M11" si="30">F9/100</f>
        <v>3.0999999999999999E-3</v>
      </c>
      <c r="N9" s="3171">
        <f t="shared" ref="N9:N11" si="31">G9/100</f>
        <v>2.0999999999999999E-3</v>
      </c>
      <c r="O9" s="3171">
        <f t="shared" ref="O9:O11" si="32">H9/100</f>
        <v>4.3E-3</v>
      </c>
      <c r="P9" s="3171">
        <f t="shared" ref="P9:P11" si="33">M9</f>
        <v>3.0999999999999999E-3</v>
      </c>
      <c r="Q9" s="3180"/>
      <c r="R9" s="3182">
        <f>ROUND(IF(项目基本情况!$B$8="出让",SUMPRODUCT(PRODUCT(1+K9:$K$19)),SUMPRODUCT(PRODUCT(1+K9:$K$18))),4)</f>
        <v>1.0783</v>
      </c>
      <c r="S9" s="3182">
        <f>ROUND(IF(项目基本情况!$B$8="出让",SUMPRODUCT(PRODUCT(1+L9:$L$19)),SUMPRODUCT(PRODUCT(1+L9:$L$18))),4)</f>
        <v>1.0447</v>
      </c>
      <c r="T9" s="3182">
        <f>ROUND(IF(项目基本情况!$B$8="出让",SUMPRODUCT(PRODUCT(1+M9:$M$19)),SUMPRODUCT(PRODUCT(1+M9:$M$18))),4)</f>
        <v>1.0282</v>
      </c>
      <c r="U9" s="3182">
        <f>ROUND(IF(项目基本情况!$B$8="出让",SUMPRODUCT(PRODUCT(1+N9:$N$19)),SUMPRODUCT(PRODUCT(1+N9:$N$18))),4)</f>
        <v>1.0841000000000001</v>
      </c>
      <c r="V9" s="3182">
        <f>ROUND(IF(项目基本情况!$B$8="出让",SUMPRODUCT(PRODUCT(1+O9:$O$19)),SUMPRODUCT(PRODUCT(1+O9:$O$18))),4)</f>
        <v>1.0674999999999999</v>
      </c>
      <c r="W9" s="3182">
        <f t="shared" ref="W9:W10" si="34">T9</f>
        <v>1.0282</v>
      </c>
      <c r="X9" s="3180"/>
      <c r="Y9" s="3183"/>
      <c r="Z9" s="3183"/>
      <c r="AA9" s="3183"/>
      <c r="AB9" s="3183"/>
      <c r="AC9" s="3183"/>
      <c r="AD9" s="3183"/>
    </row>
    <row r="10" spans="1:30" s="3184" customFormat="1" ht="13.2">
      <c r="A10" s="3175" t="s">
        <v>3372</v>
      </c>
      <c r="B10" s="3176">
        <v>2023</v>
      </c>
      <c r="C10" s="3177">
        <v>2</v>
      </c>
      <c r="D10" s="3178">
        <v>0.91</v>
      </c>
      <c r="E10" s="3178">
        <v>0.66</v>
      </c>
      <c r="F10" s="3178">
        <v>0.47</v>
      </c>
      <c r="G10" s="3178">
        <v>0.96</v>
      </c>
      <c r="H10" s="3195">
        <v>0.71</v>
      </c>
      <c r="I10" s="3179">
        <f t="shared" si="15"/>
        <v>0.47</v>
      </c>
      <c r="J10" s="3180"/>
      <c r="K10" s="3181">
        <f t="shared" si="28"/>
        <v>9.1000000000000004E-3</v>
      </c>
      <c r="L10" s="3171">
        <f t="shared" si="29"/>
        <v>6.6E-3</v>
      </c>
      <c r="M10" s="3171">
        <f t="shared" si="30"/>
        <v>4.6999999999999993E-3</v>
      </c>
      <c r="N10" s="3171">
        <f t="shared" si="31"/>
        <v>9.5999999999999992E-3</v>
      </c>
      <c r="O10" s="3171">
        <f t="shared" si="32"/>
        <v>7.0999999999999995E-3</v>
      </c>
      <c r="P10" s="3171">
        <f t="shared" si="33"/>
        <v>4.6999999999999993E-3</v>
      </c>
      <c r="Q10" s="3180"/>
      <c r="R10" s="3182">
        <f>ROUND(IF(项目基本情况!$B$8="出让",SUMPRODUCT(PRODUCT(1+K10:$K$19)),SUMPRODUCT(PRODUCT(1+K10:$K$18))),4)</f>
        <v>1.0755999999999999</v>
      </c>
      <c r="S10" s="3182">
        <f>ROUND(IF(项目基本情况!$B$8="出让",SUMPRODUCT(PRODUCT(1+L10:$L$19)),SUMPRODUCT(PRODUCT(1+L10:$L$18))),4)</f>
        <v>1.0395000000000001</v>
      </c>
      <c r="T10" s="3182">
        <f>ROUND(IF(项目基本情况!$B$8="出让",SUMPRODUCT(PRODUCT(1+M10:$M$19)),SUMPRODUCT(PRODUCT(1+M10:$M$18))),4)</f>
        <v>1.0250999999999999</v>
      </c>
      <c r="U10" s="3182">
        <f>ROUND(IF(项目基本情况!$B$8="出让",SUMPRODUCT(PRODUCT(1+N10:$N$19)),SUMPRODUCT(PRODUCT(1+N10:$N$18))),4)</f>
        <v>1.0818000000000001</v>
      </c>
      <c r="V10" s="3182">
        <f>ROUND(IF(项目基本情况!$B$8="出让",SUMPRODUCT(PRODUCT(1+O10:$O$19)),SUMPRODUCT(PRODUCT(1+O10:$O$18))),4)</f>
        <v>1.0629999999999999</v>
      </c>
      <c r="W10" s="3182">
        <f t="shared" si="34"/>
        <v>1.0250999999999999</v>
      </c>
      <c r="X10" s="3180"/>
      <c r="Y10" s="3183"/>
      <c r="Z10" s="3183"/>
      <c r="AA10" s="3183"/>
      <c r="AB10" s="3183"/>
      <c r="AC10" s="3183"/>
      <c r="AD10" s="3183"/>
    </row>
    <row r="11" spans="1:30" s="3184" customFormat="1" ht="13.2">
      <c r="A11" s="3175" t="s">
        <v>3371</v>
      </c>
      <c r="B11" s="3176">
        <v>2023</v>
      </c>
      <c r="C11" s="3177">
        <v>1</v>
      </c>
      <c r="D11" s="3178">
        <v>0.89</v>
      </c>
      <c r="E11" s="3178">
        <v>0.74</v>
      </c>
      <c r="F11" s="3178">
        <v>0.56999999999999995</v>
      </c>
      <c r="G11" s="3178">
        <v>0.92</v>
      </c>
      <c r="H11" s="3195">
        <v>0.5</v>
      </c>
      <c r="I11" s="3179">
        <f t="shared" si="15"/>
        <v>0.56999999999999995</v>
      </c>
      <c r="J11" s="3180"/>
      <c r="K11" s="3181">
        <f t="shared" si="28"/>
        <v>8.8999999999999999E-3</v>
      </c>
      <c r="L11" s="3171">
        <f t="shared" si="29"/>
        <v>7.4000000000000003E-3</v>
      </c>
      <c r="M11" s="3171">
        <f t="shared" si="30"/>
        <v>5.6999999999999993E-3</v>
      </c>
      <c r="N11" s="3171">
        <f t="shared" si="31"/>
        <v>9.1999999999999998E-3</v>
      </c>
      <c r="O11" s="3171">
        <f t="shared" si="32"/>
        <v>5.0000000000000001E-3</v>
      </c>
      <c r="P11" s="3171">
        <f t="shared" si="33"/>
        <v>5.6999999999999993E-3</v>
      </c>
      <c r="Q11" s="3180"/>
      <c r="R11" s="3182">
        <f>ROUND(IF(项目基本情况!$B$8="出让",SUMPRODUCT(PRODUCT(1+K11:$K$19)),SUMPRODUCT(PRODUCT(1+K11:$K$18))),4)</f>
        <v>1.0659000000000001</v>
      </c>
      <c r="S11" s="3182">
        <f>ROUND(IF(项目基本情况!$B$8="出让",SUMPRODUCT(PRODUCT(1+L11:$L$19)),SUMPRODUCT(PRODUCT(1+L11:$L$18))),4)</f>
        <v>1.0326</v>
      </c>
      <c r="T11" s="3182">
        <f>ROUND(IF(项目基本情况!$B$8="出让",SUMPRODUCT(PRODUCT(1+M11:$M$19)),SUMPRODUCT(PRODUCT(1+M11:$M$18))),4)</f>
        <v>1.0203</v>
      </c>
      <c r="U11" s="3182">
        <f>ROUND(IF(项目基本情况!$B$8="出让",SUMPRODUCT(PRODUCT(1+N11:$N$19)),SUMPRODUCT(PRODUCT(1+N11:$N$18))),4)</f>
        <v>1.0714999999999999</v>
      </c>
      <c r="V11" s="3182">
        <f>ROUND(IF(项目基本情况!$B$8="出让",SUMPRODUCT(PRODUCT(1+O11:$O$19)),SUMPRODUCT(PRODUCT(1+O11:$O$18))),4)</f>
        <v>1.0555000000000001</v>
      </c>
      <c r="W11" s="3182">
        <f t="shared" ref="W11:W18" si="35">T11</f>
        <v>1.0203</v>
      </c>
      <c r="X11" s="3180"/>
      <c r="Y11" s="3183"/>
      <c r="Z11" s="3183"/>
      <c r="AA11" s="3183"/>
      <c r="AB11" s="3183"/>
      <c r="AC11" s="3183"/>
      <c r="AD11" s="3183"/>
    </row>
    <row r="12" spans="1:30" s="3184" customFormat="1" ht="13.2">
      <c r="A12" s="3175" t="s">
        <v>3370</v>
      </c>
      <c r="B12" s="3176">
        <v>2022</v>
      </c>
      <c r="C12" s="3177">
        <v>4</v>
      </c>
      <c r="D12" s="3178">
        <v>0.62</v>
      </c>
      <c r="E12" s="3178">
        <v>0.2</v>
      </c>
      <c r="F12" s="3178">
        <v>0.11</v>
      </c>
      <c r="G12" s="3178">
        <v>0.69</v>
      </c>
      <c r="H12" s="3195">
        <v>0.53</v>
      </c>
      <c r="I12" s="3179">
        <f t="shared" si="15"/>
        <v>0.11</v>
      </c>
      <c r="J12" s="3180"/>
      <c r="K12" s="3181">
        <f t="shared" si="16"/>
        <v>6.1999999999999998E-3</v>
      </c>
      <c r="L12" s="3171">
        <f t="shared" si="16"/>
        <v>2E-3</v>
      </c>
      <c r="M12" s="3171">
        <f t="shared" si="16"/>
        <v>1.1000000000000001E-3</v>
      </c>
      <c r="N12" s="3171">
        <f t="shared" si="16"/>
        <v>6.8999999999999999E-3</v>
      </c>
      <c r="O12" s="3171">
        <f t="shared" si="16"/>
        <v>5.3E-3</v>
      </c>
      <c r="P12" s="3171">
        <f t="shared" ref="P12:P19" si="36">M12</f>
        <v>1.1000000000000001E-3</v>
      </c>
      <c r="Q12" s="3180"/>
      <c r="R12" s="3182">
        <f>ROUND(IF(项目基本情况!$B$8="出让",SUMPRODUCT(PRODUCT(1+K12:$K$19)),SUMPRODUCT(PRODUCT(1+K12:$K$18))),4)</f>
        <v>1.0565</v>
      </c>
      <c r="S12" s="3182">
        <f>ROUND(IF(项目基本情况!$B$8="出让",SUMPRODUCT(PRODUCT(1+L12:$L$19)),SUMPRODUCT(PRODUCT(1+L12:$L$18))),4)</f>
        <v>1.0250999999999999</v>
      </c>
      <c r="T12" s="3182">
        <f>ROUND(IF(项目基本情况!$B$8="出让",SUMPRODUCT(PRODUCT(1+M12:$M$19)),SUMPRODUCT(PRODUCT(1+M12:$M$18))),4)</f>
        <v>1.0145</v>
      </c>
      <c r="U12" s="3182">
        <f>ROUND(IF(项目基本情况!$B$8="出让",SUMPRODUCT(PRODUCT(1+N12:$N$19)),SUMPRODUCT(PRODUCT(1+N12:$N$18))),4)</f>
        <v>1.0618000000000001</v>
      </c>
      <c r="V12" s="3182">
        <f>ROUND(IF(项目基本情况!$B$8="出让",SUMPRODUCT(PRODUCT(1+O12:$O$19)),SUMPRODUCT(PRODUCT(1+O12:$O$18))),4)</f>
        <v>1.0502</v>
      </c>
      <c r="W12" s="3182">
        <f t="shared" si="35"/>
        <v>1.0145</v>
      </c>
      <c r="X12" s="3180"/>
      <c r="Y12" s="3183">
        <f>IF(D12=0,0,ROUND(AVERAGE(D12:D20)/100,4))</f>
        <v>8.0999999999999996E-3</v>
      </c>
      <c r="Z12" s="3183">
        <f t="shared" ref="Z12:AC12" si="37">IF(E12=0,0,ROUND(AVERAGE(E12:E19)/100,4))</f>
        <v>3.3E-3</v>
      </c>
      <c r="AA12" s="3183">
        <f t="shared" si="37"/>
        <v>1.5E-3</v>
      </c>
      <c r="AB12" s="3183">
        <f t="shared" si="37"/>
        <v>8.8999999999999999E-3</v>
      </c>
      <c r="AC12" s="3183">
        <f t="shared" si="37"/>
        <v>6.6E-3</v>
      </c>
      <c r="AD12" s="3183">
        <f t="shared" si="18"/>
        <v>1.5E-3</v>
      </c>
    </row>
    <row r="13" spans="1:30" s="3184" customFormat="1" ht="13.2">
      <c r="A13" s="3175" t="s">
        <v>3366</v>
      </c>
      <c r="B13" s="3176">
        <v>2022</v>
      </c>
      <c r="C13" s="3177">
        <v>3</v>
      </c>
      <c r="D13" s="3178">
        <v>0.66</v>
      </c>
      <c r="E13" s="3178">
        <v>0.32</v>
      </c>
      <c r="F13" s="3178">
        <v>0.23</v>
      </c>
      <c r="G13" s="3178">
        <v>0.72</v>
      </c>
      <c r="H13" s="3195">
        <v>0.63</v>
      </c>
      <c r="I13" s="3179">
        <f t="shared" si="15"/>
        <v>0.23</v>
      </c>
      <c r="J13" s="3180"/>
      <c r="K13" s="3181">
        <f t="shared" si="16"/>
        <v>6.6E-3</v>
      </c>
      <c r="L13" s="3171">
        <f t="shared" si="16"/>
        <v>3.2000000000000002E-3</v>
      </c>
      <c r="M13" s="3171">
        <f t="shared" si="16"/>
        <v>2.3E-3</v>
      </c>
      <c r="N13" s="3171">
        <f t="shared" si="16"/>
        <v>7.1999999999999998E-3</v>
      </c>
      <c r="O13" s="3171">
        <f t="shared" si="16"/>
        <v>6.3E-3</v>
      </c>
      <c r="P13" s="3171">
        <f t="shared" si="36"/>
        <v>2.3E-3</v>
      </c>
      <c r="Q13" s="3180"/>
      <c r="R13" s="3182">
        <f>ROUND(IF(项目基本情况!$B$8="出让",SUMPRODUCT(PRODUCT(1+K13:$K$19)),SUMPRODUCT(PRODUCT(1+K13:$K$18))),4)</f>
        <v>1.05</v>
      </c>
      <c r="S13" s="3182">
        <f>ROUND(IF(项目基本情况!$B$8="出让",SUMPRODUCT(PRODUCT(1+L13:$L$19)),SUMPRODUCT(PRODUCT(1+L13:$L$18))),4)</f>
        <v>1.0229999999999999</v>
      </c>
      <c r="T13" s="3182">
        <f>ROUND(IF(项目基本情况!$B$8="出让",SUMPRODUCT(PRODUCT(1+M13:$M$19)),SUMPRODUCT(PRODUCT(1+M13:$M$18))),4)</f>
        <v>1.0134000000000001</v>
      </c>
      <c r="U13" s="3182">
        <f>ROUND(IF(项目基本情况!$B$8="出让",SUMPRODUCT(PRODUCT(1+N13:$N$19)),SUMPRODUCT(PRODUCT(1+N13:$N$18))),4)</f>
        <v>1.0545</v>
      </c>
      <c r="V13" s="3182">
        <f>ROUND(IF(项目基本情况!$B$8="出让",SUMPRODUCT(PRODUCT(1+O13:$O$19)),SUMPRODUCT(PRODUCT(1+O13:$O$18))),4)</f>
        <v>1.0447</v>
      </c>
      <c r="W13" s="3182">
        <f t="shared" si="35"/>
        <v>1.0134000000000001</v>
      </c>
      <c r="X13" s="3180"/>
      <c r="Y13" s="3183">
        <f>IF(D13=0,0,ROUND(AVERAGE(D13:D19)/100,4))</f>
        <v>8.3999999999999995E-3</v>
      </c>
      <c r="Z13" s="3183">
        <f t="shared" ref="Z13:AC13" si="38">IF(E13=0,0,ROUND(AVERAGE(E13:E19)/100,4))</f>
        <v>3.5000000000000001E-3</v>
      </c>
      <c r="AA13" s="3183">
        <f t="shared" si="38"/>
        <v>1.5E-3</v>
      </c>
      <c r="AB13" s="3183">
        <f t="shared" si="38"/>
        <v>9.1999999999999998E-3</v>
      </c>
      <c r="AC13" s="3183">
        <f t="shared" si="38"/>
        <v>6.7999999999999996E-3</v>
      </c>
      <c r="AD13" s="3183">
        <f t="shared" si="18"/>
        <v>1.5E-3</v>
      </c>
    </row>
    <row r="14" spans="1:30" s="3184" customFormat="1" ht="13.2">
      <c r="A14" s="3175" t="s">
        <v>3357</v>
      </c>
      <c r="B14" s="3176">
        <v>2022</v>
      </c>
      <c r="C14" s="3177">
        <v>2</v>
      </c>
      <c r="D14" s="3178">
        <v>0.93</v>
      </c>
      <c r="E14" s="3178">
        <v>0.15</v>
      </c>
      <c r="F14" s="3178">
        <v>0.01</v>
      </c>
      <c r="G14" s="3178">
        <v>1.05</v>
      </c>
      <c r="H14" s="3195">
        <v>1.08</v>
      </c>
      <c r="I14" s="3179">
        <f t="shared" si="15"/>
        <v>0.01</v>
      </c>
      <c r="J14" s="3180"/>
      <c r="K14" s="3181">
        <f t="shared" si="16"/>
        <v>9.300000000000001E-3</v>
      </c>
      <c r="L14" s="3171">
        <f t="shared" si="16"/>
        <v>1.5E-3</v>
      </c>
      <c r="M14" s="3171">
        <f t="shared" si="16"/>
        <v>1E-4</v>
      </c>
      <c r="N14" s="3171">
        <f t="shared" si="16"/>
        <v>1.0500000000000001E-2</v>
      </c>
      <c r="O14" s="3171">
        <f t="shared" si="16"/>
        <v>1.0800000000000001E-2</v>
      </c>
      <c r="P14" s="3171">
        <f t="shared" si="36"/>
        <v>1E-4</v>
      </c>
      <c r="Q14" s="3180"/>
      <c r="R14" s="3182">
        <f>ROUND(IF(项目基本情况!$B$8="出让",SUMPRODUCT(PRODUCT(1+K14:$K$19)),SUMPRODUCT(PRODUCT(1+K14:$K$18))),4)</f>
        <v>1.0430999999999999</v>
      </c>
      <c r="S14" s="3182">
        <f>ROUND(IF(项目基本情况!$B$8="出让",SUMPRODUCT(PRODUCT(1+L14:$L$19)),SUMPRODUCT(PRODUCT(1+L14:$L$18))),4)</f>
        <v>1.0197000000000001</v>
      </c>
      <c r="T14" s="3182">
        <f>ROUND(IF(项目基本情况!$B$8="出让",SUMPRODUCT(PRODUCT(1+M14:$M$19)),SUMPRODUCT(PRODUCT(1+M14:$M$18))),4)</f>
        <v>1.0109999999999999</v>
      </c>
      <c r="U14" s="3182">
        <f>ROUND(IF(项目基本情况!$B$8="出让",SUMPRODUCT(PRODUCT(1+N14:$N$19)),SUMPRODUCT(PRODUCT(1+N14:$N$18))),4)</f>
        <v>1.0468999999999999</v>
      </c>
      <c r="V14" s="3182">
        <f>ROUND(IF(项目基本情况!$B$8="出让",SUMPRODUCT(PRODUCT(1+O14:$O$19)),SUMPRODUCT(PRODUCT(1+O14:$O$18))),4)</f>
        <v>1.0382</v>
      </c>
      <c r="W14" s="3182">
        <f t="shared" si="35"/>
        <v>1.0109999999999999</v>
      </c>
      <c r="X14" s="3180"/>
      <c r="Y14" s="3183">
        <f>IF(D14=0,0,ROUND(AVERAGE(D14:D19)/100,4))</f>
        <v>8.6999999999999994E-3</v>
      </c>
      <c r="Z14" s="3183">
        <f t="shared" ref="Z14:AC14" si="39">IF(E14=0,0,ROUND(AVERAGE(E14:E19)/100,4))</f>
        <v>3.5000000000000001E-3</v>
      </c>
      <c r="AA14" s="3183">
        <f t="shared" si="39"/>
        <v>1.4E-3</v>
      </c>
      <c r="AB14" s="3183">
        <f t="shared" si="39"/>
        <v>9.4999999999999998E-3</v>
      </c>
      <c r="AC14" s="3183">
        <f t="shared" si="39"/>
        <v>6.8999999999999999E-3</v>
      </c>
      <c r="AD14" s="3183">
        <f t="shared" si="18"/>
        <v>1.4E-3</v>
      </c>
    </row>
    <row r="15" spans="1:30" s="3184" customFormat="1" ht="13.2">
      <c r="A15" s="3175" t="s">
        <v>2822</v>
      </c>
      <c r="B15" s="3176">
        <v>2022</v>
      </c>
      <c r="C15" s="3177">
        <v>1</v>
      </c>
      <c r="D15" s="3178">
        <v>0.89</v>
      </c>
      <c r="E15" s="3178">
        <v>0.44</v>
      </c>
      <c r="F15" s="3178">
        <v>0.37</v>
      </c>
      <c r="G15" s="3178">
        <v>0.96</v>
      </c>
      <c r="H15" s="3195">
        <v>0.64</v>
      </c>
      <c r="I15" s="3179">
        <f t="shared" si="15"/>
        <v>0.37</v>
      </c>
      <c r="J15" s="3180"/>
      <c r="K15" s="3181">
        <f t="shared" si="16"/>
        <v>8.8999999999999999E-3</v>
      </c>
      <c r="L15" s="3171">
        <f t="shared" si="16"/>
        <v>4.4000000000000003E-3</v>
      </c>
      <c r="M15" s="3171">
        <f t="shared" si="16"/>
        <v>3.7000000000000002E-3</v>
      </c>
      <c r="N15" s="3171">
        <f t="shared" si="16"/>
        <v>9.5999999999999992E-3</v>
      </c>
      <c r="O15" s="3171">
        <f t="shared" si="16"/>
        <v>6.4000000000000003E-3</v>
      </c>
      <c r="P15" s="3171">
        <f t="shared" si="36"/>
        <v>3.7000000000000002E-3</v>
      </c>
      <c r="Q15" s="3180"/>
      <c r="R15" s="3182">
        <f>ROUND(IF(项目基本情况!$B$8="出让",SUMPRODUCT(PRODUCT(1+K15:$K$19)),SUMPRODUCT(PRODUCT(1+K15:$K$18))),4)</f>
        <v>1.0335000000000001</v>
      </c>
      <c r="S15" s="3182">
        <f>ROUND(IF(项目基本情况!$B$8="出让",SUMPRODUCT(PRODUCT(1+L15:$L$19)),SUMPRODUCT(PRODUCT(1+L15:$L$18))),4)</f>
        <v>1.0182</v>
      </c>
      <c r="T15" s="3182">
        <f>ROUND(IF(项目基本情况!$B$8="出让",SUMPRODUCT(PRODUCT(1+M15:$M$19)),SUMPRODUCT(PRODUCT(1+M15:$M$18))),4)</f>
        <v>1.0108999999999999</v>
      </c>
      <c r="U15" s="3182">
        <f>ROUND(IF(项目基本情况!$B$8="出让",SUMPRODUCT(PRODUCT(1+N15:$N$19)),SUMPRODUCT(PRODUCT(1+N15:$N$18))),4)</f>
        <v>1.0361</v>
      </c>
      <c r="V15" s="3182">
        <f>ROUND(IF(项目基本情况!$B$8="出让",SUMPRODUCT(PRODUCT(1+O15:$O$19)),SUMPRODUCT(PRODUCT(1+O15:$O$18))),4)</f>
        <v>1.0270999999999999</v>
      </c>
      <c r="W15" s="3182">
        <f t="shared" si="35"/>
        <v>1.0108999999999999</v>
      </c>
      <c r="X15" s="3180"/>
      <c r="Y15" s="3183">
        <f>IF(D15=0,0,ROUND(AVERAGE(D15:D19)/100,4))</f>
        <v>8.6E-3</v>
      </c>
      <c r="Z15" s="3183">
        <f t="shared" ref="Z15:AC15" si="40">IF(E15=0,0,ROUND(AVERAGE(E15:E19)/100,4))</f>
        <v>3.8999999999999998E-3</v>
      </c>
      <c r="AA15" s="3183">
        <f t="shared" si="40"/>
        <v>1.6999999999999999E-3</v>
      </c>
      <c r="AB15" s="3183">
        <f t="shared" si="40"/>
        <v>9.2999999999999992E-3</v>
      </c>
      <c r="AC15" s="3183">
        <f t="shared" si="40"/>
        <v>6.1000000000000004E-3</v>
      </c>
      <c r="AD15" s="3183">
        <f t="shared" si="18"/>
        <v>1.6999999999999999E-3</v>
      </c>
    </row>
    <row r="16" spans="1:30" s="3184" customFormat="1" ht="13.2">
      <c r="A16" s="3175" t="s">
        <v>2823</v>
      </c>
      <c r="B16" s="3176">
        <v>2021</v>
      </c>
      <c r="C16" s="3177">
        <v>4</v>
      </c>
      <c r="D16" s="3178">
        <v>1.03</v>
      </c>
      <c r="E16" s="3178">
        <v>0.24</v>
      </c>
      <c r="F16" s="3178">
        <v>7.0000000000000007E-2</v>
      </c>
      <c r="G16" s="3178">
        <v>1.17</v>
      </c>
      <c r="H16" s="3195">
        <v>0.55000000000000004</v>
      </c>
      <c r="I16" s="3179">
        <f t="shared" si="15"/>
        <v>7.0000000000000007E-2</v>
      </c>
      <c r="J16" s="3180"/>
      <c r="K16" s="3181">
        <f t="shared" si="16"/>
        <v>1.03E-2</v>
      </c>
      <c r="L16" s="3171">
        <f t="shared" si="16"/>
        <v>2.3999999999999998E-3</v>
      </c>
      <c r="M16" s="3171">
        <f t="shared" si="16"/>
        <v>7.000000000000001E-4</v>
      </c>
      <c r="N16" s="3171">
        <f t="shared" si="16"/>
        <v>1.1699999999999999E-2</v>
      </c>
      <c r="O16" s="3171">
        <f t="shared" si="16"/>
        <v>5.5000000000000005E-3</v>
      </c>
      <c r="P16" s="3171">
        <f t="shared" si="36"/>
        <v>7.000000000000001E-4</v>
      </c>
      <c r="Q16" s="3180"/>
      <c r="R16" s="3182">
        <f>ROUND(IF(项目基本情况!$B$8="出让",SUMPRODUCT(PRODUCT(1+K16:$K$19)),SUMPRODUCT(PRODUCT(1+K16:$K$18))),4)</f>
        <v>1.0244</v>
      </c>
      <c r="S16" s="3182">
        <f>ROUND(IF(项目基本情况!$B$8="出让",SUMPRODUCT(PRODUCT(1+L16:$L$19)),SUMPRODUCT(PRODUCT(1+L16:$L$18))),4)</f>
        <v>1.0138</v>
      </c>
      <c r="T16" s="3182">
        <f>ROUND(IF(项目基本情况!$B$8="出让",SUMPRODUCT(PRODUCT(1+M16:$M$19)),SUMPRODUCT(PRODUCT(1+M16:$M$18))),4)</f>
        <v>1.0072000000000001</v>
      </c>
      <c r="U16" s="3182">
        <f>ROUND(IF(项目基本情况!$B$8="出让",SUMPRODUCT(PRODUCT(1+N16:$N$19)),SUMPRODUCT(PRODUCT(1+N16:$N$18))),4)</f>
        <v>1.0262</v>
      </c>
      <c r="V16" s="3182">
        <f>ROUND(IF(项目基本情况!$B$8="出让",SUMPRODUCT(PRODUCT(1+O16:$O$19)),SUMPRODUCT(PRODUCT(1+O16:$O$18))),4)</f>
        <v>1.0205</v>
      </c>
      <c r="W16" s="3182">
        <f t="shared" si="35"/>
        <v>1.0072000000000001</v>
      </c>
      <c r="X16" s="3180"/>
      <c r="Y16" s="3183">
        <f>IF(D16=0,0,ROUND(AVERAGE(D16:D19)/100,4))</f>
        <v>8.5000000000000006E-3</v>
      </c>
      <c r="Z16" s="3183">
        <f t="shared" ref="Z16:AC16" si="41">IF(E16=0,0,ROUND(AVERAGE(E16:E19)/100,4))</f>
        <v>3.8E-3</v>
      </c>
      <c r="AA16" s="3183">
        <f t="shared" si="41"/>
        <v>1.1999999999999999E-3</v>
      </c>
      <c r="AB16" s="3183">
        <f t="shared" si="41"/>
        <v>9.2999999999999992E-3</v>
      </c>
      <c r="AC16" s="3183">
        <f t="shared" si="41"/>
        <v>6.0000000000000001E-3</v>
      </c>
      <c r="AD16" s="3183">
        <f t="shared" si="18"/>
        <v>1.1999999999999999E-3</v>
      </c>
    </row>
    <row r="17" spans="1:30" s="3184" customFormat="1" ht="13.2">
      <c r="A17" s="3175" t="s">
        <v>2824</v>
      </c>
      <c r="B17" s="3176">
        <v>2021</v>
      </c>
      <c r="C17" s="3177">
        <v>3</v>
      </c>
      <c r="D17" s="3178">
        <v>0.47</v>
      </c>
      <c r="E17" s="3178">
        <v>0.41</v>
      </c>
      <c r="F17" s="3178">
        <v>0.24</v>
      </c>
      <c r="G17" s="3178">
        <v>0.48</v>
      </c>
      <c r="H17" s="3195">
        <v>0.48</v>
      </c>
      <c r="I17" s="3179">
        <f t="shared" si="15"/>
        <v>0.24</v>
      </c>
      <c r="J17" s="3180"/>
      <c r="K17" s="3181">
        <f t="shared" si="16"/>
        <v>4.6999999999999993E-3</v>
      </c>
      <c r="L17" s="3171">
        <f t="shared" si="16"/>
        <v>4.0999999999999995E-3</v>
      </c>
      <c r="M17" s="3171">
        <f t="shared" si="16"/>
        <v>2.3999999999999998E-3</v>
      </c>
      <c r="N17" s="3171">
        <f t="shared" si="16"/>
        <v>4.7999999999999996E-3</v>
      </c>
      <c r="O17" s="3171">
        <f t="shared" si="16"/>
        <v>4.7999999999999996E-3</v>
      </c>
      <c r="P17" s="3171">
        <f t="shared" si="36"/>
        <v>2.3999999999999998E-3</v>
      </c>
      <c r="Q17" s="3180"/>
      <c r="R17" s="3182">
        <f>ROUND(IF(项目基本情况!$B$8="出让",SUMPRODUCT(PRODUCT(1+K17:$K$19)),SUMPRODUCT(PRODUCT(1+K17:$K$18))),4)</f>
        <v>1.0139</v>
      </c>
      <c r="S17" s="3182">
        <f>ROUND(IF(项目基本情况!$B$8="出让",SUMPRODUCT(PRODUCT(1+L17:$L$19)),SUMPRODUCT(PRODUCT(1+L17:$L$18))),4)</f>
        <v>1.0113000000000001</v>
      </c>
      <c r="T17" s="3182">
        <f>ROUND(IF(项目基本情况!$B$8="出让",SUMPRODUCT(PRODUCT(1+M17:$M$19)),SUMPRODUCT(PRODUCT(1+M17:$M$18))),4)</f>
        <v>1.0065</v>
      </c>
      <c r="U17" s="3182">
        <f>ROUND(IF(项目基本情况!$B$8="出让",SUMPRODUCT(PRODUCT(1+N17:$N$19)),SUMPRODUCT(PRODUCT(1+N17:$N$18))),4)</f>
        <v>1.0143</v>
      </c>
      <c r="V17" s="3182">
        <f>ROUND(IF(项目基本情况!$B$8="出让",SUMPRODUCT(PRODUCT(1+O17:$O$19)),SUMPRODUCT(PRODUCT(1+O17:$O$18))),4)</f>
        <v>1.0148999999999999</v>
      </c>
      <c r="W17" s="3182">
        <f t="shared" si="35"/>
        <v>1.0065</v>
      </c>
      <c r="X17" s="3180"/>
      <c r="Y17" s="3183">
        <f>IF(D17=0,0,ROUND(AVERAGE(D17:D19)/100,4))</f>
        <v>7.9000000000000008E-3</v>
      </c>
      <c r="Z17" s="3183">
        <f>IF(E17=0,0,ROUND(AVERAGE(E17:E19)/100,4))</f>
        <v>4.3E-3</v>
      </c>
      <c r="AA17" s="3183">
        <f>IF(F17=0,0,ROUND(AVERAGE(F17:F19)/100,4))</f>
        <v>1.2999999999999999E-3</v>
      </c>
      <c r="AB17" s="3183">
        <f>IF(G17=0,0,ROUND(AVERAGE(G17:G19)/100,4))</f>
        <v>8.5000000000000006E-3</v>
      </c>
      <c r="AC17" s="3183">
        <f>IF(H17=0,0,ROUND(AVERAGE(H17:H19)/100,4))</f>
        <v>6.1999999999999998E-3</v>
      </c>
      <c r="AD17" s="3183">
        <f t="shared" si="18"/>
        <v>1.2999999999999999E-3</v>
      </c>
    </row>
    <row r="18" spans="1:30" s="3184" customFormat="1" ht="13.2">
      <c r="A18" s="3175" t="s">
        <v>2825</v>
      </c>
      <c r="B18" s="3176">
        <v>2021</v>
      </c>
      <c r="C18" s="3177">
        <v>2</v>
      </c>
      <c r="D18" s="3178">
        <v>0.92</v>
      </c>
      <c r="E18" s="3178">
        <v>0.72</v>
      </c>
      <c r="F18" s="3178">
        <v>0.41</v>
      </c>
      <c r="G18" s="3178">
        <v>0.95</v>
      </c>
      <c r="H18" s="3195">
        <v>1.01</v>
      </c>
      <c r="I18" s="3179">
        <f t="shared" si="15"/>
        <v>0.41</v>
      </c>
      <c r="J18" s="3180"/>
      <c r="K18" s="3181">
        <f t="shared" si="16"/>
        <v>9.1999999999999998E-3</v>
      </c>
      <c r="L18" s="3171">
        <f t="shared" si="16"/>
        <v>7.1999999999999998E-3</v>
      </c>
      <c r="M18" s="3171">
        <f t="shared" si="16"/>
        <v>4.0999999999999995E-3</v>
      </c>
      <c r="N18" s="3171">
        <f t="shared" si="16"/>
        <v>9.4999999999999998E-3</v>
      </c>
      <c r="O18" s="3171">
        <f t="shared" si="16"/>
        <v>1.01E-2</v>
      </c>
      <c r="P18" s="3171">
        <f t="shared" si="36"/>
        <v>4.0999999999999995E-3</v>
      </c>
      <c r="Q18" s="3180"/>
      <c r="R18" s="3182">
        <f>ROUND(IF(项目基本情况!$B$8="出让",SUMPRODUCT(PRODUCT(1+K18:$K$19)),SUMPRODUCT(PRODUCT(1+K18:$K$18))),4)</f>
        <v>1.0092000000000001</v>
      </c>
      <c r="S18" s="3182">
        <f>ROUND(IF(项目基本情况!$B$8="出让",SUMPRODUCT(PRODUCT(1+L18:$L$19)),SUMPRODUCT(PRODUCT(1+L18:$L$18))),4)</f>
        <v>1.0072000000000001</v>
      </c>
      <c r="T18" s="3182">
        <f>ROUND(IF(项目基本情况!$B$8="出让",SUMPRODUCT(PRODUCT(1+M18:$M$19)),SUMPRODUCT(PRODUCT(1+M18:$M$18))),4)</f>
        <v>1.0041</v>
      </c>
      <c r="U18" s="3182">
        <f>ROUND(IF(项目基本情况!$B$8="出让",SUMPRODUCT(PRODUCT(1+N18:$N$19)),SUMPRODUCT(PRODUCT(1+N18:$N$18))),4)</f>
        <v>1.0095000000000001</v>
      </c>
      <c r="V18" s="3182">
        <f>ROUND(IF(项目基本情况!$B$8="出让",SUMPRODUCT(PRODUCT(1+O18:$O$19)),SUMPRODUCT(PRODUCT(1+O18:$O$18))),4)</f>
        <v>1.0101</v>
      </c>
      <c r="W18" s="3182">
        <f t="shared" si="35"/>
        <v>1.0041</v>
      </c>
      <c r="X18" s="3180"/>
      <c r="Y18" s="3183">
        <f>IF(D18=0,0,ROUND(AVERAGE(D18:D19)/100,4))</f>
        <v>9.4999999999999998E-3</v>
      </c>
      <c r="Z18" s="3183">
        <f>IF(E18=0,0,ROUND(AVERAGE(E18:E19)/100,4))</f>
        <v>4.4000000000000003E-3</v>
      </c>
      <c r="AA18" s="3183">
        <f>IF(F18=0,0,ROUND(AVERAGE(F18:F19)/100,4))</f>
        <v>8.0000000000000004E-4</v>
      </c>
      <c r="AB18" s="3183">
        <f>IF(G18=0,0,ROUND(AVERAGE(G18:G19)/100,4))</f>
        <v>1.03E-2</v>
      </c>
      <c r="AC18" s="3183">
        <f>IF(H18=0,0,ROUND(AVERAGE(H18:H19)/100,4))</f>
        <v>6.8999999999999999E-3</v>
      </c>
      <c r="AD18" s="3183">
        <f t="shared" si="18"/>
        <v>8.0000000000000004E-4</v>
      </c>
    </row>
    <row r="19" spans="1:30" s="3206" customFormat="1" ht="13.8" thickBot="1">
      <c r="A19" s="3196" t="s">
        <v>2826</v>
      </c>
      <c r="B19" s="3197">
        <v>2021</v>
      </c>
      <c r="C19" s="3198">
        <v>1</v>
      </c>
      <c r="D19" s="3199">
        <v>0.97</v>
      </c>
      <c r="E19" s="3199">
        <v>0.16</v>
      </c>
      <c r="F19" s="3199">
        <v>-0.25</v>
      </c>
      <c r="G19" s="3199">
        <v>1.1100000000000001</v>
      </c>
      <c r="H19" s="3200">
        <v>0.36</v>
      </c>
      <c r="I19" s="3201">
        <f t="shared" si="15"/>
        <v>-0.25</v>
      </c>
      <c r="J19" s="3202"/>
      <c r="K19" s="3203">
        <f t="shared" si="16"/>
        <v>9.7000000000000003E-3</v>
      </c>
      <c r="L19" s="3204">
        <f t="shared" si="16"/>
        <v>1.6000000000000001E-3</v>
      </c>
      <c r="M19" s="3204">
        <f>F19/100</f>
        <v>-2.5000000000000001E-3</v>
      </c>
      <c r="N19" s="3204">
        <f t="shared" si="16"/>
        <v>1.11E-2</v>
      </c>
      <c r="O19" s="3204">
        <f t="shared" si="16"/>
        <v>3.5999999999999999E-3</v>
      </c>
      <c r="P19" s="3204">
        <f t="shared" si="36"/>
        <v>-2.5000000000000001E-3</v>
      </c>
      <c r="Q19" s="3202"/>
      <c r="R19" s="3205">
        <v>1</v>
      </c>
      <c r="S19" s="3205">
        <v>1</v>
      </c>
      <c r="T19" s="3205">
        <v>1</v>
      </c>
      <c r="U19" s="3205">
        <v>1</v>
      </c>
      <c r="V19" s="3205">
        <v>1</v>
      </c>
      <c r="W19" s="3205">
        <f t="shared" ref="W19" si="42">T19</f>
        <v>1</v>
      </c>
      <c r="X19" s="3202"/>
      <c r="Y19" s="3204">
        <f>IF(D19=0,0,ROUND(AVERAGE(D19:D19)/100,4))</f>
        <v>9.7000000000000003E-3</v>
      </c>
      <c r="Z19" s="3204">
        <f>IF(E19=0,0,ROUND(AVERAGE(E19:E19)/100,4))</f>
        <v>1.6000000000000001E-3</v>
      </c>
      <c r="AA19" s="3204">
        <f>IF(F19=0,0,ROUND(AVERAGE(F19:F19)/100,4))</f>
        <v>-2.5000000000000001E-3</v>
      </c>
      <c r="AB19" s="3204">
        <f>IF(G19=0,0,ROUND(AVERAGE(G19:G19)/100,4))</f>
        <v>1.11E-2</v>
      </c>
      <c r="AC19" s="3204">
        <f>IF(H19=0,0,ROUND(AVERAGE(H19:H19)/100,4))</f>
        <v>3.5999999999999999E-3</v>
      </c>
      <c r="AD19" s="3204">
        <f>AA19</f>
        <v>-2.5000000000000001E-3</v>
      </c>
    </row>
    <row r="20" spans="1:30" s="3008" customFormat="1" ht="15" thickTop="1"/>
    <row r="21" spans="1:30" s="3008" customFormat="1">
      <c r="A21" s="3447" t="s">
        <v>3368</v>
      </c>
    </row>
    <row r="22" spans="1:30" s="3008" customFormat="1">
      <c r="I22" s="3207" t="s">
        <v>2827</v>
      </c>
    </row>
    <row r="23" spans="1:30" s="3008" customFormat="1"/>
    <row r="24" spans="1:30" s="3208" customFormat="1" ht="13.2">
      <c r="B24" s="3209" t="s">
        <v>3374</v>
      </c>
      <c r="C24" s="3210"/>
      <c r="D24" s="3210"/>
      <c r="E24" s="3210"/>
      <c r="F24" s="3210"/>
      <c r="G24" s="3210"/>
      <c r="H24" s="3210"/>
      <c r="I24" s="3210"/>
      <c r="J24" s="3164"/>
      <c r="K24" s="3210" t="s">
        <v>2828</v>
      </c>
      <c r="L24" s="3210"/>
      <c r="M24" s="3210"/>
      <c r="N24" s="3210"/>
      <c r="O24" s="3210"/>
      <c r="P24" s="3210"/>
      <c r="Q24" s="3164"/>
      <c r="R24" s="3775" t="s">
        <v>2829</v>
      </c>
      <c r="S24" s="3776"/>
      <c r="T24" s="3776"/>
      <c r="U24" s="3776"/>
      <c r="V24" s="3776"/>
      <c r="W24" s="3776"/>
      <c r="X24" s="3164"/>
      <c r="Y24" s="3775" t="s">
        <v>2830</v>
      </c>
      <c r="Z24" s="3776"/>
      <c r="AA24" s="3776"/>
      <c r="AB24" s="3776"/>
      <c r="AC24" s="3776"/>
      <c r="AD24" s="3776"/>
    </row>
    <row r="25" spans="1:30" s="3142" customFormat="1" ht="15" thickBot="1">
      <c r="B25" s="3143"/>
      <c r="C25" s="3144"/>
      <c r="D25" s="3145" t="s">
        <v>2831</v>
      </c>
      <c r="E25" s="3146" t="s">
        <v>2832</v>
      </c>
      <c r="F25" s="3146" t="s">
        <v>2833</v>
      </c>
      <c r="G25" s="3146" t="s">
        <v>2834</v>
      </c>
      <c r="H25" s="3146"/>
      <c r="I25" s="3146" t="s">
        <v>2835</v>
      </c>
      <c r="J25" s="3147"/>
      <c r="K25" s="3145" t="s">
        <v>2831</v>
      </c>
      <c r="L25" s="3146" t="s">
        <v>2832</v>
      </c>
      <c r="M25" s="3146" t="s">
        <v>2833</v>
      </c>
      <c r="N25" s="3146" t="s">
        <v>2834</v>
      </c>
      <c r="O25" s="3146"/>
      <c r="P25" s="3146" t="s">
        <v>2835</v>
      </c>
      <c r="Q25" s="3147"/>
      <c r="R25" s="3145" t="s">
        <v>2831</v>
      </c>
      <c r="S25" s="3146" t="s">
        <v>2832</v>
      </c>
      <c r="T25" s="3146" t="s">
        <v>2833</v>
      </c>
      <c r="U25" s="3146" t="s">
        <v>2834</v>
      </c>
      <c r="V25" s="3146"/>
      <c r="W25" s="3146" t="s">
        <v>2835</v>
      </c>
      <c r="X25" s="3147"/>
      <c r="Y25" s="3145" t="s">
        <v>2831</v>
      </c>
      <c r="Z25" s="3146" t="s">
        <v>2832</v>
      </c>
      <c r="AA25" s="3146" t="s">
        <v>2833</v>
      </c>
      <c r="AB25" s="3146" t="s">
        <v>2834</v>
      </c>
      <c r="AC25" s="3146"/>
      <c r="AD25" s="3146" t="s">
        <v>2835</v>
      </c>
    </row>
    <row r="26" spans="1:30" s="3160" customFormat="1" ht="13.2">
      <c r="A26" s="3148" t="s">
        <v>2836</v>
      </c>
      <c r="B26" s="3149"/>
      <c r="C26" s="3150"/>
      <c r="D26" s="3150"/>
      <c r="E26" s="3150">
        <f t="shared" ref="E26:G26" si="43">ROUND(AVERAGEIF(E27:E42,"&lt;&gt;0"),2)</f>
        <v>0.33</v>
      </c>
      <c r="F26" s="3150">
        <f t="shared" si="43"/>
        <v>0.24</v>
      </c>
      <c r="G26" s="3150">
        <f t="shared" si="43"/>
        <v>0.62</v>
      </c>
      <c r="H26" s="3150"/>
      <c r="I26" s="3150">
        <f>F26</f>
        <v>0.24</v>
      </c>
      <c r="J26" s="3151"/>
      <c r="K26" s="3152"/>
      <c r="L26" s="3153">
        <f t="shared" ref="L26:N26" si="44">ROUND(AVERAGEIF(L27:L42,"&lt;&gt;0"),4)</f>
        <v>3.3E-3</v>
      </c>
      <c r="M26" s="3153">
        <f t="shared" si="44"/>
        <v>2.3999999999999998E-3</v>
      </c>
      <c r="N26" s="3153">
        <f t="shared" si="44"/>
        <v>6.1999999999999998E-3</v>
      </c>
      <c r="O26" s="3153"/>
      <c r="P26" s="3153">
        <f>M26</f>
        <v>2.3999999999999998E-3</v>
      </c>
      <c r="Q26" s="3151"/>
      <c r="R26" s="3154"/>
      <c r="S26" s="3155">
        <f>ROUND(SUMPRODUCT(PRODUCT(1+L27:L42)),4)</f>
        <v>1.0468999999999999</v>
      </c>
      <c r="T26" s="3155">
        <f t="shared" ref="T26:U26" si="45">ROUND(SUMPRODUCT(PRODUCT(1+M27:M42)),4)</f>
        <v>1.0347</v>
      </c>
      <c r="U26" s="3155">
        <f t="shared" si="45"/>
        <v>1.0895999999999999</v>
      </c>
      <c r="V26" s="3155"/>
      <c r="W26" s="3154">
        <f>T26</f>
        <v>1.0347</v>
      </c>
      <c r="X26" s="3151"/>
      <c r="Y26" s="3156"/>
      <c r="Z26" s="3157">
        <f t="shared" ref="Z26:AB26" si="46">ROUND(AVERAGEIF(Z27:Z42,"&lt;&gt;0"),4)</f>
        <v>4.1999999999999997E-3</v>
      </c>
      <c r="AA26" s="3158">
        <f t="shared" si="46"/>
        <v>3.3999999999999998E-3</v>
      </c>
      <c r="AB26" s="3156">
        <f t="shared" si="46"/>
        <v>8.6E-3</v>
      </c>
      <c r="AC26" s="3159"/>
      <c r="AD26" s="3156">
        <f>AA26</f>
        <v>3.3999999999999998E-3</v>
      </c>
    </row>
    <row r="27" spans="1:30" s="3161" customFormat="1" ht="13.2">
      <c r="B27" s="3162"/>
      <c r="C27" s="3163"/>
      <c r="D27" s="3163"/>
      <c r="E27" s="3163"/>
      <c r="F27" s="3163"/>
      <c r="G27" s="3163"/>
      <c r="H27" s="3163"/>
      <c r="I27" s="3163"/>
      <c r="J27" s="3164"/>
      <c r="K27" s="3165"/>
      <c r="L27" s="3166"/>
      <c r="M27" s="3166"/>
      <c r="N27" s="3166"/>
      <c r="O27" s="3166"/>
      <c r="P27" s="3166"/>
      <c r="Q27" s="3164"/>
      <c r="R27" s="3167"/>
      <c r="S27" s="3168"/>
      <c r="T27" s="3169"/>
      <c r="U27" s="3167"/>
      <c r="V27" s="3170"/>
      <c r="W27" s="3167"/>
      <c r="X27" s="3164"/>
      <c r="Y27" s="3171"/>
      <c r="Z27" s="3172"/>
      <c r="AA27" s="3173"/>
      <c r="AB27" s="3171"/>
      <c r="AC27" s="3174"/>
      <c r="AD27" s="3171"/>
    </row>
    <row r="28" spans="1:30" s="3184" customFormat="1" ht="13.2">
      <c r="A28" s="2205" t="s">
        <v>3379</v>
      </c>
      <c r="B28" s="3176">
        <v>2024</v>
      </c>
      <c r="C28" s="3177">
        <v>3</v>
      </c>
      <c r="D28" s="3178"/>
      <c r="E28" s="3178">
        <v>0</v>
      </c>
      <c r="F28" s="3178">
        <v>0</v>
      </c>
      <c r="G28" s="3178">
        <v>0</v>
      </c>
      <c r="H28" s="3178"/>
      <c r="I28" s="3179">
        <f t="shared" ref="I28" si="47">F28</f>
        <v>0</v>
      </c>
      <c r="J28" s="3180"/>
      <c r="K28" s="3181"/>
      <c r="L28" s="3171">
        <f t="shared" ref="L28" si="48">E28/100</f>
        <v>0</v>
      </c>
      <c r="M28" s="3171">
        <f t="shared" ref="M28" si="49">F28/100</f>
        <v>0</v>
      </c>
      <c r="N28" s="3171">
        <f t="shared" ref="N28" si="50">G28/100</f>
        <v>0</v>
      </c>
      <c r="O28" s="3171"/>
      <c r="P28" s="3171">
        <f>M28</f>
        <v>0</v>
      </c>
      <c r="Q28" s="3180"/>
      <c r="R28" s="3182"/>
      <c r="S28" s="3182">
        <f>ROUND(IF(项目基本情况!$B$8="出让",SUMPRODUCT(PRODUCT(1+L28:L$42)),SUMPRODUCT(PRODUCT(1+L28:L$41))),4)</f>
        <v>1.0432999999999999</v>
      </c>
      <c r="T28" s="3182">
        <f>ROUND(IF(项目基本情况!$B$8="出让",SUMPRODUCT(PRODUCT(1+M28:M$42)),SUMPRODUCT(PRODUCT(1+M28:M$41))),4)</f>
        <v>1.0298</v>
      </c>
      <c r="U28" s="3182">
        <f>ROUND(IF(项目基本情况!$B$8="出让",SUMPRODUCT(PRODUCT(1+N28:N$42)),SUMPRODUCT(PRODUCT(1+N28:N$41))),4)</f>
        <v>1.079</v>
      </c>
      <c r="V28" s="3182"/>
      <c r="W28" s="3182">
        <f>T28</f>
        <v>1.0298</v>
      </c>
      <c r="X28" s="3180"/>
      <c r="Y28" s="3183"/>
      <c r="Z28" s="3211">
        <f t="shared" ref="Z28:AB29" si="51">IF(E28=0,0,ROUND(AVERAGE(E28:E41)/100,4))</f>
        <v>0</v>
      </c>
      <c r="AA28" s="3211">
        <f t="shared" si="51"/>
        <v>0</v>
      </c>
      <c r="AB28" s="3211">
        <f t="shared" si="51"/>
        <v>0</v>
      </c>
      <c r="AC28" s="3212"/>
      <c r="AD28" s="3183">
        <f>IF(I28=0,0,ROUND(AVERAGE(I28:I41)/100,4))</f>
        <v>0</v>
      </c>
    </row>
    <row r="29" spans="1:30" s="3194" customFormat="1" ht="13.2">
      <c r="A29" s="3185" t="s">
        <v>3380</v>
      </c>
      <c r="B29" s="3186">
        <v>2024</v>
      </c>
      <c r="C29" s="3187">
        <v>2</v>
      </c>
      <c r="D29" s="3188"/>
      <c r="E29" s="3188">
        <v>-0.31</v>
      </c>
      <c r="F29" s="3188">
        <v>-0.39</v>
      </c>
      <c r="G29" s="3188">
        <v>1.23</v>
      </c>
      <c r="H29" s="3189"/>
      <c r="I29" s="3190">
        <f t="shared" ref="I29:I42" si="52">F29</f>
        <v>-0.39</v>
      </c>
      <c r="J29" s="3191"/>
      <c r="K29" s="3192"/>
      <c r="L29" s="3193">
        <f t="shared" ref="L29:N42" si="53">E29/100</f>
        <v>-3.0999999999999999E-3</v>
      </c>
      <c r="M29" s="3193">
        <f t="shared" si="53"/>
        <v>-3.9000000000000003E-3</v>
      </c>
      <c r="N29" s="3193">
        <f t="shared" si="53"/>
        <v>1.23E-2</v>
      </c>
      <c r="O29" s="3193"/>
      <c r="P29" s="3193">
        <f>M29</f>
        <v>-3.9000000000000003E-3</v>
      </c>
      <c r="Q29" s="3191"/>
      <c r="R29" s="3191"/>
      <c r="S29" s="3191">
        <f>ROUND(IF(项目基本情况!$B$8="出让",SUMPRODUCT(PRODUCT(1+L29:L$42)),SUMPRODUCT(PRODUCT(1+L29:L$41))),4)</f>
        <v>1.0432999999999999</v>
      </c>
      <c r="T29" s="3191">
        <f>ROUND(IF(项目基本情况!$B$8="出让",SUMPRODUCT(PRODUCT(1+M29:M$42)),SUMPRODUCT(PRODUCT(1+M29:M$41))),4)</f>
        <v>1.0298</v>
      </c>
      <c r="U29" s="3191">
        <f>ROUND(IF(项目基本情况!$B$8="出让",SUMPRODUCT(PRODUCT(1+N29:N$42)),SUMPRODUCT(PRODUCT(1+N29:N$41))),4)</f>
        <v>1.079</v>
      </c>
      <c r="V29" s="3191"/>
      <c r="W29" s="3191">
        <f>T29</f>
        <v>1.0298</v>
      </c>
      <c r="X29" s="3191"/>
      <c r="Y29" s="3193"/>
      <c r="Z29" s="3214">
        <f t="shared" si="51"/>
        <v>3.3E-3</v>
      </c>
      <c r="AA29" s="3215">
        <f t="shared" si="51"/>
        <v>2.3999999999999998E-3</v>
      </c>
      <c r="AB29" s="3193">
        <f t="shared" si="51"/>
        <v>6.1999999999999998E-3</v>
      </c>
      <c r="AC29" s="3216"/>
      <c r="AD29" s="3193">
        <f>IF(I29=0,0,ROUND(AVERAGE(I29:I42)/100,4))</f>
        <v>2.3999999999999998E-3</v>
      </c>
    </row>
    <row r="30" spans="1:30" s="3184" customFormat="1" ht="13.2">
      <c r="A30" s="3175" t="s">
        <v>3381</v>
      </c>
      <c r="B30" s="3176">
        <v>2024</v>
      </c>
      <c r="C30" s="3177">
        <v>1</v>
      </c>
      <c r="D30" s="3178"/>
      <c r="E30" s="3178">
        <v>0.25</v>
      </c>
      <c r="F30" s="3178">
        <v>0.4</v>
      </c>
      <c r="G30" s="3178">
        <v>-0.63</v>
      </c>
      <c r="H30" s="3195"/>
      <c r="I30" s="3179">
        <f t="shared" ref="I30:I31" si="54">F30</f>
        <v>0.4</v>
      </c>
      <c r="J30" s="3180"/>
      <c r="K30" s="3181"/>
      <c r="L30" s="3171">
        <f t="shared" ref="L30" si="55">E30/100</f>
        <v>2.5000000000000001E-3</v>
      </c>
      <c r="M30" s="3171">
        <f t="shared" ref="M30" si="56">F30/100</f>
        <v>4.0000000000000001E-3</v>
      </c>
      <c r="N30" s="3171">
        <f t="shared" ref="N30" si="57">G30/100</f>
        <v>-6.3E-3</v>
      </c>
      <c r="O30" s="3171"/>
      <c r="P30" s="3171">
        <f t="shared" ref="P30" si="58">M30</f>
        <v>4.0000000000000001E-3</v>
      </c>
      <c r="Q30" s="3180"/>
      <c r="R30" s="3182"/>
      <c r="S30" s="3182">
        <f>ROUND(IF(项目基本情况!$B$8="出让",SUMPRODUCT(PRODUCT(1+L30:L$42)),SUMPRODUCT(PRODUCT(1+L30:L$41))),4)</f>
        <v>1.0465</v>
      </c>
      <c r="T30" s="3182">
        <f>ROUND(IF(项目基本情况!$B$8="出让",SUMPRODUCT(PRODUCT(1+M30:M$42)),SUMPRODUCT(PRODUCT(1+M30:M$41))),4)</f>
        <v>1.0338000000000001</v>
      </c>
      <c r="U30" s="3182">
        <f>ROUND(IF(项目基本情况!$B$8="出让",SUMPRODUCT(PRODUCT(1+N30:N$42)),SUMPRODUCT(PRODUCT(1+N30:N$41))),4)</f>
        <v>1.0659000000000001</v>
      </c>
      <c r="V30" s="3182"/>
      <c r="W30" s="3182">
        <f t="shared" ref="W30" si="59">T30</f>
        <v>1.0338000000000001</v>
      </c>
      <c r="X30" s="3180"/>
      <c r="Y30" s="3183"/>
      <c r="Z30" s="3211"/>
      <c r="AA30" s="3213"/>
      <c r="AB30" s="3183"/>
      <c r="AC30" s="3212"/>
      <c r="AD30" s="3183"/>
    </row>
    <row r="31" spans="1:30" s="3184" customFormat="1" ht="13.2">
      <c r="A31" s="3175" t="s">
        <v>3378</v>
      </c>
      <c r="B31" s="3176">
        <v>2023</v>
      </c>
      <c r="C31" s="3177">
        <v>4</v>
      </c>
      <c r="D31" s="3178"/>
      <c r="E31" s="3178">
        <v>7.0000000000000007E-2</v>
      </c>
      <c r="F31" s="3178">
        <v>0.09</v>
      </c>
      <c r="G31" s="3178">
        <v>0.03</v>
      </c>
      <c r="H31" s="3195"/>
      <c r="I31" s="3179">
        <f t="shared" si="54"/>
        <v>0.09</v>
      </c>
      <c r="J31" s="3180"/>
      <c r="K31" s="3181"/>
      <c r="L31" s="3171">
        <f t="shared" si="53"/>
        <v>7.000000000000001E-4</v>
      </c>
      <c r="M31" s="3171">
        <f t="shared" si="53"/>
        <v>8.9999999999999998E-4</v>
      </c>
      <c r="N31" s="3171">
        <f t="shared" si="53"/>
        <v>2.9999999999999997E-4</v>
      </c>
      <c r="O31" s="3171"/>
      <c r="P31" s="3171">
        <f t="shared" ref="P31" si="60">M31</f>
        <v>8.9999999999999998E-4</v>
      </c>
      <c r="Q31" s="3180"/>
      <c r="R31" s="3182"/>
      <c r="S31" s="3182">
        <f>ROUND(IF(项目基本情况!$B$8="出让",SUMPRODUCT(PRODUCT(1+L31:L$42)),SUMPRODUCT(PRODUCT(1+L31:L$41))),4)</f>
        <v>1.0439000000000001</v>
      </c>
      <c r="T31" s="3182">
        <f>ROUND(IF(项目基本情况!$B$8="出让",SUMPRODUCT(PRODUCT(1+M31:M$42)),SUMPRODUCT(PRODUCT(1+M31:M$41))),4)</f>
        <v>1.0297000000000001</v>
      </c>
      <c r="U31" s="3182">
        <f>ROUND(IF(项目基本情况!$B$8="出让",SUMPRODUCT(PRODUCT(1+N31:N$42)),SUMPRODUCT(PRODUCT(1+N31:N$41))),4)</f>
        <v>1.0727</v>
      </c>
      <c r="V31" s="3182"/>
      <c r="W31" s="3182">
        <f t="shared" ref="W31" si="61">T31</f>
        <v>1.0297000000000001</v>
      </c>
      <c r="X31" s="3180"/>
      <c r="Y31" s="3183"/>
      <c r="Z31" s="3211"/>
      <c r="AA31" s="3213"/>
      <c r="AB31" s="3183"/>
      <c r="AC31" s="3212"/>
      <c r="AD31" s="3183"/>
    </row>
    <row r="32" spans="1:30" s="3184" customFormat="1" ht="13.2">
      <c r="A32" s="3175" t="s">
        <v>3376</v>
      </c>
      <c r="B32" s="3176">
        <v>2023</v>
      </c>
      <c r="C32" s="3177">
        <v>3</v>
      </c>
      <c r="D32" s="3178"/>
      <c r="E32" s="3178">
        <v>0.35</v>
      </c>
      <c r="F32" s="3178">
        <v>0.17</v>
      </c>
      <c r="G32" s="3178">
        <v>0.52</v>
      </c>
      <c r="H32" s="3195"/>
      <c r="I32" s="3179">
        <f t="shared" si="52"/>
        <v>0.17</v>
      </c>
      <c r="J32" s="3180"/>
      <c r="K32" s="3181"/>
      <c r="L32" s="3171">
        <f t="shared" ref="L32:L34" si="62">E32/100</f>
        <v>3.4999999999999996E-3</v>
      </c>
      <c r="M32" s="3171">
        <f t="shared" ref="M32:M34" si="63">F32/100</f>
        <v>1.7000000000000001E-3</v>
      </c>
      <c r="N32" s="3171">
        <f t="shared" ref="N32:N34" si="64">G32/100</f>
        <v>5.1999999999999998E-3</v>
      </c>
      <c r="O32" s="3171"/>
      <c r="P32" s="3171">
        <f t="shared" ref="P32:P34" si="65">M32</f>
        <v>1.7000000000000001E-3</v>
      </c>
      <c r="Q32" s="3180"/>
      <c r="R32" s="3182"/>
      <c r="S32" s="3182">
        <f>ROUND(IF(项目基本情况!$B$8="出让",SUMPRODUCT(PRODUCT(1+L32:L$42)),SUMPRODUCT(PRODUCT(1+L32:L$41))),4)</f>
        <v>1.0431999999999999</v>
      </c>
      <c r="T32" s="3182">
        <f>ROUND(IF(项目基本情况!$B$8="出让",SUMPRODUCT(PRODUCT(1+M32:M$42)),SUMPRODUCT(PRODUCT(1+M32:M$41))),4)</f>
        <v>1.0286999999999999</v>
      </c>
      <c r="U32" s="3182">
        <f>ROUND(IF(项目基本情况!$B$8="出让",SUMPRODUCT(PRODUCT(1+N32:N$42)),SUMPRODUCT(PRODUCT(1+N32:N$41))),4)</f>
        <v>1.0723</v>
      </c>
      <c r="V32" s="3182"/>
      <c r="W32" s="3182">
        <f t="shared" ref="W32:W34" si="66">T32</f>
        <v>1.0286999999999999</v>
      </c>
      <c r="X32" s="3180"/>
      <c r="Y32" s="3183"/>
      <c r="Z32" s="3211"/>
      <c r="AA32" s="3213"/>
      <c r="AB32" s="3183"/>
      <c r="AC32" s="3212"/>
      <c r="AD32" s="3183"/>
    </row>
    <row r="33" spans="1:30" s="3184" customFormat="1" ht="13.2">
      <c r="A33" s="3175" t="s">
        <v>3375</v>
      </c>
      <c r="B33" s="3176">
        <v>2023</v>
      </c>
      <c r="C33" s="3177">
        <v>2</v>
      </c>
      <c r="D33" s="3178"/>
      <c r="E33" s="3178">
        <v>0.5</v>
      </c>
      <c r="F33" s="3178">
        <v>0.45</v>
      </c>
      <c r="G33" s="3178">
        <v>0.89</v>
      </c>
      <c r="H33" s="3195"/>
      <c r="I33" s="3179">
        <f t="shared" si="52"/>
        <v>0.45</v>
      </c>
      <c r="J33" s="3180"/>
      <c r="K33" s="3181"/>
      <c r="L33" s="3171">
        <f t="shared" si="62"/>
        <v>5.0000000000000001E-3</v>
      </c>
      <c r="M33" s="3171">
        <f t="shared" si="63"/>
        <v>4.5000000000000005E-3</v>
      </c>
      <c r="N33" s="3171">
        <f t="shared" si="64"/>
        <v>8.8999999999999999E-3</v>
      </c>
      <c r="O33" s="3171"/>
      <c r="P33" s="3171">
        <f t="shared" si="65"/>
        <v>4.5000000000000005E-3</v>
      </c>
      <c r="Q33" s="3180"/>
      <c r="R33" s="3182"/>
      <c r="S33" s="3182">
        <f>ROUND(IF(项目基本情况!$B$8="出让",SUMPRODUCT(PRODUCT(1+L33:L$42)),SUMPRODUCT(PRODUCT(1+L33:L$41))),4)</f>
        <v>1.0396000000000001</v>
      </c>
      <c r="T33" s="3182">
        <f>ROUND(IF(项目基本情况!$B$8="出让",SUMPRODUCT(PRODUCT(1+M33:M$42)),SUMPRODUCT(PRODUCT(1+M33:M$41))),4)</f>
        <v>1.0269999999999999</v>
      </c>
      <c r="U33" s="3182">
        <f>ROUND(IF(项目基本情况!$B$8="出让",SUMPRODUCT(PRODUCT(1+N33:N$42)),SUMPRODUCT(PRODUCT(1+N33:N$41))),4)</f>
        <v>1.0668</v>
      </c>
      <c r="V33" s="3182"/>
      <c r="W33" s="3182">
        <f t="shared" si="66"/>
        <v>1.0269999999999999</v>
      </c>
      <c r="X33" s="3180"/>
      <c r="Y33" s="3183"/>
      <c r="Z33" s="3211"/>
      <c r="AA33" s="3213"/>
      <c r="AB33" s="3183"/>
      <c r="AC33" s="3212"/>
      <c r="AD33" s="3183"/>
    </row>
    <row r="34" spans="1:30" s="3184" customFormat="1" ht="13.2">
      <c r="A34" s="3175" t="s">
        <v>3371</v>
      </c>
      <c r="B34" s="3176">
        <v>2023</v>
      </c>
      <c r="C34" s="3177">
        <v>1</v>
      </c>
      <c r="D34" s="3178"/>
      <c r="E34" s="3178">
        <v>0.55000000000000004</v>
      </c>
      <c r="F34" s="3178">
        <v>0.59</v>
      </c>
      <c r="G34" s="3178">
        <v>0.64</v>
      </c>
      <c r="H34" s="3195"/>
      <c r="I34" s="3179">
        <f t="shared" si="52"/>
        <v>0.59</v>
      </c>
      <c r="J34" s="3180"/>
      <c r="K34" s="3181"/>
      <c r="L34" s="3171">
        <f t="shared" si="62"/>
        <v>5.5000000000000005E-3</v>
      </c>
      <c r="M34" s="3171">
        <f t="shared" si="63"/>
        <v>5.8999999999999999E-3</v>
      </c>
      <c r="N34" s="3171">
        <f t="shared" si="64"/>
        <v>6.4000000000000003E-3</v>
      </c>
      <c r="O34" s="3171"/>
      <c r="P34" s="3171">
        <f t="shared" si="65"/>
        <v>5.8999999999999999E-3</v>
      </c>
      <c r="Q34" s="3180"/>
      <c r="R34" s="3182"/>
      <c r="S34" s="3182">
        <f>ROUND(IF(项目基本情况!$B$8="出让",SUMPRODUCT(PRODUCT(1+L34:L$42)),SUMPRODUCT(PRODUCT(1+L34:L$41))),4)</f>
        <v>1.0344</v>
      </c>
      <c r="T34" s="3182">
        <f>ROUND(IF(项目基本情况!$B$8="出让",SUMPRODUCT(PRODUCT(1+M34:M$42)),SUMPRODUCT(PRODUCT(1+M34:M$41))),4)</f>
        <v>1.0224</v>
      </c>
      <c r="U34" s="3182">
        <f>ROUND(IF(项目基本情况!$B$8="出让",SUMPRODUCT(PRODUCT(1+N34:N$42)),SUMPRODUCT(PRODUCT(1+N34:N$41))),4)</f>
        <v>1.0573999999999999</v>
      </c>
      <c r="V34" s="3182"/>
      <c r="W34" s="3182">
        <f t="shared" si="66"/>
        <v>1.0224</v>
      </c>
      <c r="X34" s="3180"/>
      <c r="Y34" s="3183"/>
      <c r="Z34" s="3211"/>
      <c r="AA34" s="3213"/>
      <c r="AB34" s="3183"/>
      <c r="AC34" s="3212"/>
      <c r="AD34" s="3183"/>
    </row>
    <row r="35" spans="1:30" s="3184" customFormat="1" ht="13.2">
      <c r="A35" s="3175" t="s">
        <v>3370</v>
      </c>
      <c r="B35" s="3176">
        <v>2022</v>
      </c>
      <c r="C35" s="3177">
        <v>4</v>
      </c>
      <c r="D35" s="3178"/>
      <c r="E35" s="3178">
        <v>0.45</v>
      </c>
      <c r="F35" s="3178">
        <v>0.2</v>
      </c>
      <c r="G35" s="3178">
        <v>0.38</v>
      </c>
      <c r="H35" s="3195"/>
      <c r="I35" s="3179">
        <f t="shared" si="52"/>
        <v>0.2</v>
      </c>
      <c r="J35" s="3180"/>
      <c r="K35" s="3181"/>
      <c r="L35" s="3171">
        <f t="shared" si="53"/>
        <v>4.5000000000000005E-3</v>
      </c>
      <c r="M35" s="3171">
        <f t="shared" si="53"/>
        <v>2E-3</v>
      </c>
      <c r="N35" s="3171">
        <f t="shared" si="53"/>
        <v>3.8E-3</v>
      </c>
      <c r="O35" s="3171"/>
      <c r="P35" s="3171">
        <f t="shared" ref="P35:P42" si="67">M35</f>
        <v>2E-3</v>
      </c>
      <c r="Q35" s="3180"/>
      <c r="R35" s="3182"/>
      <c r="S35" s="3182">
        <f>ROUND(IF(项目基本情况!$B$8="出让",SUMPRODUCT(PRODUCT(1+L35:L$42)),SUMPRODUCT(PRODUCT(1+L35:L$41))),4)</f>
        <v>1.0286999999999999</v>
      </c>
      <c r="T35" s="3182">
        <f>ROUND(IF(项目基本情况!$B$8="出让",SUMPRODUCT(PRODUCT(1+M35:M$42)),SUMPRODUCT(PRODUCT(1+M35:M$41))),4)</f>
        <v>1.0164</v>
      </c>
      <c r="U35" s="3182">
        <f>ROUND(IF(项目基本情况!$B$8="出让",SUMPRODUCT(PRODUCT(1+N35:N$42)),SUMPRODUCT(PRODUCT(1+N35:N$41))),4)</f>
        <v>1.0506</v>
      </c>
      <c r="V35" s="3182"/>
      <c r="W35" s="3182">
        <f t="shared" ref="W35:W42" si="68">T35</f>
        <v>1.0164</v>
      </c>
      <c r="X35" s="3180"/>
      <c r="Y35" s="3183"/>
      <c r="Z35" s="3211">
        <f t="shared" ref="Z35:AD42" si="69">IF(E35=0,0,ROUND(AVERAGE(E35:E43)/100,4))</f>
        <v>4.0000000000000001E-3</v>
      </c>
      <c r="AA35" s="3213">
        <f t="shared" si="69"/>
        <v>2.5999999999999999E-3</v>
      </c>
      <c r="AB35" s="3183">
        <f t="shared" si="69"/>
        <v>7.4000000000000003E-3</v>
      </c>
      <c r="AC35" s="3212"/>
      <c r="AD35" s="3183">
        <f t="shared" si="69"/>
        <v>2.5999999999999999E-3</v>
      </c>
    </row>
    <row r="36" spans="1:30" s="3184" customFormat="1" ht="13.2">
      <c r="A36" s="3175" t="s">
        <v>3367</v>
      </c>
      <c r="B36" s="3176">
        <v>2022</v>
      </c>
      <c r="C36" s="3177">
        <v>3</v>
      </c>
      <c r="D36" s="3178"/>
      <c r="E36" s="3178">
        <v>0.3</v>
      </c>
      <c r="F36" s="3178">
        <v>0.28999999999999998</v>
      </c>
      <c r="G36" s="3178">
        <v>0.83</v>
      </c>
      <c r="H36" s="3195"/>
      <c r="I36" s="3179">
        <f t="shared" si="52"/>
        <v>0.28999999999999998</v>
      </c>
      <c r="J36" s="3180"/>
      <c r="K36" s="3181"/>
      <c r="L36" s="3171">
        <f t="shared" si="53"/>
        <v>3.0000000000000001E-3</v>
      </c>
      <c r="M36" s="3171">
        <f t="shared" si="53"/>
        <v>2.8999999999999998E-3</v>
      </c>
      <c r="N36" s="3171">
        <f t="shared" si="53"/>
        <v>8.3000000000000001E-3</v>
      </c>
      <c r="O36" s="3171"/>
      <c r="P36" s="3171">
        <f t="shared" si="67"/>
        <v>2.8999999999999998E-3</v>
      </c>
      <c r="Q36" s="3180"/>
      <c r="R36" s="3182"/>
      <c r="S36" s="3182">
        <f>ROUND(IF(项目基本情况!$B$8="出让",SUMPRODUCT(PRODUCT(1+L36:L$42)),SUMPRODUCT(PRODUCT(1+L36:L$41))),4)</f>
        <v>1.0241</v>
      </c>
      <c r="T36" s="3182">
        <f>ROUND(IF(项目基本情况!$B$8="出让",SUMPRODUCT(PRODUCT(1+M36:M$42)),SUMPRODUCT(PRODUCT(1+M36:M$41))),4)</f>
        <v>1.0144</v>
      </c>
      <c r="U36" s="3182">
        <f>ROUND(IF(项目基本情况!$B$8="出让",SUMPRODUCT(PRODUCT(1+N36:N$42)),SUMPRODUCT(PRODUCT(1+N36:N$41))),4)</f>
        <v>1.0467</v>
      </c>
      <c r="V36" s="3182"/>
      <c r="W36" s="3182">
        <f t="shared" si="68"/>
        <v>1.0144</v>
      </c>
      <c r="X36" s="3180"/>
      <c r="Y36" s="3183"/>
      <c r="Z36" s="3211">
        <f t="shared" si="69"/>
        <v>3.8999999999999998E-3</v>
      </c>
      <c r="AA36" s="3213">
        <f t="shared" si="69"/>
        <v>2.7000000000000001E-3</v>
      </c>
      <c r="AB36" s="3183">
        <f t="shared" si="69"/>
        <v>7.9000000000000008E-3</v>
      </c>
      <c r="AC36" s="3212"/>
      <c r="AD36" s="3183">
        <f t="shared" si="69"/>
        <v>2.7000000000000001E-3</v>
      </c>
    </row>
    <row r="37" spans="1:30" s="3184" customFormat="1" ht="13.2">
      <c r="A37" s="3175" t="s">
        <v>3357</v>
      </c>
      <c r="B37" s="3176">
        <v>2022</v>
      </c>
      <c r="C37" s="3177">
        <v>2</v>
      </c>
      <c r="D37" s="3178"/>
      <c r="E37" s="3178">
        <v>-0.11</v>
      </c>
      <c r="F37" s="3178">
        <v>-0.13</v>
      </c>
      <c r="G37" s="3178">
        <v>0.53</v>
      </c>
      <c r="H37" s="3195"/>
      <c r="I37" s="3179">
        <f t="shared" si="52"/>
        <v>-0.13</v>
      </c>
      <c r="J37" s="3180"/>
      <c r="K37" s="3181"/>
      <c r="L37" s="3171">
        <f t="shared" si="53"/>
        <v>-1.1000000000000001E-3</v>
      </c>
      <c r="M37" s="3171">
        <f t="shared" si="53"/>
        <v>-1.2999999999999999E-3</v>
      </c>
      <c r="N37" s="3171">
        <f t="shared" si="53"/>
        <v>5.3E-3</v>
      </c>
      <c r="O37" s="3171"/>
      <c r="P37" s="3171">
        <f t="shared" si="67"/>
        <v>-1.2999999999999999E-3</v>
      </c>
      <c r="Q37" s="3180"/>
      <c r="R37" s="3182"/>
      <c r="S37" s="3182">
        <f>ROUND(IF(项目基本情况!$B$8="出让",SUMPRODUCT(PRODUCT(1+L37:L$42)),SUMPRODUCT(PRODUCT(1+L37:L$41))),4)</f>
        <v>1.0210999999999999</v>
      </c>
      <c r="T37" s="3182">
        <f>ROUND(IF(项目基本情况!$B$8="出让",SUMPRODUCT(PRODUCT(1+M37:M$42)),SUMPRODUCT(PRODUCT(1+M37:M$41))),4)</f>
        <v>1.0114000000000001</v>
      </c>
      <c r="U37" s="3182">
        <f>ROUND(IF(项目基本情况!$B$8="出让",SUMPRODUCT(PRODUCT(1+N37:N$42)),SUMPRODUCT(PRODUCT(1+N37:N$41))),4)</f>
        <v>1.0381</v>
      </c>
      <c r="V37" s="3182"/>
      <c r="W37" s="3182">
        <f t="shared" si="68"/>
        <v>1.0114000000000001</v>
      </c>
      <c r="X37" s="3180"/>
      <c r="Y37" s="3183"/>
      <c r="Z37" s="3211">
        <f t="shared" si="69"/>
        <v>4.1000000000000003E-3</v>
      </c>
      <c r="AA37" s="3213">
        <f t="shared" si="69"/>
        <v>2.7000000000000001E-3</v>
      </c>
      <c r="AB37" s="3183">
        <f t="shared" si="69"/>
        <v>7.9000000000000008E-3</v>
      </c>
      <c r="AC37" s="3212"/>
      <c r="AD37" s="3183">
        <f t="shared" si="69"/>
        <v>2.7000000000000001E-3</v>
      </c>
    </row>
    <row r="38" spans="1:30" s="3184" customFormat="1" ht="13.2">
      <c r="A38" s="3175" t="s">
        <v>2837</v>
      </c>
      <c r="B38" s="3176">
        <v>2022</v>
      </c>
      <c r="C38" s="3177">
        <v>1</v>
      </c>
      <c r="D38" s="3178"/>
      <c r="E38" s="3178">
        <v>0.6</v>
      </c>
      <c r="F38" s="3178">
        <v>0.45</v>
      </c>
      <c r="G38" s="3178">
        <v>0.53</v>
      </c>
      <c r="H38" s="3195"/>
      <c r="I38" s="3179">
        <f t="shared" si="52"/>
        <v>0.45</v>
      </c>
      <c r="J38" s="3180"/>
      <c r="K38" s="3181"/>
      <c r="L38" s="3171">
        <f t="shared" si="53"/>
        <v>6.0000000000000001E-3</v>
      </c>
      <c r="M38" s="3171">
        <f t="shared" si="53"/>
        <v>4.5000000000000005E-3</v>
      </c>
      <c r="N38" s="3171">
        <f t="shared" si="53"/>
        <v>5.3E-3</v>
      </c>
      <c r="O38" s="3171"/>
      <c r="P38" s="3171">
        <f t="shared" si="67"/>
        <v>4.5000000000000005E-3</v>
      </c>
      <c r="Q38" s="3180"/>
      <c r="R38" s="3182"/>
      <c r="S38" s="3182">
        <f>ROUND(IF(项目基本情况!$B$8="出让",SUMPRODUCT(PRODUCT(1+L38:L$42)),SUMPRODUCT(PRODUCT(1+L38:L$41))),4)</f>
        <v>1.0222</v>
      </c>
      <c r="T38" s="3182">
        <f>ROUND(IF(项目基本情况!$B$8="出让",SUMPRODUCT(PRODUCT(1+M38:M$42)),SUMPRODUCT(PRODUCT(1+M38:M$41))),4)</f>
        <v>1.0127999999999999</v>
      </c>
      <c r="U38" s="3182">
        <f>ROUND(IF(项目基本情况!$B$8="出让",SUMPRODUCT(PRODUCT(1+N38:N$42)),SUMPRODUCT(PRODUCT(1+N38:N$41))),4)</f>
        <v>1.0326</v>
      </c>
      <c r="V38" s="3182"/>
      <c r="W38" s="3182">
        <f t="shared" si="68"/>
        <v>1.0127999999999999</v>
      </c>
      <c r="X38" s="3180"/>
      <c r="Y38" s="3183"/>
      <c r="Z38" s="3211">
        <f t="shared" si="69"/>
        <v>5.1000000000000004E-3</v>
      </c>
      <c r="AA38" s="3213">
        <f t="shared" si="69"/>
        <v>3.5000000000000001E-3</v>
      </c>
      <c r="AB38" s="3183">
        <f t="shared" si="69"/>
        <v>8.3999999999999995E-3</v>
      </c>
      <c r="AC38" s="3212"/>
      <c r="AD38" s="3183">
        <f t="shared" si="69"/>
        <v>3.5000000000000001E-3</v>
      </c>
    </row>
    <row r="39" spans="1:30" s="3184" customFormat="1" ht="13.2">
      <c r="A39" s="3175" t="s">
        <v>2838</v>
      </c>
      <c r="B39" s="3176">
        <v>2021</v>
      </c>
      <c r="C39" s="3177">
        <v>4</v>
      </c>
      <c r="D39" s="3178"/>
      <c r="E39" s="3178">
        <v>0.57999999999999996</v>
      </c>
      <c r="F39" s="3178">
        <v>0.08</v>
      </c>
      <c r="G39" s="3178">
        <v>0.68</v>
      </c>
      <c r="H39" s="3195"/>
      <c r="I39" s="3179">
        <f t="shared" si="52"/>
        <v>0.08</v>
      </c>
      <c r="J39" s="3180"/>
      <c r="K39" s="3181"/>
      <c r="L39" s="3171">
        <f t="shared" si="53"/>
        <v>5.7999999999999996E-3</v>
      </c>
      <c r="M39" s="3171">
        <f t="shared" si="53"/>
        <v>8.0000000000000004E-4</v>
      </c>
      <c r="N39" s="3171">
        <f t="shared" si="53"/>
        <v>6.8000000000000005E-3</v>
      </c>
      <c r="O39" s="3171"/>
      <c r="P39" s="3171">
        <f t="shared" si="67"/>
        <v>8.0000000000000004E-4</v>
      </c>
      <c r="Q39" s="3180"/>
      <c r="R39" s="3182"/>
      <c r="S39" s="3182">
        <f>ROUND(IF(项目基本情况!$B$8="出让",SUMPRODUCT(PRODUCT(1+L39:L$42)),SUMPRODUCT(PRODUCT(1+L39:L$41))),4)</f>
        <v>1.0161</v>
      </c>
      <c r="T39" s="3182">
        <f>ROUND(IF(项目基本情况!$B$8="出让",SUMPRODUCT(PRODUCT(1+M39:M$42)),SUMPRODUCT(PRODUCT(1+M39:M$41))),4)</f>
        <v>1.0082</v>
      </c>
      <c r="U39" s="3182">
        <f>ROUND(IF(项目基本情况!$B$8="出让",SUMPRODUCT(PRODUCT(1+N39:N$42)),SUMPRODUCT(PRODUCT(1+N39:N$41))),4)</f>
        <v>1.0270999999999999</v>
      </c>
      <c r="V39" s="3182"/>
      <c r="W39" s="3182">
        <f t="shared" si="68"/>
        <v>1.0082</v>
      </c>
      <c r="X39" s="3180"/>
      <c r="Y39" s="3183"/>
      <c r="Z39" s="3211">
        <f t="shared" si="69"/>
        <v>4.8999999999999998E-3</v>
      </c>
      <c r="AA39" s="3213">
        <f t="shared" si="69"/>
        <v>3.3E-3</v>
      </c>
      <c r="AB39" s="3183">
        <f t="shared" si="69"/>
        <v>9.1999999999999998E-3</v>
      </c>
      <c r="AC39" s="3212"/>
      <c r="AD39" s="3183">
        <f t="shared" si="69"/>
        <v>3.3E-3</v>
      </c>
    </row>
    <row r="40" spans="1:30" s="3184" customFormat="1" ht="13.2">
      <c r="A40" s="3175" t="s">
        <v>2839</v>
      </c>
      <c r="B40" s="3176">
        <v>2021</v>
      </c>
      <c r="C40" s="3177">
        <v>3</v>
      </c>
      <c r="D40" s="3178"/>
      <c r="E40" s="3178">
        <v>0.47</v>
      </c>
      <c r="F40" s="3178">
        <v>0.28000000000000003</v>
      </c>
      <c r="G40" s="3178">
        <v>0.91</v>
      </c>
      <c r="H40" s="3195"/>
      <c r="I40" s="3179">
        <f t="shared" si="52"/>
        <v>0.28000000000000003</v>
      </c>
      <c r="J40" s="3180"/>
      <c r="K40" s="3181"/>
      <c r="L40" s="3171">
        <f t="shared" si="53"/>
        <v>4.6999999999999993E-3</v>
      </c>
      <c r="M40" s="3171">
        <f t="shared" si="53"/>
        <v>2.8000000000000004E-3</v>
      </c>
      <c r="N40" s="3171">
        <f t="shared" si="53"/>
        <v>9.1000000000000004E-3</v>
      </c>
      <c r="O40" s="3171"/>
      <c r="P40" s="3171">
        <f t="shared" si="67"/>
        <v>2.8000000000000004E-3</v>
      </c>
      <c r="Q40" s="3180"/>
      <c r="R40" s="3182"/>
      <c r="S40" s="3182">
        <f>ROUND(IF(项目基本情况!$B$8="出让",SUMPRODUCT(PRODUCT(1+L40:L$42)),SUMPRODUCT(PRODUCT(1+L40:L$41))),4)</f>
        <v>1.0102</v>
      </c>
      <c r="T40" s="3182">
        <f>ROUND(IF(项目基本情况!$B$8="出让",SUMPRODUCT(PRODUCT(1+M40:M$42)),SUMPRODUCT(PRODUCT(1+M40:M$41))),4)</f>
        <v>1.0074000000000001</v>
      </c>
      <c r="U40" s="3182">
        <f>ROUND(IF(项目基本情况!$B$8="出让",SUMPRODUCT(PRODUCT(1+N40:N$42)),SUMPRODUCT(PRODUCT(1+N40:N$41))),4)</f>
        <v>1.0202</v>
      </c>
      <c r="V40" s="3182"/>
      <c r="W40" s="3182">
        <f t="shared" si="68"/>
        <v>1.0074000000000001</v>
      </c>
      <c r="X40" s="3180"/>
      <c r="Y40" s="3183"/>
      <c r="Z40" s="3211">
        <f t="shared" si="69"/>
        <v>4.5999999999999999E-3</v>
      </c>
      <c r="AA40" s="3213">
        <f t="shared" si="69"/>
        <v>4.1000000000000003E-3</v>
      </c>
      <c r="AB40" s="3183">
        <f t="shared" si="69"/>
        <v>0.01</v>
      </c>
      <c r="AC40" s="3212"/>
      <c r="AD40" s="3183">
        <f t="shared" si="69"/>
        <v>4.1000000000000003E-3</v>
      </c>
    </row>
    <row r="41" spans="1:30" s="3184" customFormat="1" ht="13.2">
      <c r="A41" s="3175" t="s">
        <v>2840</v>
      </c>
      <c r="B41" s="3176">
        <v>2021</v>
      </c>
      <c r="C41" s="3177">
        <v>2</v>
      </c>
      <c r="D41" s="3178"/>
      <c r="E41" s="3178">
        <v>0.55000000000000004</v>
      </c>
      <c r="F41" s="3178">
        <v>0.46</v>
      </c>
      <c r="G41" s="3178">
        <v>1.1000000000000001</v>
      </c>
      <c r="H41" s="3195"/>
      <c r="I41" s="3179">
        <f t="shared" si="52"/>
        <v>0.46</v>
      </c>
      <c r="J41" s="3180"/>
      <c r="K41" s="3181"/>
      <c r="L41" s="3171">
        <f t="shared" si="53"/>
        <v>5.5000000000000005E-3</v>
      </c>
      <c r="M41" s="3171">
        <f t="shared" si="53"/>
        <v>4.5999999999999999E-3</v>
      </c>
      <c r="N41" s="3171">
        <f t="shared" si="53"/>
        <v>1.1000000000000001E-2</v>
      </c>
      <c r="O41" s="3171"/>
      <c r="P41" s="3171">
        <f t="shared" si="67"/>
        <v>4.5999999999999999E-3</v>
      </c>
      <c r="Q41" s="3180"/>
      <c r="R41" s="3182"/>
      <c r="S41" s="3182">
        <f>ROUND(IF(项目基本情况!$B$8="出让",SUMPRODUCT(PRODUCT(1+L41:L$42)),SUMPRODUCT(PRODUCT(1+L41:L$41))),4)</f>
        <v>1.0055000000000001</v>
      </c>
      <c r="T41" s="3182">
        <f>ROUND(IF(项目基本情况!$B$8="出让",SUMPRODUCT(PRODUCT(1+M41:M$42)),SUMPRODUCT(PRODUCT(1+M41:M$41))),4)</f>
        <v>1.0045999999999999</v>
      </c>
      <c r="U41" s="3182">
        <f>ROUND(IF(项目基本情况!$B$8="出让",SUMPRODUCT(PRODUCT(1+N41:N$42)),SUMPRODUCT(PRODUCT(1+N41:N$41))),4)</f>
        <v>1.0109999999999999</v>
      </c>
      <c r="V41" s="3182"/>
      <c r="W41" s="3182">
        <f t="shared" si="68"/>
        <v>1.0045999999999999</v>
      </c>
      <c r="X41" s="3180"/>
      <c r="Y41" s="3183"/>
      <c r="Z41" s="3211">
        <f t="shared" si="69"/>
        <v>4.4999999999999997E-3</v>
      </c>
      <c r="AA41" s="3213">
        <f t="shared" si="69"/>
        <v>4.7000000000000002E-3</v>
      </c>
      <c r="AB41" s="3183">
        <f t="shared" si="69"/>
        <v>1.04E-2</v>
      </c>
      <c r="AC41" s="3212"/>
      <c r="AD41" s="3183">
        <f t="shared" si="69"/>
        <v>4.7000000000000002E-3</v>
      </c>
    </row>
    <row r="42" spans="1:30" s="3206" customFormat="1" ht="13.8" thickBot="1">
      <c r="A42" s="3196" t="s">
        <v>2826</v>
      </c>
      <c r="B42" s="3197">
        <v>2021</v>
      </c>
      <c r="C42" s="3198">
        <v>1</v>
      </c>
      <c r="D42" s="3199"/>
      <c r="E42" s="3199">
        <v>0.35</v>
      </c>
      <c r="F42" s="3199">
        <v>0.48</v>
      </c>
      <c r="G42" s="3199">
        <v>0.98</v>
      </c>
      <c r="H42" s="3200"/>
      <c r="I42" s="3201">
        <f t="shared" si="52"/>
        <v>0.48</v>
      </c>
      <c r="J42" s="3202"/>
      <c r="K42" s="3203"/>
      <c r="L42" s="3204">
        <f t="shared" si="53"/>
        <v>3.4999999999999996E-3</v>
      </c>
      <c r="M42" s="3204">
        <f>F42/100</f>
        <v>4.7999999999999996E-3</v>
      </c>
      <c r="N42" s="3204">
        <f t="shared" si="53"/>
        <v>9.7999999999999997E-3</v>
      </c>
      <c r="O42" s="3204"/>
      <c r="P42" s="3204">
        <f t="shared" si="67"/>
        <v>4.7999999999999996E-3</v>
      </c>
      <c r="Q42" s="3202"/>
      <c r="R42" s="3205"/>
      <c r="S42" s="3205">
        <v>1</v>
      </c>
      <c r="T42" s="3205">
        <v>1</v>
      </c>
      <c r="U42" s="3205">
        <v>1</v>
      </c>
      <c r="V42" s="3205"/>
      <c r="W42" s="3205">
        <f t="shared" si="68"/>
        <v>1</v>
      </c>
      <c r="X42" s="3202"/>
      <c r="Y42" s="3204"/>
      <c r="Z42" s="3217">
        <f t="shared" si="69"/>
        <v>3.5000000000000001E-3</v>
      </c>
      <c r="AA42" s="3218">
        <f t="shared" si="69"/>
        <v>4.7999999999999996E-3</v>
      </c>
      <c r="AB42" s="3204">
        <f t="shared" si="69"/>
        <v>9.7999999999999997E-3</v>
      </c>
      <c r="AC42" s="3219"/>
      <c r="AD42" s="3204">
        <f t="shared" si="69"/>
        <v>4.7999999999999996E-3</v>
      </c>
    </row>
    <row r="43" spans="1:30" ht="15" thickTop="1"/>
    <row r="44" spans="1:30">
      <c r="A44" s="3447" t="s">
        <v>3369</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782" t="s">
        <v>452</v>
      </c>
      <c r="C1" s="3782"/>
      <c r="D1" s="3782"/>
      <c r="E1" s="3782"/>
      <c r="F1" s="3782"/>
      <c r="G1" s="3781" t="s">
        <v>453</v>
      </c>
      <c r="H1" s="3781"/>
      <c r="I1" s="3781"/>
      <c r="J1" s="3781"/>
      <c r="K1" s="3781"/>
      <c r="L1" s="3781"/>
      <c r="N1" s="3781" t="s">
        <v>454</v>
      </c>
      <c r="O1" s="3781"/>
      <c r="P1" s="3781"/>
      <c r="Q1" s="3781"/>
      <c r="S1" s="3781" t="s">
        <v>455</v>
      </c>
      <c r="T1" s="3781"/>
      <c r="U1" s="3781"/>
      <c r="V1" s="3781"/>
      <c r="X1" s="3780" t="s">
        <v>456</v>
      </c>
      <c r="Y1" s="3781"/>
      <c r="Z1" s="3781"/>
      <c r="AA1" s="3781"/>
      <c r="AB1" s="3781"/>
      <c r="AD1" s="3780" t="s">
        <v>457</v>
      </c>
      <c r="AE1" s="3781"/>
      <c r="AF1" s="3781"/>
      <c r="AG1" s="3781"/>
      <c r="AH1" s="3781"/>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7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7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7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7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7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7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7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7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77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7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7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7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77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7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7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7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78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77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7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7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77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77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7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7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7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77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7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7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7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77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7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7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7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77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7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7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7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77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7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7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7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77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7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7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7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77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7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7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7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77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7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7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7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77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7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78">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779">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77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7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78">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779">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C13" sqref="C13:H14"/>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45539</v>
      </c>
      <c r="D1" s="1302" t="s">
        <v>603</v>
      </c>
      <c r="E1" s="1297">
        <f>'数据-取费表'!B22</f>
        <v>2</v>
      </c>
      <c r="F1" s="1302" t="s">
        <v>604</v>
      </c>
      <c r="G1" s="1298">
        <f ca="1">INDIRECT("d"&amp;$K$1)/100</f>
        <v>3.3500000000000002E-2</v>
      </c>
      <c r="H1" s="1302" t="s">
        <v>634</v>
      </c>
      <c r="I1" s="1298">
        <f ca="1">F4/100</f>
        <v>1.4999999999999999E-2</v>
      </c>
      <c r="J1" s="1303">
        <f>IF(C1&gt;C13,0,MATCH(C1,C$13:C$113,-1))+IF(SUMIF(C13:C113,C1,D13:D113)=0,13,12)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3.35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3.35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3.35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3.35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3.85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0">
        <v>45495</v>
      </c>
      <c r="D13" s="2821">
        <v>3.35</v>
      </c>
      <c r="E13" s="2821">
        <f>D13</f>
        <v>3.35</v>
      </c>
      <c r="F13" s="2821">
        <f>D13</f>
        <v>3.35</v>
      </c>
      <c r="G13" s="2821">
        <f>D13</f>
        <v>3.35</v>
      </c>
      <c r="H13" s="2821">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5"/>
      <c r="C14" s="2817">
        <v>45342</v>
      </c>
      <c r="D14" s="2816">
        <v>3.45</v>
      </c>
      <c r="E14" s="2816">
        <f>D14</f>
        <v>3.45</v>
      </c>
      <c r="F14" s="2816">
        <f>D14</f>
        <v>3.45</v>
      </c>
      <c r="G14" s="2816">
        <f>D14</f>
        <v>3.45</v>
      </c>
      <c r="H14" s="2816">
        <v>3.95</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5"/>
      <c r="C15" s="2817">
        <v>45159</v>
      </c>
      <c r="D15" s="2816">
        <v>3.45</v>
      </c>
      <c r="E15" s="2816">
        <f>D15</f>
        <v>3.45</v>
      </c>
      <c r="F15" s="2816">
        <f>D15</f>
        <v>3.45</v>
      </c>
      <c r="G15" s="2816">
        <f>D15</f>
        <v>3.45</v>
      </c>
      <c r="H15" s="2816">
        <v>4.2</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5"/>
      <c r="C16" s="2817">
        <v>45097</v>
      </c>
      <c r="D16" s="2816">
        <v>3.55</v>
      </c>
      <c r="E16" s="2816">
        <f>D16</f>
        <v>3.55</v>
      </c>
      <c r="F16" s="2816">
        <f>D16</f>
        <v>3.55</v>
      </c>
      <c r="G16" s="2816">
        <f>D16</f>
        <v>3.55</v>
      </c>
      <c r="H16" s="2816">
        <v>4.2</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5"/>
      <c r="C17" s="2817">
        <v>44795</v>
      </c>
      <c r="D17" s="2816">
        <v>3.65</v>
      </c>
      <c r="E17" s="2816">
        <v>3.65</v>
      </c>
      <c r="F17" s="2816">
        <v>3.65</v>
      </c>
      <c r="G17" s="2816">
        <v>3.65</v>
      </c>
      <c r="H17" s="2816">
        <v>4.3</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5"/>
      <c r="C18" s="2817">
        <v>44701</v>
      </c>
      <c r="D18" s="2816">
        <v>3.7</v>
      </c>
      <c r="E18" s="2816">
        <f>D18</f>
        <v>3.7</v>
      </c>
      <c r="F18" s="2816">
        <f>D18</f>
        <v>3.7</v>
      </c>
      <c r="G18" s="2816">
        <f>D18</f>
        <v>3.7</v>
      </c>
      <c r="H18" s="2816">
        <v>4.45</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5.6">
      <c r="A19" s="1284"/>
      <c r="B19" s="2815"/>
      <c r="C19" s="2817">
        <v>44581</v>
      </c>
      <c r="D19" s="2816">
        <v>3.7</v>
      </c>
      <c r="E19" s="2816">
        <f>D19</f>
        <v>3.7</v>
      </c>
      <c r="F19" s="2816">
        <f>D19</f>
        <v>3.7</v>
      </c>
      <c r="G19" s="2816">
        <f>D19</f>
        <v>3.7</v>
      </c>
      <c r="H19" s="2816">
        <v>4.5999999999999996</v>
      </c>
      <c r="I19" s="2821"/>
      <c r="J19" s="2821"/>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6"/>
      <c r="C20" s="2817">
        <v>44550</v>
      </c>
      <c r="D20" s="2816">
        <v>3.8</v>
      </c>
      <c r="E20" s="2816">
        <f>D20</f>
        <v>3.8</v>
      </c>
      <c r="F20" s="2816">
        <f>D20</f>
        <v>3.8</v>
      </c>
      <c r="G20" s="2816">
        <f>D20</f>
        <v>3.8</v>
      </c>
      <c r="H20" s="2816">
        <v>4.6500000000000004</v>
      </c>
      <c r="I20" s="2816"/>
      <c r="J20" s="2821"/>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6"/>
      <c r="C21" s="2817">
        <v>43941</v>
      </c>
      <c r="D21" s="2816">
        <v>3.85</v>
      </c>
      <c r="E21" s="2816">
        <v>3.85</v>
      </c>
      <c r="F21" s="2816">
        <v>3.85</v>
      </c>
      <c r="G21" s="2816">
        <v>3.85</v>
      </c>
      <c r="H21" s="2816">
        <v>4.6500000000000004</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6"/>
      <c r="C22" s="2817">
        <v>43881</v>
      </c>
      <c r="D22" s="2816">
        <v>4.05</v>
      </c>
      <c r="E22" s="2816">
        <v>4.05</v>
      </c>
      <c r="F22" s="2816">
        <v>4.05</v>
      </c>
      <c r="G22" s="2816">
        <v>4.05</v>
      </c>
      <c r="H22" s="2816">
        <v>4.75</v>
      </c>
      <c r="I22" s="2816"/>
      <c r="J22" s="281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2"/>
      <c r="B23" s="2816"/>
      <c r="C23" s="2817">
        <v>43789</v>
      </c>
      <c r="D23" s="2816">
        <v>4.1500000000000004</v>
      </c>
      <c r="E23" s="2816">
        <v>4.1500000000000004</v>
      </c>
      <c r="F23" s="2816">
        <v>4.1500000000000004</v>
      </c>
      <c r="G23" s="2816">
        <v>4.1500000000000004</v>
      </c>
      <c r="H23" s="2816">
        <v>4.8</v>
      </c>
      <c r="I23" s="2816"/>
      <c r="J23" s="281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6"/>
      <c r="C24" s="2817">
        <v>43728</v>
      </c>
      <c r="D24" s="2816">
        <v>4.2</v>
      </c>
      <c r="E24" s="2816">
        <v>4.2</v>
      </c>
      <c r="F24" s="2816">
        <v>4.2</v>
      </c>
      <c r="G24" s="2816">
        <v>4.2</v>
      </c>
      <c r="H24" s="2816">
        <v>4.8499999999999996</v>
      </c>
      <c r="I24" s="2816"/>
      <c r="J24" s="281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5.6">
      <c r="B25" s="2815" t="s">
        <v>2311</v>
      </c>
      <c r="C25" s="2818">
        <v>43697</v>
      </c>
      <c r="D25" s="2819">
        <v>4.25</v>
      </c>
      <c r="E25" s="2819">
        <v>4.25</v>
      </c>
      <c r="F25" s="2819">
        <v>4.25</v>
      </c>
      <c r="G25" s="2819">
        <v>4.25</v>
      </c>
      <c r="H25" s="2819">
        <v>4.8499999999999996</v>
      </c>
      <c r="I25" s="2819"/>
      <c r="J25" s="2819"/>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23"/>
      <c r="C26" s="2824">
        <v>42301</v>
      </c>
      <c r="D26" s="2825">
        <v>4.3499999999999996</v>
      </c>
      <c r="E26" s="2825">
        <v>4.3499999999999996</v>
      </c>
      <c r="F26" s="2825">
        <v>4.75</v>
      </c>
      <c r="G26" s="2825">
        <v>4.75</v>
      </c>
      <c r="H26" s="2825">
        <v>4.9000000000000004</v>
      </c>
      <c r="I26" s="2825"/>
      <c r="J26" s="2825"/>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67" t="str">
        <f>IF(项目基本情况!B9="房地产市场价值","估价结果一览表","结果表-2")</f>
        <v>结果表-2</v>
      </c>
      <c r="B1" s="3467"/>
      <c r="C1" s="3467"/>
      <c r="D1" s="3467"/>
      <c r="E1" s="3467"/>
      <c r="F1" s="3467"/>
      <c r="G1" s="3467"/>
      <c r="H1" s="3467"/>
      <c r="I1" s="3467"/>
    </row>
    <row r="2" spans="1:9" ht="30" customHeight="1" thickTop="1">
      <c r="A2" s="3468" t="s">
        <v>928</v>
      </c>
      <c r="B2" s="3468" t="s">
        <v>929</v>
      </c>
      <c r="C2" s="3468" t="s">
        <v>930</v>
      </c>
      <c r="D2" s="3468" t="str">
        <f>结果表!D116</f>
        <v>出让国有建设用地使用权价值</v>
      </c>
      <c r="E2" s="3468"/>
      <c r="F2" s="3468" t="str">
        <f>结果表!F116</f>
        <v>在建建筑物价值</v>
      </c>
      <c r="G2" s="3468"/>
      <c r="H2" s="3468" t="str">
        <f>IF(项目基本情况!B9="房地产市场价值","房地产市场价值","房地产价值")</f>
        <v>房地产价值</v>
      </c>
      <c r="I2" s="3468"/>
    </row>
    <row r="3" spans="1:9" ht="15.6">
      <c r="A3" s="3463"/>
      <c r="B3" s="3463"/>
      <c r="C3" s="3463"/>
      <c r="D3" s="854" t="s">
        <v>925</v>
      </c>
      <c r="E3" s="854" t="s">
        <v>931</v>
      </c>
      <c r="F3" s="854" t="s">
        <v>925</v>
      </c>
      <c r="G3" s="854" t="s">
        <v>926</v>
      </c>
      <c r="H3" s="854" t="s">
        <v>925</v>
      </c>
      <c r="I3" s="854" t="s">
        <v>926</v>
      </c>
    </row>
    <row r="4" spans="1:9" ht="30">
      <c r="A4" s="1505" t="str">
        <f>项目基本情况!S2</f>
        <v>北京市东城区南竹杆胡同2号房地产</v>
      </c>
      <c r="B4" s="854">
        <f>项目基本情况!C17</f>
        <v>195.03</v>
      </c>
      <c r="C4" s="854">
        <f>项目基本情况!C18</f>
        <v>0</v>
      </c>
      <c r="D4" s="854">
        <f>结果表!D118</f>
        <v>0</v>
      </c>
      <c r="E4" s="854">
        <f>结果表!E118</f>
        <v>0</v>
      </c>
      <c r="F4" s="854">
        <f>结果表!F118</f>
        <v>0</v>
      </c>
      <c r="G4" s="854">
        <f>结果表!G118</f>
        <v>0</v>
      </c>
      <c r="H4" s="854" t="e">
        <f ca="1">结果表!H118</f>
        <v>#REF!</v>
      </c>
      <c r="I4" s="854" t="e">
        <f ca="1">结果表!I118</f>
        <v>#REF!</v>
      </c>
    </row>
    <row r="5" spans="1:9" ht="30" customHeight="1">
      <c r="A5" s="3463" t="s">
        <v>927</v>
      </c>
      <c r="B5" s="3463"/>
      <c r="C5" s="3463"/>
      <c r="D5" s="3463" t="str">
        <f>结果表!D119</f>
        <v>零元整</v>
      </c>
      <c r="E5" s="3463"/>
      <c r="F5" s="3463" t="str">
        <f>结果表!F119</f>
        <v>零元整</v>
      </c>
      <c r="G5" s="3463"/>
      <c r="H5" s="3463" t="e">
        <f ca="1">结果表!H119</f>
        <v>#REF!</v>
      </c>
      <c r="I5" s="3463"/>
    </row>
    <row r="6" spans="1:9" ht="15.6">
      <c r="A6" s="3462" t="str">
        <f>结果表!A120</f>
        <v>估价师知悉的法定优先受偿款</v>
      </c>
      <c r="B6" s="3462"/>
      <c r="C6" s="3462"/>
      <c r="D6" s="3462">
        <f>结果表!D120</f>
        <v>0</v>
      </c>
      <c r="E6" s="3462"/>
      <c r="F6" s="3462"/>
      <c r="G6" s="3462"/>
      <c r="H6" s="3462"/>
      <c r="I6" s="3462"/>
    </row>
    <row r="7" spans="1:9" ht="15">
      <c r="A7" s="3463" t="s">
        <v>927</v>
      </c>
      <c r="B7" s="3463"/>
      <c r="C7" s="3463"/>
      <c r="D7" s="3464" t="str">
        <f>结果表!D121</f>
        <v>零元整</v>
      </c>
      <c r="E7" s="3465"/>
      <c r="F7" s="3465"/>
      <c r="G7" s="3465"/>
      <c r="H7" s="3465"/>
      <c r="I7" s="3466"/>
    </row>
    <row r="8" spans="1:9" ht="15.6">
      <c r="A8" s="3462" t="str">
        <f>结果表!A122</f>
        <v>房地产抵押价值</v>
      </c>
      <c r="B8" s="3462"/>
      <c r="C8" s="3462"/>
      <c r="D8" s="3462" t="e">
        <f ca="1">结果表!D122</f>
        <v>#REF!</v>
      </c>
      <c r="E8" s="3462"/>
      <c r="F8" s="3462"/>
      <c r="G8" s="3462"/>
      <c r="H8" s="3462"/>
      <c r="I8" s="3462"/>
    </row>
    <row r="9" spans="1:9" ht="15">
      <c r="A9" s="3463" t="s">
        <v>927</v>
      </c>
      <c r="B9" s="3463"/>
      <c r="C9" s="3463"/>
      <c r="D9" s="3463" t="e">
        <f ca="1">结果表!D123</f>
        <v>#REF!</v>
      </c>
      <c r="E9" s="3463"/>
      <c r="F9" s="3463"/>
      <c r="G9" s="3463"/>
      <c r="H9" s="3463"/>
      <c r="I9" s="3463"/>
    </row>
    <row r="10" spans="1:9" ht="15.6">
      <c r="A10" s="3462" t="str">
        <f>结果表!A124</f>
        <v/>
      </c>
      <c r="B10" s="3462"/>
      <c r="C10" s="3462"/>
      <c r="D10" s="3462" t="str">
        <f>结果表!D124</f>
        <v>——</v>
      </c>
      <c r="E10" s="3462"/>
      <c r="F10" s="3462"/>
      <c r="G10" s="3462"/>
      <c r="H10" s="3462"/>
      <c r="I10" s="3462"/>
    </row>
    <row r="11" spans="1:9" ht="15">
      <c r="A11" s="3463" t="s">
        <v>927</v>
      </c>
      <c r="B11" s="3463"/>
      <c r="C11" s="3463"/>
      <c r="D11" s="3463" t="e">
        <f>结果表!D125</f>
        <v>#VALUE!</v>
      </c>
      <c r="E11" s="3463"/>
      <c r="F11" s="3463"/>
      <c r="G11" s="3463"/>
      <c r="H11" s="3463"/>
      <c r="I11" s="3463"/>
    </row>
    <row r="12" spans="1:9" ht="15.6">
      <c r="A12" s="3462" t="str">
        <f>结果表!A126</f>
        <v/>
      </c>
      <c r="B12" s="3462"/>
      <c r="C12" s="3462"/>
      <c r="D12" s="3462" t="str">
        <f>结果表!D126</f>
        <v>——</v>
      </c>
      <c r="E12" s="3462"/>
      <c r="F12" s="3462"/>
      <c r="G12" s="3462"/>
      <c r="H12" s="3462"/>
      <c r="I12" s="3462"/>
    </row>
    <row r="13" spans="1:9" ht="15.6" thickBot="1">
      <c r="A13" s="3460" t="s">
        <v>927</v>
      </c>
      <c r="B13" s="3460"/>
      <c r="C13" s="3460"/>
      <c r="D13" s="3460" t="e">
        <f>结果表!D127</f>
        <v>#VALUE!</v>
      </c>
      <c r="E13" s="3460"/>
      <c r="F13" s="3460"/>
      <c r="G13" s="3460"/>
      <c r="H13" s="3460"/>
      <c r="I13" s="3460"/>
    </row>
    <row r="14" spans="1:9" ht="14.4" thickTop="1">
      <c r="A14" s="3461" t="s">
        <v>932</v>
      </c>
      <c r="B14" s="3461"/>
      <c r="C14" s="3461"/>
      <c r="D14" s="3461"/>
      <c r="E14" s="3461"/>
      <c r="F14" s="3461"/>
      <c r="G14" s="3461"/>
      <c r="H14" s="3461"/>
      <c r="I14" s="3461"/>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475" t="s">
        <v>949</v>
      </c>
      <c r="B1" s="3475"/>
      <c r="C1" s="3475"/>
      <c r="D1" s="3475"/>
    </row>
    <row r="2" spans="1:4" ht="17.399999999999999">
      <c r="A2" s="3476" t="s">
        <v>933</v>
      </c>
      <c r="B2" s="3476"/>
      <c r="C2" s="3476"/>
      <c r="D2" s="3476"/>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476" t="s">
        <v>939</v>
      </c>
      <c r="B6" s="3476"/>
      <c r="C6" s="3476"/>
      <c r="D6" s="3476"/>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477" t="s">
        <v>942</v>
      </c>
      <c r="B11" s="3469"/>
      <c r="C11" s="3469"/>
      <c r="D11" s="3469"/>
    </row>
    <row r="12" spans="1:4" ht="15.6">
      <c r="A12" s="34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4"/>
      <c r="C12" s="3474"/>
      <c r="D12" s="3474"/>
    </row>
    <row r="13" spans="1:4" ht="30" customHeight="1">
      <c r="A13" s="346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4"/>
      <c r="C13" s="3474"/>
      <c r="D13" s="3474"/>
    </row>
    <row r="14" spans="1:4" ht="15.75" customHeight="1">
      <c r="A14" s="3469" t="str">
        <f>IF(项目基本情况!B8="抵押","4.本次评估估价师所知悉的法定优先受偿款情况说明如下：","——")</f>
        <v>4.本次评估估价师所知悉的法定优先受偿款情况说明如下：</v>
      </c>
      <c r="B14" s="3474"/>
      <c r="C14" s="3474"/>
      <c r="D14" s="3474"/>
    </row>
    <row r="15" spans="1:4" ht="42" customHeight="1">
      <c r="A15" s="346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9"/>
      <c r="C15" s="3469"/>
      <c r="D15" s="3469"/>
    </row>
    <row r="16" spans="1:4" ht="30" customHeight="1">
      <c r="A16" s="3471" t="s">
        <v>943</v>
      </c>
      <c r="B16" s="3471"/>
      <c r="C16" s="3471"/>
      <c r="D16" s="3471"/>
    </row>
    <row r="17" spans="1:4" ht="144" customHeight="1">
      <c r="A17" s="3471" t="s">
        <v>944</v>
      </c>
      <c r="B17" s="3471"/>
      <c r="C17" s="3471"/>
      <c r="D17" s="3471"/>
    </row>
    <row r="18" spans="1:4" ht="15.75" customHeight="1">
      <c r="A18" s="3469" t="str">
        <f>IF(项目基本情况!B8="抵押",结果表!K120,"——")</f>
        <v>故，本次评估不存在估价师知悉的法定优先受偿款</v>
      </c>
      <c r="B18" s="3469"/>
      <c r="C18" s="3469"/>
      <c r="D18" s="3469"/>
    </row>
    <row r="19" spans="1:4" ht="46.5" customHeight="1">
      <c r="A19" s="34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9"/>
      <c r="C19" s="3469"/>
      <c r="D19" s="3469"/>
    </row>
    <row r="20" spans="1:4" ht="57.75" customHeight="1">
      <c r="A20" s="34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9"/>
      <c r="C20" s="3469"/>
      <c r="D20" s="3469"/>
    </row>
    <row r="21" spans="1:4" ht="57.75" customHeight="1">
      <c r="A21" s="34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2"/>
      <c r="C21" s="3472"/>
      <c r="D21" s="3472"/>
    </row>
    <row r="22" spans="1:4" ht="18.75" customHeight="1">
      <c r="A22" s="3473" t="s">
        <v>945</v>
      </c>
      <c r="B22" s="3473"/>
      <c r="C22" s="3473"/>
      <c r="D22" s="3473"/>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470">
        <v>42551</v>
      </c>
      <c r="D31" s="347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483" t="s">
        <v>956</v>
      </c>
      <c r="B15" s="3478" t="s">
        <v>109</v>
      </c>
      <c r="C15" s="3479"/>
    </row>
    <row r="16" spans="1:7" ht="14.4">
      <c r="A16" s="3484"/>
      <c r="B16" s="3478" t="s">
        <v>42</v>
      </c>
      <c r="C16" s="3479"/>
    </row>
    <row r="17" spans="1:3" ht="14.4">
      <c r="A17" s="3484"/>
      <c r="B17" s="3481" t="s">
        <v>957</v>
      </c>
      <c r="C17" s="1532" t="s">
        <v>956</v>
      </c>
    </row>
    <row r="18" spans="1:3" ht="14.4">
      <c r="A18" s="3484"/>
      <c r="B18" s="3481"/>
      <c r="C18" s="1532" t="s">
        <v>958</v>
      </c>
    </row>
    <row r="19" spans="1:3" ht="14.4">
      <c r="A19" s="3484"/>
      <c r="B19" s="3481"/>
      <c r="C19" s="1532" t="s">
        <v>959</v>
      </c>
    </row>
    <row r="20" spans="1:3" ht="14.4">
      <c r="A20" s="3485"/>
      <c r="B20" s="3480" t="s">
        <v>960</v>
      </c>
      <c r="C20" s="3479"/>
    </row>
    <row r="21" spans="1:3" ht="14.4">
      <c r="A21" s="1533" t="s">
        <v>961</v>
      </c>
      <c r="B21" s="1534"/>
      <c r="C21" s="1535"/>
    </row>
    <row r="22" spans="1:3" ht="14.4">
      <c r="A22" s="3482" t="s">
        <v>962</v>
      </c>
      <c r="B22" s="3480" t="s">
        <v>963</v>
      </c>
      <c r="C22" s="3479"/>
    </row>
    <row r="23" spans="1:3" ht="14.4">
      <c r="A23" s="3482"/>
      <c r="B23" s="3480" t="s">
        <v>964</v>
      </c>
      <c r="C23" s="3479"/>
    </row>
    <row r="24" spans="1:3" ht="14.4">
      <c r="A24" s="3482"/>
      <c r="B24" s="3480" t="s">
        <v>965</v>
      </c>
      <c r="C24" s="3479"/>
    </row>
    <row r="25" spans="1:3" ht="14.4">
      <c r="A25" s="3482"/>
      <c r="B25" s="3481" t="s">
        <v>966</v>
      </c>
      <c r="C25" s="1532" t="s">
        <v>967</v>
      </c>
    </row>
    <row r="26" spans="1:3" ht="14.4">
      <c r="A26" s="3482"/>
      <c r="B26" s="3481"/>
      <c r="C26" s="1532" t="s">
        <v>968</v>
      </c>
    </row>
    <row r="27" spans="1:3" ht="14.4">
      <c r="A27" s="3482"/>
      <c r="B27" s="3481"/>
      <c r="C27" s="1532" t="s">
        <v>969</v>
      </c>
    </row>
    <row r="28" spans="1:3" ht="14.4">
      <c r="A28" s="3482"/>
      <c r="B28" s="3481"/>
      <c r="C28" s="1532" t="s">
        <v>970</v>
      </c>
    </row>
    <row r="29" spans="1:3" ht="14.4">
      <c r="A29" s="3482"/>
      <c r="B29" s="3481"/>
      <c r="C29" s="1532" t="s">
        <v>971</v>
      </c>
    </row>
    <row r="30" spans="1:3" ht="14.4">
      <c r="A30" s="3482"/>
      <c r="B30" s="3481"/>
      <c r="C30" s="1532" t="s">
        <v>972</v>
      </c>
    </row>
    <row r="31" spans="1:3" ht="14.4">
      <c r="A31" s="3482"/>
      <c r="B31" s="3481"/>
      <c r="C31" s="1532" t="s">
        <v>973</v>
      </c>
    </row>
    <row r="32" spans="1:3" ht="14.4">
      <c r="A32" s="3482"/>
      <c r="B32" s="3481"/>
      <c r="C32" s="1532" t="s">
        <v>974</v>
      </c>
    </row>
    <row r="33" spans="1:3" ht="14.4">
      <c r="A33" s="3482"/>
      <c r="B33" s="3481"/>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45539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6" t="s">
        <v>2160</v>
      </c>
      <c r="B17" s="3486"/>
      <c r="C17" s="3486"/>
      <c r="D17" s="3486"/>
      <c r="E17" s="3486"/>
      <c r="F17" s="3486"/>
      <c r="G17" s="3486"/>
      <c r="H17" s="3486"/>
    </row>
    <row r="18" spans="1:8" ht="24" customHeight="1">
      <c r="A18" s="3487" t="s">
        <v>2161</v>
      </c>
      <c r="B18" s="3487"/>
      <c r="C18" s="3487"/>
      <c r="D18" s="2343"/>
      <c r="E18" s="3488" t="s">
        <v>2162</v>
      </c>
      <c r="F18" s="3487"/>
      <c r="G18" s="3487"/>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2024-09-04T04:22:47Z</dcterms:modified>
</cp:coreProperties>
</file>