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深圳华强北\"/>
    </mc:Choice>
  </mc:AlternateContent>
  <bookViews>
    <workbookView xWindow="480" yWindow="216"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文件" sheetId="69" r:id="rId45"/>
    <sheet name="土地案例" sheetId="70" r:id="rId46"/>
    <sheet name="办公案例" sheetId="75" r:id="rId47"/>
    <sheet name="商业案例" sheetId="76" r:id="rId48"/>
    <sheet name="公寓案例" sheetId="77" r:id="rId49"/>
    <sheet name="车库案例" sheetId="78" r:id="rId5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U10" i="1" l="1"/>
  <c r="G31" i="76"/>
  <c r="U6" i="1"/>
  <c r="G29" i="76"/>
  <c r="AN13" i="3"/>
  <c r="E9" i="6"/>
  <c r="D79" i="21"/>
  <c r="F17" i="21"/>
  <c r="AA17" i="21"/>
  <c r="F19" i="21"/>
  <c r="AA19" i="21"/>
  <c r="D83" i="21"/>
  <c r="F21" i="21"/>
  <c r="AA21" i="21"/>
  <c r="F23" i="21"/>
  <c r="AA23" i="21"/>
  <c r="F25" i="21"/>
  <c r="AA25" i="21"/>
  <c r="F26" i="21"/>
  <c r="AA26" i="21"/>
  <c r="F32" i="21"/>
  <c r="AA32" i="21"/>
  <c r="F34" i="21"/>
  <c r="AA34" i="21"/>
  <c r="F35" i="21"/>
  <c r="AA35" i="21"/>
  <c r="F36" i="21"/>
  <c r="AA36" i="21"/>
  <c r="D113" i="21"/>
  <c r="E113" i="21"/>
  <c r="F113" i="21"/>
  <c r="G113" i="21"/>
  <c r="F37" i="21"/>
  <c r="AA37" i="21"/>
  <c r="F38" i="21"/>
  <c r="AA38" i="21"/>
  <c r="F39" i="21"/>
  <c r="AA39" i="21"/>
  <c r="F40" i="21"/>
  <c r="AA40" i="21"/>
  <c r="F42" i="21"/>
  <c r="AA42" i="21"/>
  <c r="D125" i="21"/>
  <c r="F43" i="21"/>
  <c r="AA43" i="21"/>
  <c r="R47" i="21"/>
  <c r="D3" i="4"/>
  <c r="B2" i="1"/>
  <c r="C7" i="21"/>
  <c r="E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D69" i="21"/>
  <c r="E69" i="21"/>
  <c r="F69" i="21"/>
  <c r="G69" i="21"/>
  <c r="H69" i="21"/>
  <c r="I13" i="3"/>
  <c r="I5" i="3"/>
  <c r="K5" i="3"/>
  <c r="M13" i="3"/>
  <c r="M5" i="3"/>
  <c r="O5" i="3"/>
  <c r="J5" i="3"/>
  <c r="L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D5" i="3"/>
  <c r="AE5" i="3"/>
  <c r="AF5" i="3"/>
  <c r="AG5" i="3"/>
  <c r="AH5" i="3"/>
  <c r="AI5" i="3"/>
  <c r="AJ5" i="3"/>
  <c r="AK5" i="3"/>
  <c r="AL5" i="3"/>
  <c r="AM5" i="3"/>
  <c r="AN5" i="3"/>
  <c r="AO5" i="3"/>
  <c r="AP5" i="3"/>
  <c r="AQ5" i="3"/>
  <c r="AR5" i="3"/>
  <c r="AS5" i="3"/>
  <c r="I4" i="6"/>
  <c r="C11" i="21"/>
  <c r="I69" i="21"/>
  <c r="J69" i="21"/>
  <c r="K69" i="21"/>
  <c r="F11" i="21"/>
  <c r="AA11" i="21"/>
  <c r="B70" i="21"/>
  <c r="F12" i="21"/>
  <c r="AA12" i="21"/>
  <c r="B72" i="21"/>
  <c r="F13" i="21"/>
  <c r="AA13" i="21"/>
  <c r="B74" i="21"/>
  <c r="F14" i="21"/>
  <c r="AA14" i="21"/>
  <c r="D77" i="21"/>
  <c r="F15" i="21"/>
  <c r="AA15" i="21"/>
  <c r="B90" i="21"/>
  <c r="F27" i="21"/>
  <c r="AA27" i="21"/>
  <c r="B92" i="21"/>
  <c r="F28" i="21"/>
  <c r="AA28" i="21"/>
  <c r="B94" i="21"/>
  <c r="F29" i="21"/>
  <c r="AA29" i="21"/>
  <c r="B96" i="21"/>
  <c r="F30" i="21"/>
  <c r="AA30" i="21"/>
  <c r="B98" i="21"/>
  <c r="F31" i="21"/>
  <c r="AA31" i="2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C33" i="21"/>
  <c r="F33" i="21"/>
  <c r="AA33" i="21"/>
  <c r="F41" i="21"/>
  <c r="AA41" i="21"/>
  <c r="B126" i="21"/>
  <c r="F44" i="21"/>
  <c r="AA44" i="21"/>
  <c r="B128" i="21"/>
  <c r="F45" i="21"/>
  <c r="AA45" i="21"/>
  <c r="B130" i="21"/>
  <c r="F46" i="21"/>
  <c r="AA46" i="21"/>
  <c r="R48" i="21"/>
  <c r="H17" i="21"/>
  <c r="AB17" i="21"/>
  <c r="H19" i="21"/>
  <c r="AB19" i="21"/>
  <c r="H21" i="21"/>
  <c r="AB21" i="21"/>
  <c r="H23" i="21"/>
  <c r="AB23" i="21"/>
  <c r="H25" i="21"/>
  <c r="AB25" i="21"/>
  <c r="H26" i="21"/>
  <c r="AB26" i="21"/>
  <c r="H32" i="21"/>
  <c r="AB32" i="21"/>
  <c r="H34" i="21"/>
  <c r="AB34" i="21"/>
  <c r="H35" i="21"/>
  <c r="AB35" i="21"/>
  <c r="H36" i="21"/>
  <c r="AB36" i="21"/>
  <c r="H37" i="21"/>
  <c r="AB37" i="21"/>
  <c r="H38" i="21"/>
  <c r="AB38" i="21"/>
  <c r="H39" i="21"/>
  <c r="AB39" i="21"/>
  <c r="H40" i="21"/>
  <c r="AB40" i="21"/>
  <c r="H42" i="21"/>
  <c r="AB42" i="21"/>
  <c r="H43" i="21"/>
  <c r="AB43" i="21"/>
  <c r="T47" i="21"/>
  <c r="G7" i="21"/>
  <c r="H7" i="21"/>
  <c r="AB7" i="21"/>
  <c r="H8" i="21"/>
  <c r="AB8" i="21"/>
  <c r="H9" i="21"/>
  <c r="AB9" i="21"/>
  <c r="H10" i="21"/>
  <c r="AB10" i="21"/>
  <c r="H11" i="21"/>
  <c r="AB11" i="21"/>
  <c r="H12" i="21"/>
  <c r="AB12" i="21"/>
  <c r="H13" i="21"/>
  <c r="AB13" i="21"/>
  <c r="H14" i="21"/>
  <c r="AB14" i="21"/>
  <c r="H15" i="21"/>
  <c r="AB15" i="21"/>
  <c r="H27" i="21"/>
  <c r="AB27" i="21"/>
  <c r="H28" i="21"/>
  <c r="AB28" i="21"/>
  <c r="H29" i="21"/>
  <c r="AB29" i="21"/>
  <c r="H30" i="21"/>
  <c r="AB30" i="21"/>
  <c r="H31" i="21"/>
  <c r="AB31" i="21"/>
  <c r="H33" i="21"/>
  <c r="AB33" i="21"/>
  <c r="H41" i="21"/>
  <c r="AB41" i="21"/>
  <c r="H44" i="21"/>
  <c r="AB44" i="21"/>
  <c r="H45" i="21"/>
  <c r="AB45" i="21"/>
  <c r="H46" i="21"/>
  <c r="AB46" i="21"/>
  <c r="T48" i="21"/>
  <c r="J17" i="21"/>
  <c r="AC17" i="21"/>
  <c r="J19" i="21"/>
  <c r="AC19" i="21"/>
  <c r="J21" i="21"/>
  <c r="AC21" i="21"/>
  <c r="J23" i="21"/>
  <c r="AC23" i="21"/>
  <c r="J25" i="21"/>
  <c r="AC25" i="21"/>
  <c r="J26" i="21"/>
  <c r="AC26" i="21"/>
  <c r="J32" i="21"/>
  <c r="AC32" i="21"/>
  <c r="J34" i="21"/>
  <c r="AC34" i="21"/>
  <c r="J35" i="21"/>
  <c r="AC35" i="21"/>
  <c r="J36" i="21"/>
  <c r="AC36" i="21"/>
  <c r="J37" i="21"/>
  <c r="AC37" i="21"/>
  <c r="J38" i="21"/>
  <c r="AC38" i="21"/>
  <c r="J39" i="21"/>
  <c r="AC39" i="21"/>
  <c r="J40" i="21"/>
  <c r="AC40" i="21"/>
  <c r="J42" i="21"/>
  <c r="AC42" i="21"/>
  <c r="J43" i="21"/>
  <c r="AC43" i="21"/>
  <c r="V47" i="21"/>
  <c r="I7" i="21"/>
  <c r="J7" i="21"/>
  <c r="AC7" i="21"/>
  <c r="J8" i="21"/>
  <c r="AC8" i="21"/>
  <c r="J9" i="21"/>
  <c r="AC9" i="21"/>
  <c r="J10" i="21"/>
  <c r="AC10" i="21"/>
  <c r="L69" i="21"/>
  <c r="M69" i="21"/>
  <c r="J11" i="21"/>
  <c r="AC11" i="21"/>
  <c r="J12" i="21"/>
  <c r="AC12" i="21"/>
  <c r="J13" i="21"/>
  <c r="AC13" i="21"/>
  <c r="J14" i="21"/>
  <c r="AC14" i="21"/>
  <c r="J15" i="21"/>
  <c r="AC15" i="21"/>
  <c r="J27" i="21"/>
  <c r="AC27" i="21"/>
  <c r="J28" i="21"/>
  <c r="AC28" i="21"/>
  <c r="J29" i="21"/>
  <c r="AC29" i="21"/>
  <c r="J30" i="21"/>
  <c r="AC30" i="21"/>
  <c r="J31" i="21"/>
  <c r="AC31" i="21"/>
  <c r="J33" i="21"/>
  <c r="AC33" i="21"/>
  <c r="J41" i="21"/>
  <c r="AC41" i="21"/>
  <c r="J44" i="21"/>
  <c r="AC44" i="21"/>
  <c r="J45" i="21"/>
  <c r="AC45" i="21"/>
  <c r="J46" i="21"/>
  <c r="AC46" i="21"/>
  <c r="V48" i="21"/>
  <c r="R49" i="21"/>
  <c r="C49" i="21"/>
  <c r="B3" i="21"/>
  <c r="C19" i="6"/>
  <c r="C20" i="6"/>
  <c r="C21" i="6"/>
  <c r="F21" i="6"/>
  <c r="E21" i="6"/>
  <c r="C22" i="6"/>
  <c r="C23" i="6"/>
  <c r="C24" i="6"/>
  <c r="F19" i="6"/>
  <c r="E19" i="6"/>
  <c r="F20" i="6"/>
  <c r="E20" i="6"/>
  <c r="F22" i="6"/>
  <c r="E22" i="6"/>
  <c r="G23" i="6"/>
  <c r="E23" i="6"/>
  <c r="G24"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D3" i="21"/>
  <c r="B2" i="21"/>
  <c r="E10" i="12"/>
  <c r="E8" i="12"/>
  <c r="C7"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F83" i="39"/>
  <c r="G83" i="39"/>
  <c r="H83" i="39"/>
  <c r="I83" i="39"/>
  <c r="J83" i="39"/>
  <c r="K83" i="39"/>
  <c r="L83" i="39"/>
  <c r="C13" i="39"/>
  <c r="F13" i="39"/>
  <c r="AA13" i="39"/>
  <c r="B84" i="39"/>
  <c r="F14" i="39"/>
  <c r="AA14" i="39"/>
  <c r="B86" i="39"/>
  <c r="F15" i="39"/>
  <c r="AA15" i="39"/>
  <c r="B88" i="39"/>
  <c r="F16" i="39"/>
  <c r="AA16" i="39"/>
  <c r="F17" i="39"/>
  <c r="AA17" i="39"/>
  <c r="F19" i="39"/>
  <c r="AA19" i="39"/>
  <c r="F21" i="39"/>
  <c r="AA21" i="39"/>
  <c r="F23" i="39"/>
  <c r="AA23" i="39"/>
  <c r="D99" i="39"/>
  <c r="F25" i="39"/>
  <c r="AA25" i="39"/>
  <c r="F27" i="39"/>
  <c r="AA27" i="39"/>
  <c r="F29" i="39"/>
  <c r="AA29" i="39"/>
  <c r="D105"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F41" i="39"/>
  <c r="AA41" i="39"/>
  <c r="F42" i="39"/>
  <c r="AA42" i="39"/>
  <c r="D126" i="39"/>
  <c r="F43" i="39"/>
  <c r="AA43" i="39"/>
  <c r="F44" i="39"/>
  <c r="AA44" i="39"/>
  <c r="B129" i="39"/>
  <c r="F45" i="39"/>
  <c r="AA45" i="39"/>
  <c r="B131" i="39"/>
  <c r="F46" i="39"/>
  <c r="AA46" i="39"/>
  <c r="B133" i="39"/>
  <c r="F47" i="39"/>
  <c r="AA47" i="39"/>
  <c r="G24" i="76"/>
  <c r="G25" i="76"/>
  <c r="G26" i="76"/>
  <c r="G27" i="76"/>
  <c r="G28" i="76"/>
  <c r="E31" i="76"/>
  <c r="E24" i="76"/>
  <c r="E25" i="76"/>
  <c r="E26" i="76"/>
  <c r="E27" i="76"/>
  <c r="E29" i="76"/>
  <c r="A6" i="1"/>
  <c r="A7" i="1"/>
  <c r="A8" i="1"/>
  <c r="A9" i="1"/>
  <c r="A10" i="1"/>
  <c r="A11" i="1"/>
  <c r="A12" i="1"/>
  <c r="A13" i="1"/>
  <c r="G1" i="74"/>
  <c r="F6" i="74"/>
  <c r="F8" i="74"/>
  <c r="F7" i="74"/>
  <c r="F9" i="74"/>
  <c r="C6" i="74"/>
  <c r="C1" i="65"/>
  <c r="N1" i="65"/>
  <c r="N4" i="65"/>
  <c r="C4" i="65"/>
  <c r="B39" i="1"/>
  <c r="F11" i="74"/>
  <c r="C10" i="74"/>
  <c r="C5" i="74"/>
  <c r="B43" i="1"/>
  <c r="B41" i="1"/>
  <c r="F32" i="74"/>
  <c r="C32" i="74"/>
  <c r="F33" i="74"/>
  <c r="C33" i="74"/>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AY6" i="3"/>
  <c r="D3" i="6"/>
  <c r="E3" i="6"/>
  <c r="D24" i="6"/>
  <c r="K24" i="6"/>
  <c r="L24" i="6"/>
  <c r="M24" i="6"/>
  <c r="I24" i="6"/>
  <c r="H24" i="6"/>
  <c r="R24" i="6"/>
  <c r="R11" i="1"/>
  <c r="F35" i="74"/>
  <c r="B52" i="1"/>
  <c r="F34" i="74"/>
  <c r="C34" i="74"/>
  <c r="C31" i="74"/>
  <c r="K11" i="1"/>
  <c r="M11" i="1"/>
  <c r="T4" i="1"/>
  <c r="K14" i="1"/>
  <c r="M14" i="1"/>
  <c r="S11" i="1"/>
  <c r="K19" i="6"/>
  <c r="S6" i="1"/>
  <c r="K20" i="6"/>
  <c r="S7" i="1"/>
  <c r="K21" i="6"/>
  <c r="S8" i="1"/>
  <c r="K22" i="6"/>
  <c r="S9" i="1"/>
  <c r="K23" i="6"/>
  <c r="S10" i="1"/>
  <c r="S12" i="1"/>
  <c r="S13" i="1"/>
  <c r="S16" i="1"/>
  <c r="T11" i="1"/>
  <c r="C14" i="74"/>
  <c r="F15" i="74"/>
  <c r="C15" i="74"/>
  <c r="F16" i="74"/>
  <c r="C16" i="74"/>
  <c r="F43" i="74"/>
  <c r="F17" i="74"/>
  <c r="C17" i="74"/>
  <c r="F18" i="74"/>
  <c r="C18" i="74"/>
  <c r="C19" i="74"/>
  <c r="F20" i="74"/>
  <c r="C20" i="74"/>
  <c r="H1" i="65"/>
  <c r="I5" i="65"/>
  <c r="B22" i="1"/>
  <c r="C2" i="65"/>
  <c r="I1" i="65"/>
  <c r="E2" i="65"/>
  <c r="B40" i="1"/>
  <c r="F24" i="74"/>
  <c r="F23" i="74"/>
  <c r="C23" i="74"/>
  <c r="F26" i="74"/>
  <c r="C26" i="74"/>
  <c r="F21" i="74"/>
  <c r="C24" i="74"/>
  <c r="C27" i="74"/>
  <c r="F28" i="74"/>
  <c r="C42" i="1"/>
  <c r="C28" i="74"/>
  <c r="C29" i="74"/>
  <c r="F36" i="74"/>
  <c r="C36" i="74"/>
  <c r="F13" i="74"/>
  <c r="C13" i="74"/>
  <c r="F37" i="74"/>
  <c r="C37" i="74"/>
  <c r="F38" i="74"/>
  <c r="C38" i="74"/>
  <c r="C30" i="74"/>
  <c r="C39" i="74"/>
  <c r="F42" i="74"/>
  <c r="F40" i="74"/>
  <c r="G17" i="4"/>
  <c r="G19" i="4"/>
  <c r="F11" i="1"/>
  <c r="L48" i="74"/>
  <c r="M47" i="74"/>
  <c r="J50" i="74"/>
  <c r="J51" i="74"/>
  <c r="J53" i="74"/>
  <c r="F1" i="74"/>
  <c r="AN11" i="1"/>
  <c r="AE11" i="1"/>
  <c r="F41" i="74"/>
  <c r="C40" i="74"/>
  <c r="F45" i="74"/>
  <c r="M6" i="74"/>
  <c r="M8" i="74"/>
  <c r="M7" i="74"/>
  <c r="M9" i="74"/>
  <c r="J6" i="74"/>
  <c r="M11" i="74"/>
  <c r="J10" i="74"/>
  <c r="J5" i="74"/>
  <c r="J26" i="74"/>
  <c r="J29" i="74"/>
  <c r="L46" i="74"/>
  <c r="B2" i="74"/>
  <c r="B3" i="74"/>
  <c r="H8" i="12"/>
  <c r="G1" i="73"/>
  <c r="F6" i="73"/>
  <c r="F8" i="73"/>
  <c r="K10" i="1"/>
  <c r="F7" i="73"/>
  <c r="F9" i="73"/>
  <c r="C6" i="73"/>
  <c r="F11" i="73"/>
  <c r="C10" i="73"/>
  <c r="C5" i="73"/>
  <c r="F32" i="73"/>
  <c r="C32" i="73"/>
  <c r="F33" i="73"/>
  <c r="C33" i="73"/>
  <c r="D23" i="6"/>
  <c r="L23" i="6"/>
  <c r="M23" i="6"/>
  <c r="I23" i="6"/>
  <c r="H23" i="6"/>
  <c r="R23" i="6"/>
  <c r="R10" i="1"/>
  <c r="F35" i="73"/>
  <c r="F34" i="73"/>
  <c r="C34" i="73"/>
  <c r="C31" i="73"/>
  <c r="M10" i="1"/>
  <c r="T10" i="1"/>
  <c r="C14" i="73"/>
  <c r="F15" i="73"/>
  <c r="C15" i="73"/>
  <c r="F16" i="73"/>
  <c r="C16" i="73"/>
  <c r="F43" i="73"/>
  <c r="F17" i="73"/>
  <c r="C17" i="73"/>
  <c r="F18"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E19" i="4"/>
  <c r="F10" i="1"/>
  <c r="L48" i="73"/>
  <c r="M47" i="73"/>
  <c r="J50" i="73"/>
  <c r="J51" i="73"/>
  <c r="J53" i="73"/>
  <c r="F1" i="73"/>
  <c r="AN10" i="1"/>
  <c r="AE10" i="1"/>
  <c r="F41" i="73"/>
  <c r="C40" i="73"/>
  <c r="M6" i="73"/>
  <c r="M8" i="73"/>
  <c r="M7" i="73"/>
  <c r="M9" i="73"/>
  <c r="J6" i="73"/>
  <c r="M11" i="73"/>
  <c r="J10" i="73"/>
  <c r="J5" i="73"/>
  <c r="J26" i="73"/>
  <c r="J29" i="73"/>
  <c r="L46" i="73"/>
  <c r="B2" i="73"/>
  <c r="G10" i="12"/>
  <c r="B3" i="73"/>
  <c r="G8" i="12"/>
  <c r="G1" i="72"/>
  <c r="F6" i="72"/>
  <c r="F8" i="72"/>
  <c r="K8" i="1"/>
  <c r="F7" i="72"/>
  <c r="F9" i="72"/>
  <c r="C6" i="72"/>
  <c r="F11" i="72"/>
  <c r="C10" i="72"/>
  <c r="C5" i="72"/>
  <c r="F32" i="72"/>
  <c r="C32" i="72"/>
  <c r="F33" i="72"/>
  <c r="C33" i="72"/>
  <c r="D21" i="6"/>
  <c r="L21" i="6"/>
  <c r="M21" i="6"/>
  <c r="I21" i="6"/>
  <c r="H21" i="6"/>
  <c r="R21" i="6"/>
  <c r="R8" i="1"/>
  <c r="F35" i="72"/>
  <c r="F34" i="72"/>
  <c r="C34" i="72"/>
  <c r="C31" i="72"/>
  <c r="M8" i="1"/>
  <c r="T8" i="1"/>
  <c r="C14" i="72"/>
  <c r="F15" i="72"/>
  <c r="C15" i="72"/>
  <c r="F16" i="72"/>
  <c r="C16" i="72"/>
  <c r="F43" i="72"/>
  <c r="F17" i="72"/>
  <c r="C17" i="72"/>
  <c r="F18" i="72"/>
  <c r="C18" i="72"/>
  <c r="C19" i="72"/>
  <c r="F20" i="72"/>
  <c r="C20" i="72"/>
  <c r="F24" i="72"/>
  <c r="F23" i="72"/>
  <c r="C23" i="72"/>
  <c r="F26" i="72"/>
  <c r="C26" i="72"/>
  <c r="F21" i="72"/>
  <c r="C24" i="72"/>
  <c r="C27" i="72"/>
  <c r="F28" i="72"/>
  <c r="C28" i="72"/>
  <c r="C29" i="72"/>
  <c r="F36" i="72"/>
  <c r="C36" i="72"/>
  <c r="F13" i="72"/>
  <c r="C13" i="72"/>
  <c r="F37" i="72"/>
  <c r="C37" i="72"/>
  <c r="F38" i="72"/>
  <c r="C38" i="72"/>
  <c r="C30" i="72"/>
  <c r="C39" i="72"/>
  <c r="F42" i="72"/>
  <c r="F40" i="72"/>
  <c r="F8" i="1"/>
  <c r="L48" i="72"/>
  <c r="M47" i="72"/>
  <c r="J50" i="72"/>
  <c r="J51" i="72"/>
  <c r="J53" i="72"/>
  <c r="F1" i="72"/>
  <c r="AE8" i="1"/>
  <c r="F41" i="72"/>
  <c r="C40" i="72"/>
  <c r="M6" i="72"/>
  <c r="M8" i="72"/>
  <c r="M7" i="72"/>
  <c r="M9" i="72"/>
  <c r="J6" i="72"/>
  <c r="M11" i="72"/>
  <c r="J10" i="72"/>
  <c r="J5" i="72"/>
  <c r="J26" i="72"/>
  <c r="J29" i="72"/>
  <c r="L46" i="72"/>
  <c r="B2" i="72"/>
  <c r="B3" i="72"/>
  <c r="G1" i="71"/>
  <c r="F6" i="71"/>
  <c r="F8" i="71"/>
  <c r="K7" i="1"/>
  <c r="F7" i="71"/>
  <c r="F9" i="71"/>
  <c r="C6" i="71"/>
  <c r="F11" i="71"/>
  <c r="C10" i="71"/>
  <c r="C5" i="71"/>
  <c r="F32" i="71"/>
  <c r="C32" i="71"/>
  <c r="F33" i="71"/>
  <c r="C33" i="71"/>
  <c r="D20" i="6"/>
  <c r="L20" i="6"/>
  <c r="M20" i="6"/>
  <c r="I20" i="6"/>
  <c r="H20" i="6"/>
  <c r="R20" i="6"/>
  <c r="R7" i="1"/>
  <c r="F35" i="71"/>
  <c r="F34" i="71"/>
  <c r="C34" i="71"/>
  <c r="C31" i="71"/>
  <c r="M7" i="1"/>
  <c r="T7" i="1"/>
  <c r="C14" i="71"/>
  <c r="F15" i="71"/>
  <c r="C15" i="71"/>
  <c r="F16" i="71"/>
  <c r="C16" i="71"/>
  <c r="F43" i="71"/>
  <c r="F17" i="71"/>
  <c r="C17" i="71"/>
  <c r="F18" i="71"/>
  <c r="C18" i="71"/>
  <c r="C19" i="71"/>
  <c r="F20" i="71"/>
  <c r="C20" i="71"/>
  <c r="F24" i="71"/>
  <c r="F23" i="71"/>
  <c r="C23" i="71"/>
  <c r="F26" i="71"/>
  <c r="C26" i="71"/>
  <c r="F21" i="71"/>
  <c r="C24" i="71"/>
  <c r="C27" i="71"/>
  <c r="F28" i="71"/>
  <c r="C28" i="71"/>
  <c r="C29" i="71"/>
  <c r="F36" i="71"/>
  <c r="C36" i="71"/>
  <c r="F13" i="71"/>
  <c r="C13" i="71"/>
  <c r="F37" i="71"/>
  <c r="C37" i="71"/>
  <c r="F38" i="71"/>
  <c r="C38" i="71"/>
  <c r="C30" i="71"/>
  <c r="C39" i="71"/>
  <c r="F42" i="71"/>
  <c r="F40" i="71"/>
  <c r="F17" i="4"/>
  <c r="F19" i="4"/>
  <c r="F7" i="1"/>
  <c r="L48" i="71"/>
  <c r="M47" i="71"/>
  <c r="J50" i="71"/>
  <c r="J51" i="71"/>
  <c r="J53" i="71"/>
  <c r="F1" i="71"/>
  <c r="AN7" i="1"/>
  <c r="AE7" i="1"/>
  <c r="F41" i="71"/>
  <c r="C40" i="71"/>
  <c r="M6" i="71"/>
  <c r="M8" i="71"/>
  <c r="M7" i="71"/>
  <c r="M9" i="71"/>
  <c r="J6" i="71"/>
  <c r="M11" i="71"/>
  <c r="J10" i="71"/>
  <c r="J5" i="71"/>
  <c r="J26" i="71"/>
  <c r="J29" i="71"/>
  <c r="L46" i="71"/>
  <c r="B2" i="71"/>
  <c r="D10" i="12"/>
  <c r="B3" i="71"/>
  <c r="D8" i="12"/>
  <c r="G1" i="15"/>
  <c r="F6" i="15"/>
  <c r="F8" i="15"/>
  <c r="K6" i="1"/>
  <c r="F7" i="15"/>
  <c r="F9" i="15"/>
  <c r="C6" i="15"/>
  <c r="F11" i="15"/>
  <c r="C10" i="15"/>
  <c r="C5" i="15"/>
  <c r="F32" i="15"/>
  <c r="C32" i="15"/>
  <c r="F33" i="15"/>
  <c r="C33" i="15"/>
  <c r="D19" i="6"/>
  <c r="L19" i="6"/>
  <c r="M19" i="6"/>
  <c r="I19" i="6"/>
  <c r="H19" i="6"/>
  <c r="R19" i="6"/>
  <c r="R6" i="1"/>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M47" i="15"/>
  <c r="J50" i="15"/>
  <c r="J51" i="15"/>
  <c r="J53" i="15"/>
  <c r="F1" i="15"/>
  <c r="AN6" i="1"/>
  <c r="AE6" i="1"/>
  <c r="F41" i="15"/>
  <c r="C40" i="15"/>
  <c r="M6" i="15"/>
  <c r="M8" i="15"/>
  <c r="M7" i="15"/>
  <c r="M9" i="15"/>
  <c r="J6" i="15"/>
  <c r="M11" i="15"/>
  <c r="J10" i="15"/>
  <c r="J5" i="15"/>
  <c r="J26" i="15"/>
  <c r="J29" i="15"/>
  <c r="L46" i="15"/>
  <c r="B2" i="15"/>
  <c r="C10" i="12"/>
  <c r="B3" i="15"/>
  <c r="C8" i="12"/>
  <c r="F9" i="12"/>
  <c r="F10" i="12"/>
  <c r="Q66" i="74"/>
  <c r="L60" i="74"/>
  <c r="Q67" i="74"/>
  <c r="Q76" i="74"/>
  <c r="D11"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11"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Q66" i="73"/>
  <c r="L60" i="73"/>
  <c r="Q67" i="73"/>
  <c r="Q76" i="73"/>
  <c r="D10" i="1"/>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10"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Q66" i="71"/>
  <c r="L60" i="71"/>
  <c r="Q67" i="71"/>
  <c r="Q76" i="71"/>
  <c r="D7"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I40" i="39"/>
  <c r="G40" i="39"/>
  <c r="C34" i="39"/>
  <c r="I9" i="39"/>
  <c r="G9" i="39"/>
  <c r="I7" i="39"/>
  <c r="G7" i="39"/>
  <c r="E7" i="39"/>
  <c r="C12" i="39"/>
  <c r="K22" i="9"/>
  <c r="O14" i="1"/>
  <c r="P14" i="1"/>
  <c r="O8" i="1"/>
  <c r="P8" i="1"/>
  <c r="O6" i="1"/>
  <c r="P6" i="1"/>
  <c r="O7" i="1"/>
  <c r="P7" i="1"/>
  <c r="K9" i="1"/>
  <c r="M9" i="1"/>
  <c r="O9" i="1"/>
  <c r="P9" i="1"/>
  <c r="O10" i="1"/>
  <c r="P10"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E5" i="6"/>
  <c r="D21" i="12"/>
  <c r="E21" i="12"/>
  <c r="C21" i="12"/>
  <c r="E6" i="6"/>
  <c r="D22" i="12"/>
  <c r="E22" i="12"/>
  <c r="C22" i="12"/>
  <c r="C20" i="12"/>
  <c r="F23" i="12"/>
  <c r="C23" i="12"/>
  <c r="F26" i="12"/>
  <c r="C9" i="12"/>
  <c r="D9" i="12"/>
  <c r="C6" i="12"/>
  <c r="F24" i="12"/>
  <c r="C24" i="12"/>
  <c r="B24" i="1"/>
  <c r="C28" i="12"/>
  <c r="C26" i="12"/>
  <c r="F29" i="12"/>
  <c r="C29" i="12"/>
  <c r="C31" i="12"/>
  <c r="C30" i="12"/>
  <c r="Q16" i="1"/>
  <c r="F33" i="12"/>
  <c r="C35" i="12"/>
  <c r="C33" i="12"/>
  <c r="F25" i="12"/>
  <c r="C25" i="12"/>
  <c r="C27" i="12"/>
  <c r="D26" i="12"/>
  <c r="C32" i="12"/>
  <c r="D30" i="12"/>
  <c r="C34" i="12"/>
  <c r="D33" i="12"/>
  <c r="C36" i="12"/>
  <c r="B2" i="12"/>
  <c r="D19" i="9"/>
  <c r="C17" i="9"/>
  <c r="D17" i="9"/>
  <c r="C18" i="9"/>
  <c r="D18" i="9"/>
  <c r="C106" i="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9" i="1"/>
  <c r="F12"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P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2" i="1"/>
  <c r="AE13" i="1"/>
  <c r="AG9"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2" i="1"/>
  <c r="D13" i="1"/>
  <c r="D6" i="1"/>
  <c r="D9" i="1"/>
  <c r="AP10" i="1"/>
  <c r="R12" i="1"/>
  <c r="B13" i="1"/>
  <c r="E13" i="1"/>
  <c r="BB10" i="3"/>
  <c r="BC10" i="3"/>
  <c r="BD10" i="3"/>
  <c r="BE10" i="3"/>
  <c r="BF10" i="3"/>
  <c r="BG10" i="3"/>
  <c r="BH10" i="3"/>
  <c r="BI10" i="3"/>
  <c r="BJ10" i="3"/>
  <c r="BK10" i="3"/>
  <c r="E8" i="6"/>
  <c r="F27" i="6"/>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6" i="21"/>
  <c r="H66" i="21"/>
  <c r="I66" i="21"/>
  <c r="D111" i="21"/>
  <c r="E111" i="21"/>
  <c r="F111" i="21"/>
  <c r="C111" i="21"/>
  <c r="E79" i="21"/>
  <c r="F79" i="21"/>
  <c r="G79" i="21"/>
  <c r="D85" i="21"/>
  <c r="E85" i="21"/>
  <c r="D81"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58" i="40"/>
  <c r="E63" i="39"/>
  <c r="E16" i="6"/>
  <c r="F24" i="43"/>
  <c r="E60" i="40"/>
  <c r="E65" i="39"/>
  <c r="K26" i="6"/>
  <c r="M26" i="6"/>
  <c r="I26" i="6"/>
  <c r="S26" i="6"/>
  <c r="S24" i="6"/>
  <c r="S23" i="6"/>
  <c r="K25" i="6"/>
  <c r="M25" i="6"/>
  <c r="I25" i="6"/>
  <c r="S25"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9" i="1"/>
  <c r="T12" i="1"/>
  <c r="O16" i="1"/>
  <c r="C13" i="43"/>
  <c r="L16" i="1"/>
  <c r="N16" i="1"/>
  <c r="C29" i="43"/>
  <c r="D13" i="11"/>
  <c r="C13" i="11"/>
  <c r="I27" i="6"/>
  <c r="S19" i="6"/>
  <c r="S27" i="6"/>
  <c r="C22" i="4"/>
  <c r="D26" i="6"/>
  <c r="D25" i="6"/>
  <c r="D22" i="6"/>
  <c r="D10" i="6"/>
  <c r="D11" i="6"/>
  <c r="D13" i="6"/>
  <c r="D12" i="6"/>
  <c r="H25" i="6"/>
  <c r="D6" i="6"/>
  <c r="D9" i="6"/>
  <c r="D5" i="6"/>
  <c r="D14" i="6"/>
  <c r="D29" i="6"/>
  <c r="D28" i="6"/>
  <c r="H22" i="6"/>
  <c r="R22" i="6"/>
  <c r="R9" i="1"/>
  <c r="D15" i="6"/>
  <c r="D8" i="6"/>
  <c r="H26" i="6"/>
  <c r="B4" i="11"/>
  <c r="B5" i="11"/>
  <c r="E53" i="21"/>
  <c r="F53" i="21"/>
  <c r="E52" i="21"/>
  <c r="F52" i="21"/>
  <c r="C48" i="21"/>
  <c r="I53" i="21"/>
  <c r="J53" i="21"/>
  <c r="I65" i="40"/>
  <c r="H67" i="40"/>
  <c r="C16" i="44"/>
  <c r="C20" i="44"/>
  <c r="C17" i="44"/>
  <c r="B3" i="67"/>
  <c r="B4" i="67"/>
  <c r="T16" i="1"/>
  <c r="H27" i="6"/>
  <c r="D16" i="6"/>
  <c r="D30" i="6"/>
  <c r="R25" i="6"/>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D21" i="9"/>
  <c r="D20" i="9"/>
  <c r="Q48" i="15"/>
  <c r="Q54" i="15"/>
  <c r="J39" i="15"/>
  <c r="J40" i="15"/>
  <c r="B5" i="44"/>
  <c r="B3" i="44"/>
  <c r="S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C49" i="39"/>
  <c r="I54" i="39"/>
  <c r="J54"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<sst xmlns="http://schemas.openxmlformats.org/spreadsheetml/2006/main" count="8965" uniqueCount="3177">
  <si>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</si>
  <si>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</si>
  <si>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</si>
  <si>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</si>
  <si>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</si>
  <si>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</si>
  <si>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</si>
  <si>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</si>
  <si>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</si>
  <si>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</si>
  <si>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</si>
  <si>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</si>
  <si>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</si>
  <si>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</si>
  <si>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</si>
  <si>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</si>
  <si>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</si>
  <si>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</si>
  <si>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</si>
  <si>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</si>
  <si>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</si>
  <si>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</si>
  <si>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</si>
  <si>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</si>
  <si>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</si>
  <si>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</si>
  <si>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</si>
  <si>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</si>
  <si>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</si>
  <si>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</si>
  <si>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</si>
  <si>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</si>
  <si>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</si>
  <si>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</si>
  <si>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</si>
  <si>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</si>
  <si>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</si>
  <si>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</si>
  <si>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</si>
  <si>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</si>
  <si>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</si>
  <si>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</si>
  <si>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</si>
  <si>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</si>
  <si>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</si>
  <si>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</si>
  <si>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</si>
  <si>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</si>
  <si>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</si>
  <si>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</si>
  <si>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</si>
  <si>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</si>
  <si>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</si>
  <si>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</si>
  <si>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</si>
  <si>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</si>
  <si>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</si>
  <si>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</si>
  <si>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</si>
  <si>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</si>
  <si>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</si>
  <si>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</si>
  <si>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</si>
  <si>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</si>
  <si>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</si>
  <si>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</si>
  <si>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</si>
  <si>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</si>
  <si>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</si>
  <si>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</si>
  <si>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</si>
  <si>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</si>
  <si>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</si>
  <si>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</si>
  <si>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</si>
  <si>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</si>
  <si>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</si>
  <si>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</si>
  <si>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</si>
  <si>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</si>
  <si>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</si>
  <si>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</si>
  <si>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</si>
  <si>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</si>
  <si>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</si>
  <si>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</si>
  <si>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</si>
  <si>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</si>
  <si>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</si>
  <si>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</si>
  <si>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</si>
  <si>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</si>
  <si>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</si>
  <si>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</si>
  <si>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</si>
  <si>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</si>
  <si>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</si>
  <si>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</si>
  <si>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</si>
  <si>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</si>
  <si>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</si>
  <si>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</si>
  <si>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</si>
  <si>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</si>
  <si>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</si>
  <si>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</si>
  <si>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</si>
  <si>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</si>
  <si>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</si>
  <si>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</si>
  <si>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</si>
  <si>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</si>
  <si>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</si>
  <si>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</si>
  <si>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</si>
  <si>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</si>
  <si>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</si>
  <si>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</si>
  <si>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</si>
  <si>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</si>
  <si>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</si>
  <si>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</si>
  <si>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</si>
  <si>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</si>
  <si>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</si>
  <si>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</si>
  <si>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</si>
  <si>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</si>
  <si>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</si>
  <si>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</si>
  <si>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</si>
  <si>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</si>
  <si>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</si>
  <si>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</si>
  <si>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</si>
  <si>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</si>
  <si>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</si>
  <si>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</si>
  <si>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</si>
  <si>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</si>
  <si>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</si>
  <si>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</si>
  <si>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</si>
  <si>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</si>
  <si>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</si>
  <si>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</si>
  <si>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</si>
  <si>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</si>
  <si>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</si>
  <si>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</si>
  <si>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</si>
  <si>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</si>
  <si>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</si>
  <si>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</si>
  <si>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</si>
  <si>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</si>
  <si>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</si>
  <si>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</si>
  <si>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</si>
  <si>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</si>
  <si>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</si>
  <si>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</si>
  <si>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</si>
  <si>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</si>
  <si>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</si>
  <si>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</si>
  <si>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</si>
  <si>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</si>
  <si>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</si>
  <si>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</si>
  <si>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</si>
  <si>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</si>
  <si>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</si>
  <si>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</si>
  <si>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</si>
  <si>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</si>
  <si>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</si>
  <si>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</si>
  <si>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</si>
  <si>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</si>
  <si>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</si>
  <si>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</si>
  <si>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</si>
  <si>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</si>
  <si>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</si>
  <si>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</si>
  <si>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</si>
  <si>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</si>
  <si>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</si>
  <si>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</si>
  <si>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</si>
  <si>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</si>
  <si>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</si>
  <si>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</si>
  <si>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</si>
  <si>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</si>
  <si>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</si>
  <si>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</si>
  <si>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</si>
  <si>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</si>
  <si>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</si>
  <si>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</si>
  <si>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</si>
  <si>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</si>
  <si>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</si>
  <si>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</si>
  <si>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</si>
  <si>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</si>
  <si>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</si>
  <si>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</si>
  <si>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</si>
  <si>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</si>
  <si>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</si>
  <si>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</si>
  <si>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</si>
  <si>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</si>
  <si>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</si>
  <si>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</si>
  <si>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</si>
  <si>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</si>
  <si>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</si>
  <si>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</si>
  <si>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</si>
  <si>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</si>
  <si>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</si>
  <si>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</si>
  <si>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</si>
  <si>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</si>
  <si>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</si>
  <si>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</si>
  <si>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</si>
  <si>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</si>
  <si>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</si>
  <si>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</si>
  <si>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</si>
  <si>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</si>
  <si>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</si>
  <si>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</si>
  <si>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</si>
  <si>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</si>
  <si>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</si>
  <si>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</si>
  <si>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</si>
  <si>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</si>
  <si>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</si>
  <si>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</si>
  <si>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</si>
  <si>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</si>
  <si>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</si>
  <si>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</si>
  <si>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</si>
  <si>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</si>
  <si>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</si>
  <si>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</si>
  <si>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</si>
  <si>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</si>
  <si>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</si>
  <si>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</si>
  <si>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</si>
  <si>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</si>
  <si>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</si>
  <si>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</si>
  <si>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</si>
  <si>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</si>
  <si>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</si>
  <si>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</si>
  <si>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</si>
  <si>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</si>
  <si>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</si>
  <si>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</si>
  <si>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</si>
  <si>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</si>
  <si>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</si>
  <si>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</si>
  <si>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</si>
  <si>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</si>
  <si>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</si>
  <si>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</si>
  <si>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</si>
  <si>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</si>
  <si>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</si>
  <si>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</si>
  <si>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</si>
  <si>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</si>
  <si>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</si>
  <si>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</si>
  <si>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</si>
  <si>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</si>
  <si>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</si>
  <si>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</si>
  <si>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</si>
  <si>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</si>
  <si>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</si>
  <si>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</si>
  <si>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</si>
  <si>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</si>
  <si>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</si>
  <si>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</si>
  <si>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</si>
  <si>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</si>
  <si>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</si>
  <si>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</si>
  <si>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</si>
  <si>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</si>
  <si>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</si>
  <si>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</si>
  <si>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</si>
  <si>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</si>
  <si>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</si>
  <si>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</si>
  <si>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</si>
  <si>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</si>
  <si>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</si>
  <si>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</si>
  <si>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</si>
  <si>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</si>
  <si>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</si>
  <si>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</si>
  <si>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</si>
  <si>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</si>
  <si>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</si>
  <si>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</si>
  <si>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</si>
  <si>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</si>
  <si>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</si>
  <si>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</si>
  <si>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</si>
  <si>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</si>
  <si>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</si>
  <si>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</si>
  <si>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</si>
  <si>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</si>
  <si>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</si>
  <si>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</si>
  <si>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</si>
  <si>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</si>
  <si>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</si>
  <si>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</si>
  <si>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</si>
  <si>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</si>
  <si>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</si>
  <si>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</si>
  <si>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</si>
  <si>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</si>
  <si>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</si>
  <si>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</si>
  <si>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</si>
  <si>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</si>
  <si>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</si>
  <si>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</si>
  <si>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</si>
  <si>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</si>
  <si>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</si>
  <si>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</si>
  <si>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</si>
  <si>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</si>
  <si>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</si>
  <si>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</si>
  <si>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</si>
  <si>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</si>
  <si>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</si>
  <si>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</si>
  <si>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</si>
  <si>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</si>
  <si>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</si>
  <si>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</si>
  <si>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</si>
  <si>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</si>
  <si>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</si>
  <si>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</si>
  <si>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</si>
  <si>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</si>
  <si>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</si>
  <si>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</si>
  <si>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</si>
  <si>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</si>
  <si>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</si>
  <si>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</si>
  <si>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</si>
  <si>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</si>
  <si>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</si>
  <si>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</si>
  <si>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</si>
  <si>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</si>
  <si>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</si>
  <si>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</si>
  <si>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</si>
  <si>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</si>
  <si>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</si>
  <si>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</si>
  <si>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</si>
  <si>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</si>
  <si>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</si>
  <si>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</si>
  <si>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</si>
  <si>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</si>
  <si>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</si>
  <si>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</si>
  <si>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</si>
  <si>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</si>
  <si>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</si>
  <si>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</si>
  <si>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</si>
  <si>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</si>
  <si>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</si>
  <si>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</si>
  <si>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</si>
  <si>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</si>
  <si>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</si>
  <si>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</si>
  <si>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</si>
  <si>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</si>
  <si>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</si>
  <si>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</si>
  <si>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</si>
  <si>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</si>
  <si>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</si>
  <si>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</si>
  <si>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</si>
  <si>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</si>
  <si>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</si>
  <si>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</si>
  <si>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</si>
  <si>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</si>
  <si>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</si>
  <si>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</si>
  <si>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</si>
  <si>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</si>
  <si>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</si>
  <si>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</si>
  <si>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</si>
  <si>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</si>
  <si>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</si>
  <si>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</si>
  <si>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</si>
  <si>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</si>
  <si>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</si>
  <si>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</si>
  <si>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</si>
  <si>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</si>
  <si>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</si>
  <si>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</si>
  <si>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</si>
  <si>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</si>
  <si>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</si>
  <si>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</si>
  <si>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</si>
  <si>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</si>
  <si>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</si>
  <si>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</si>
  <si>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</si>
  <si>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</si>
  <si>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</si>
  <si>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</si>
  <si>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</si>
  <si>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</si>
  <si>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</si>
  <si>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</si>
  <si>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</si>
  <si>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</si>
  <si>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</si>
  <si>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</si>
  <si>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</si>
  <si>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</si>
  <si>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</si>
  <si>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</si>
  <si>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</si>
  <si>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</si>
  <si>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</si>
  <si>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</si>
  <si>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</si>
  <si>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</si>
  <si>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</si>
  <si>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</si>
  <si>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</si>
  <si>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</si>
  <si>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</si>
  <si>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</si>
  <si>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</si>
  <si>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</si>
  <si>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</si>
  <si>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</si>
  <si>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</si>
  <si>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</si>
  <si>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</si>
  <si>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</si>
  <si>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</si>
  <si>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</si>
  <si>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</si>
  <si>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</si>
  <si>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</si>
  <si>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</si>
  <si>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</si>
  <si>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</si>
  <si>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</si>
  <si>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</si>
  <si>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</si>
  <si>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</si>
  <si>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</si>
  <si>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</si>
  <si>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</si>
  <si>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</si>
  <si>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</si>
  <si>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</si>
  <si>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</si>
  <si>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</si>
  <si>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</si>
  <si>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</si>
  <si>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</si>
  <si>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</si>
  <si>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</si>
  <si>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</si>
  <si>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</si>
  <si>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</si>
  <si>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</si>
  <si>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</si>
  <si>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</si>
  <si>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</si>
  <si>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</si>
  <si>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</si>
  <si>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</si>
  <si>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</si>
  <si>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</si>
  <si>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</si>
  <si>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</si>
  <si>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</si>
  <si>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</si>
  <si>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</si>
  <si>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</si>
  <si>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</si>
  <si>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</si>
  <si>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</si>
  <si>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</si>
  <si>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</si>
  <si>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</si>
  <si>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</si>
  <si>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</si>
  <si>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</si>
  <si>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</si>
  <si>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</si>
  <si>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</si>
  <si>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</si>
  <si>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</si>
  <si>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</si>
  <si>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</si>
  <si>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</si>
  <si>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</si>
  <si>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</si>
  <si>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</si>
  <si>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</si>
  <si>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</si>
  <si>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</si>
  <si>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</si>
  <si>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</si>
  <si>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</si>
  <si>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</si>
  <si>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</si>
  <si>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</si>
  <si>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</si>
  <si>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</si>
  <si>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</si>
  <si>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</si>
  <si>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</si>
  <si>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</si>
  <si>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</si>
  <si>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</si>
  <si>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</si>
  <si>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</si>
  <si>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</si>
  <si>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</si>
  <si>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</si>
  <si>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</si>
  <si>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</si>
  <si>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</si>
  <si>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</si>
  <si>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</si>
  <si>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</si>
  <si>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</si>
  <si>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</si>
  <si>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</si>
  <si>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</si>
  <si>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</si>
  <si>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</si>
  <si>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</si>
  <si>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</si>
  <si>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</si>
  <si>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</si>
  <si>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</si>
  <si>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</si>
  <si>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</si>
  <si>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</si>
  <si>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</si>
  <si>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</si>
  <si>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</si>
  <si>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</si>
  <si>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</si>
  <si>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</si>
  <si>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</si>
  <si>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</si>
  <si>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</si>
  <si>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</si>
  <si>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</si>
  <si>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</si>
  <si>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</si>
  <si>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</si>
  <si>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</si>
  <si>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</si>
  <si>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</si>
  <si>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</si>
  <si>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</si>
  <si>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</si>
  <si>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</si>
  <si>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</si>
  <si>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</si>
  <si>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</si>
  <si>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</si>
  <si>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</si>
  <si>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</si>
  <si>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</si>
  <si>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</si>
  <si>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</si>
  <si>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</si>
  <si>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</si>
  <si>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</si>
  <si>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</si>
  <si>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</si>
  <si>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</si>
  <si>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</si>
  <si>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</si>
  <si>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</si>
  <si>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</si>
  <si>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</si>
  <si>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</si>
  <si>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</si>
  <si>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</si>
  <si>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</si>
  <si>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</si>
  <si>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</si>
  <si>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</si>
  <si>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</si>
  <si>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</si>
  <si>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</si>
  <si>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</si>
  <si>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</si>
  <si>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</si>
  <si>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</si>
  <si>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</si>
  <si>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</si>
  <si>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</si>
  <si>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</si>
  <si>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</si>
  <si>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</si>
  <si>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</si>
  <si>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</si>
  <si>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</si>
  <si>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</si>
  <si>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</si>
  <si>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</si>
  <si>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</si>
  <si>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</si>
  <si>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</si>
  <si>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</si>
  <si>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</si>
  <si>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</si>
  <si>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</si>
  <si>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</si>
  <si>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</si>
  <si>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</si>
  <si>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</si>
  <si>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</si>
  <si>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</si>
  <si>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</si>
  <si>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</si>
  <si>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</si>
  <si>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</si>
  <si>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</si>
  <si>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</si>
  <si>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</si>
  <si>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</si>
  <si>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</si>
  <si>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</si>
  <si>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</si>
  <si>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</si>
  <si>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</si>
  <si>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</si>
  <si>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</si>
  <si>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</si>
  <si>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</si>
  <si>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</si>
  <si>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</si>
  <si>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</si>
  <si>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</si>
  <si>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</si>
  <si>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</si>
  <si>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</si>
  <si>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</si>
  <si>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</si>
  <si>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</si>
  <si>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</si>
  <si>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</si>
  <si>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</si>
  <si>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</si>
  <si>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</si>
  <si>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</si>
  <si>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</si>
  <si>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</si>
  <si>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</si>
  <si>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</si>
  <si>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</si>
  <si>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</si>
  <si>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</si>
  <si>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</si>
  <si>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</si>
  <si>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</si>
  <si>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</si>
  <si>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</si>
  <si>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</si>
  <si>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</si>
  <si>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</si>
  <si>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</si>
  <si>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</si>
  <si>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</si>
  <si>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</si>
  <si>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</si>
  <si>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</si>
  <si>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</si>
  <si>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</si>
  <si>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</si>
  <si>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</si>
  <si>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</si>
  <si>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</si>
  <si>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</si>
  <si>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</si>
  <si>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</si>
  <si>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</si>
  <si>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</si>
  <si>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</si>
  <si>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</si>
  <si>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</si>
  <si>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</si>
  <si>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</si>
  <si>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</si>
  <si>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</si>
  <si>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</si>
  <si>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</si>
  <si>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</si>
  <si>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</si>
  <si>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</si>
  <si>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</si>
  <si>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</si>
  <si>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</si>
  <si>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</si>
  <si>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</si>
  <si>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</si>
  <si>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</si>
  <si>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</si>
  <si>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</si>
  <si>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</si>
  <si>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</si>
  <si>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</si>
  <si>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</si>
  <si>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</si>
  <si>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</si>
  <si>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</si>
  <si>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</si>
  <si>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</si>
  <si>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</si>
  <si>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</si>
  <si>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</si>
  <si>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</si>
  <si>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</si>
  <si>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</si>
  <si>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</si>
  <si>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</si>
  <si>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</si>
  <si>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</si>
  <si>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</si>
  <si>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</si>
  <si>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</si>
  <si>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</si>
  <si>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</si>
  <si>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</si>
  <si>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</si>
  <si>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</si>
  <si>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</si>
  <si>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</si>
  <si>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</si>
  <si>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</si>
  <si>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</si>
  <si>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</si>
  <si>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</si>
  <si>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</si>
  <si>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</si>
  <si>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</si>
  <si>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</si>
  <si>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</si>
  <si>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</si>
  <si>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</si>
  <si>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</si>
  <si>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</si>
  <si>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</si>
  <si>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</si>
  <si>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</si>
  <si>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</si>
  <si>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</si>
  <si>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</si>
  <si>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</si>
  <si>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</si>
  <si>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</si>
  <si>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</si>
  <si>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</si>
  <si>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</si>
  <si>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</si>
  <si>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</si>
  <si>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</si>
  <si>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</si>
  <si>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</si>
  <si>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</si>
  <si>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</si>
  <si>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</si>
  <si>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</si>
  <si>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</si>
  <si>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</si>
  <si>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</si>
  <si>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</si>
  <si>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</si>
  <si>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</si>
  <si>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</si>
  <si>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</si>
  <si>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</si>
  <si>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</si>
  <si>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</si>
  <si>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</si>
  <si>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</si>
  <si>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</si>
  <si>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</si>
  <si>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</si>
  <si>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</si>
  <si>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</si>
  <si>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</si>
  <si>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</si>
  <si>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</si>
  <si>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</si>
  <si>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</si>
  <si>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</si>
  <si>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</si>
  <si>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</si>
  <si>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</si>
  <si>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</si>
  <si>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</si>
  <si>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</si>
  <si>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</si>
  <si>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</si>
  <si>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</si>
  <si>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</si>
  <si>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</si>
  <si>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</si>
  <si>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</si>
  <si>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</si>
  <si>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</si>
  <si>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</si>
  <si>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</si>
  <si>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</si>
  <si>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</si>
  <si>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</si>
  <si>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</si>
  <si>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</si>
  <si>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</si>
  <si>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</si>
  <si>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</si>
  <si>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</si>
  <si>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</si>
  <si>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</si>
  <si>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</si>
  <si>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</si>
  <si>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</si>
  <si>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</si>
  <si>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</si>
  <si>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</si>
  <si>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</si>
  <si>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</si>
  <si>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</si>
  <si>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</si>
  <si>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</si>
  <si>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</si>
  <si>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</si>
  <si>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</si>
  <si>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</si>
  <si>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</si>
  <si>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</si>
  <si>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</si>
  <si>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</si>
  <si>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</si>
  <si>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</si>
  <si>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</si>
  <si>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</si>
  <si>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</si>
  <si>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</si>
  <si>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</si>
  <si>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</si>
  <si>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</si>
  <si>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</si>
  <si>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</si>
  <si>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</si>
  <si>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</si>
  <si>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</si>
  <si>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</si>
  <si>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</si>
  <si>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</si>
  <si>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</si>
  <si>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</si>
  <si>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</si>
  <si>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</si>
  <si>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</si>
  <si>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</si>
  <si>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</si>
  <si>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</si>
  <si>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</si>
  <si>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</si>
  <si>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</si>
  <si>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</si>
  <si>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</si>
  <si>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</si>
  <si>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</si>
  <si>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</si>
  <si>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</si>
  <si>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</si>
  <si>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</si>
  <si>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</si>
  <si>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</si>
  <si>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</si>
  <si>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</si>
  <si>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</si>
  <si>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</si>
  <si>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</si>
  <si>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</si>
  <si>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</si>
  <si>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</si>
  <si>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</si>
  <si>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</si>
  <si>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</si>
  <si>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</si>
  <si>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</si>
  <si>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</si>
  <si>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</si>
  <si>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</si>
  <si>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</si>
  <si>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</si>
  <si>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</si>
  <si>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</si>
  <si>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</si>
  <si>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</si>
  <si>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</si>
  <si>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</si>
  <si>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</si>
  <si>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</si>
  <si>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</si>
  <si>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</si>
  <si>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</si>
  <si>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</si>
  <si>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</si>
  <si>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</si>
  <si>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</si>
  <si>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</si>
  <si>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</si>
  <si>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</si>
  <si>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</si>
  <si>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</si>
  <si>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</si>
  <si>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</si>
  <si>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</si>
  <si>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</si>
  <si>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</si>
  <si>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</si>
  <si>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</si>
  <si>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</si>
  <si>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</si>
  <si>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</si>
  <si>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</si>
  <si>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</si>
  <si>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</si>
  <si>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</si>
  <si>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</si>
  <si>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</si>
  <si>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</si>
  <si>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</si>
  <si>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</si>
  <si>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</si>
  <si>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</si>
  <si>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</si>
  <si>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</si>
  <si>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</si>
  <si>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</si>
  <si>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</si>
  <si>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</si>
  <si>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</si>
  <si>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</si>
  <si>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</si>
  <si>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</si>
  <si>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</si>
  <si>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</si>
  <si>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</si>
  <si>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</si>
  <si>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</si>
  <si>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</si>
  <si>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</si>
  <si>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</si>
  <si>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</si>
  <si>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</si>
  <si>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</si>
  <si>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</si>
  <si>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</si>
  <si>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</si>
  <si>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</si>
  <si>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</si>
  <si>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</si>
  <si>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</si>
  <si>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</si>
  <si>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</si>
  <si>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</si>
  <si>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</si>
  <si>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</si>
  <si>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</si>
  <si>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</si>
  <si>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</si>
  <si>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</si>
  <si>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</si>
  <si>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</si>
  <si>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</si>
  <si>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</si>
  <si>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</si>
  <si>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</si>
  <si>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</si>
  <si>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</si>
  <si>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</si>
  <si>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</si>
  <si>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</si>
  <si>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</si>
  <si>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</si>
  <si>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</si>
  <si>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</si>
  <si>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</si>
  <si>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</si>
  <si>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</si>
  <si>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</si>
  <si>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</si>
  <si>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</si>
  <si>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</si>
  <si>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</si>
  <si>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</si>
  <si>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</si>
  <si>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</si>
  <si>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</si>
  <si>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</si>
  <si>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</si>
  <si>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</si>
  <si>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</si>
  <si>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</si>
  <si>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</si>
  <si>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</si>
  <si>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</si>
  <si>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</si>
  <si>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</si>
  <si>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</si>
  <si>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</si>
  <si>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</si>
  <si>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</si>
  <si>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</si>
  <si>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</si>
  <si>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</si>
  <si>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</si>
  <si>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</si>
  <si>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</si>
  <si>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</si>
  <si>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</si>
  <si>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</si>
  <si>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</si>
  <si>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</si>
  <si>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</si>
  <si>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</si>
  <si>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</si>
  <si>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</si>
  <si>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</si>
  <si>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</si>
  <si>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</si>
  <si>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</si>
  <si>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</si>
  <si>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</si>
  <si>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</si>
  <si>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</si>
  <si>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</si>
  <si>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</si>
  <si>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</si>
  <si>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</si>
  <si>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</si>
  <si>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</si>
  <si>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</si>
  <si>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</si>
  <si>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</si>
  <si>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</si>
  <si>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</si>
  <si>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</si>
  <si>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</si>
  <si>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</si>
  <si>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</si>
  <si>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</si>
  <si>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</si>
  <si>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</si>
  <si>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</si>
  <si>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</si>
  <si>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</si>
  <si>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</si>
  <si>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</si>
  <si>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</si>
  <si>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</si>
  <si>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</si>
  <si>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</si>
  <si>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</si>
  <si>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</si>
  <si>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</si>
  <si>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</si>
  <si>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</si>
  <si>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</si>
  <si>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</si>
  <si>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</si>
  <si>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</si>
  <si>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</si>
  <si>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</si>
  <si>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</si>
  <si>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</si>
  <si>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</si>
  <si>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</si>
  <si>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</si>
  <si>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</si>
  <si>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</si>
  <si>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</si>
  <si>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</si>
  <si>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</si>
  <si>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</si>
  <si>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</si>
  <si>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</si>
  <si>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</si>
  <si>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</si>
  <si>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</si>
  <si>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</si>
  <si>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</si>
  <si>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</si>
  <si>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</si>
  <si>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</si>
  <si>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</si>
  <si>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</si>
  <si>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</si>
  <si>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</si>
  <si>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</si>
  <si>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</si>
  <si>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</si>
  <si>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</si>
  <si>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</si>
  <si>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</si>
  <si>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</si>
  <si>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</si>
  <si>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</si>
  <si>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</si>
  <si>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</si>
  <si>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</si>
  <si>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</si>
  <si>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</si>
  <si>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</si>
  <si>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</si>
  <si>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</si>
  <si>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</si>
  <si>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</si>
  <si>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</si>
  <si>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</si>
  <si>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</si>
  <si>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</si>
  <si>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</si>
  <si>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</si>
  <si>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</si>
  <si>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</si>
  <si>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</si>
  <si>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</si>
  <si>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</si>
  <si>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</si>
  <si>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</si>
  <si>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</si>
  <si>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</si>
  <si>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</si>
  <si>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</si>
  <si>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</si>
  <si>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</si>
  <si>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</si>
  <si>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</si>
  <si>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</si>
  <si>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</si>
  <si>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</si>
  <si>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</si>
  <si>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</si>
  <si>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</si>
  <si>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</si>
  <si>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</si>
  <si>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</si>
  <si>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</si>
  <si>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</si>
  <si>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</si>
  <si>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</si>
  <si>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</si>
  <si>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</si>
  <si>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</si>
  <si>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</si>
  <si>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</si>
  <si>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</si>
  <si>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</si>
  <si>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</si>
  <si>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</si>
  <si>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</si>
  <si>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</si>
  <si>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</si>
  <si>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</si>
  <si>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</si>
  <si>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</si>
  <si>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</si>
  <si>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</si>
  <si>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</si>
  <si>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</si>
  <si>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</si>
  <si>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</si>
  <si>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</si>
  <si>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</si>
  <si>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</si>
  <si>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</si>
  <si>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</si>
  <si>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</si>
  <si>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</si>
  <si>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</si>
  <si>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</si>
  <si>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</si>
  <si>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</si>
  <si>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</si>
  <si>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</si>
  <si>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</si>
  <si>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</si>
  <si>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</si>
  <si>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</si>
  <si>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</si>
  <si>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</si>
  <si>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</si>
  <si>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</si>
  <si>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</si>
  <si>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</si>
  <si>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</si>
  <si>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</si>
  <si>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</si>
  <si>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</si>
  <si>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</si>
  <si>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</si>
  <si>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</si>
  <si>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</si>
  <si>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</si>
  <si>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</si>
  <si>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</si>
  <si>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</si>
  <si>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</si>
  <si>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</si>
  <si>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</si>
  <si>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</si>
  <si>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</si>
  <si>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</si>
  <si>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</si>
  <si>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</si>
  <si>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</si>
  <si>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</si>
  <si>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</si>
  <si>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</si>
  <si>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</si>
  <si>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</si>
  <si>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</si>
  <si>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</si>
  <si>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</si>
  <si>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</si>
  <si>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</si>
  <si>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</si>
  <si>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</si>
  <si>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</si>
  <si>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</si>
  <si>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</si>
  <si>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</si>
  <si>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</si>
  <si>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</si>
  <si>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</si>
  <si>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</si>
  <si>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</si>
  <si>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</si>
  <si>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</si>
  <si>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</si>
  <si>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</si>
  <si>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</si>
  <si>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</si>
  <si>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</si>
  <si>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</si>
  <si>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</si>
  <si>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</si>
  <si>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</si>
  <si>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</si>
  <si>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</si>
  <si>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</si>
  <si>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</si>
  <si>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</si>
  <si>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</si>
  <si>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</si>
  <si>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</si>
  <si>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</si>
  <si>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</si>
  <si>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</si>
  <si>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</si>
  <si>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</si>
  <si>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</si>
  <si>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</si>
  <si>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</si>
  <si>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</si>
  <si>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</si>
  <si>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</si>
  <si>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</si>
  <si>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</si>
  <si>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</si>
  <si>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</si>
  <si>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</si>
  <si>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</si>
  <si>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</si>
  <si>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</si>
  <si>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</si>
  <si>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</si>
  <si>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</si>
  <si>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</si>
  <si>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</si>
  <si>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</si>
  <si>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</si>
  <si>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</si>
  <si>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</si>
  <si>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</si>
  <si>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</si>
  <si>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</si>
  <si>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</si>
  <si>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</si>
  <si>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</si>
  <si>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</si>
  <si>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</si>
  <si>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</si>
  <si>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</si>
  <si>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</si>
  <si>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</si>
  <si>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</si>
  <si>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</si>
  <si>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</si>
  <si>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</si>
  <si>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</si>
  <si>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</si>
  <si>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</si>
  <si>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</si>
  <si>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</si>
  <si>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</si>
  <si>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</si>
  <si>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</si>
  <si>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</si>
  <si>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</si>
  <si>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</si>
  <si>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</si>
  <si>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</si>
  <si>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</si>
  <si>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</si>
  <si>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</si>
  <si>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</si>
  <si>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</si>
  <si>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</si>
  <si>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</si>
  <si>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</si>
  <si>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</si>
  <si>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</si>
  <si>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</si>
  <si>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</si>
  <si>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</si>
  <si>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</si>
  <si>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</si>
  <si>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</si>
  <si>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</si>
  <si>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</si>
  <si>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</si>
  <si>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</si>
  <si>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</si>
  <si>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</si>
  <si>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</si>
  <si>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</si>
  <si>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</si>
  <si>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</si>
  <si>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</si>
  <si>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</si>
  <si>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</si>
  <si>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</si>
  <si>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</si>
  <si>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</si>
  <si>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</si>
  <si>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</si>
  <si>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</si>
  <si>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</si>
  <si>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</si>
  <si>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</si>
  <si>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</si>
  <si>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</si>
  <si>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</si>
  <si>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</si>
  <si>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</si>
  <si>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</si>
  <si>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</si>
  <si>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</si>
  <si>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</si>
  <si>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</si>
  <si>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</si>
  <si>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</si>
  <si>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</si>
  <si>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</si>
  <si>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</si>
  <si>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</si>
  <si>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</si>
  <si>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</si>
  <si>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</si>
  <si>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</si>
  <si>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</si>
  <si>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</si>
  <si>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</si>
  <si>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</si>
  <si>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</si>
  <si>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</si>
  <si>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</si>
  <si>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</si>
  <si>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</si>
  <si>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</si>
  <si>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</si>
  <si>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</si>
  <si>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</si>
  <si>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</si>
  <si>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</si>
  <si>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</si>
  <si>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</si>
  <si>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</si>
  <si>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</si>
  <si>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</si>
  <si>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</si>
  <si>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</si>
  <si>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</si>
  <si>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</si>
  <si>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</si>
  <si>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</si>
  <si>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</si>
  <si>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</si>
  <si>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</si>
  <si>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</si>
  <si>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</si>
  <si>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</si>
  <si>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</si>
  <si>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</si>
  <si>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</si>
  <si>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</si>
  <si>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</si>
  <si>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</si>
  <si>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</si>
  <si>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</si>
  <si>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</si>
  <si>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</si>
  <si>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</si>
  <si>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</si>
  <si>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</si>
  <si>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</si>
  <si>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</si>
  <si>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</si>
  <si>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</si>
  <si>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</si>
  <si>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</si>
  <si>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</si>
  <si>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</si>
  <si>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</si>
  <si>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</si>
  <si>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</si>
  <si>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</si>
  <si>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</si>
  <si>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</si>
  <si>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</si>
  <si>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</si>
  <si>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</si>
  <si>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</si>
  <si>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</si>
  <si>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</si>
  <si>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</si>
  <si>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</si>
  <si>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</si>
  <si>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</si>
  <si>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</si>
  <si>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</si>
  <si>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</si>
  <si>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</si>
  <si>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</si>
  <si>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</si>
  <si>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</si>
  <si>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</si>
  <si>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</si>
  <si>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</si>
  <si>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</si>
  <si>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</si>
  <si>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</si>
  <si>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</si>
  <si>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</si>
  <si>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</si>
  <si>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</si>
  <si>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</si>
  <si>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</si>
  <si>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</si>
  <si>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</si>
  <si>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</si>
  <si>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</si>
  <si>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</si>
  <si>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</si>
  <si>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</si>
  <si>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</si>
  <si>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</si>
  <si>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</si>
  <si>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</si>
  <si>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</si>
  <si>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</si>
  <si>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</si>
  <si>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</si>
  <si>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</si>
  <si>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</si>
  <si>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</si>
  <si>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</si>
  <si>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</si>
  <si>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</si>
  <si>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</si>
  <si>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</si>
  <si>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</si>
  <si>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</si>
  <si>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</si>
  <si>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</si>
  <si>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</si>
  <si>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</si>
  <si>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</si>
  <si>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</si>
  <si>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</si>
  <si>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</si>
  <si>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</si>
  <si>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</si>
  <si>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</si>
  <si>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</si>
  <si>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</si>
  <si>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</si>
  <si>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</si>
  <si>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</si>
  <si>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</si>
  <si>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</si>
  <si>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</si>
  <si>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</si>
  <si>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</si>
  <si>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</si>
  <si>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</si>
  <si>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</si>
  <si>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</si>
  <si>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</si>
  <si>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</si>
  <si>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</si>
  <si>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</si>
  <si>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</si>
  <si>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</si>
  <si>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</si>
  <si>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</si>
  <si>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</si>
  <si>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</si>
  <si>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</si>
  <si>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</si>
  <si>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</si>
  <si>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</si>
  <si>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</si>
  <si>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</si>
  <si>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</si>
  <si>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</si>
  <si>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</si>
  <si>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</si>
  <si>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</si>
  <si>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</si>
  <si>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</si>
  <si>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</si>
  <si>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</si>
  <si>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</si>
  <si>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</si>
  <si>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</si>
  <si>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</si>
  <si>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</si>
  <si>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</si>
  <si>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</si>
  <si>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</si>
  <si>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</si>
  <si>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</si>
  <si>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</si>
  <si>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</si>
  <si>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</si>
  <si>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</si>
  <si>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</si>
  <si>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</si>
  <si>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</si>
  <si>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</si>
  <si>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</si>
  <si>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</si>
  <si>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</si>
  <si>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</si>
  <si>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</si>
  <si>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</si>
  <si>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</si>
  <si>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</si>
  <si>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</si>
  <si>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</si>
  <si>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</si>
  <si>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</si>
  <si>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</si>
  <si>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</si>
  <si>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</si>
  <si>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</si>
  <si>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</si>
  <si>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</si>
  <si>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</si>
  <si>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</si>
  <si>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</si>
  <si>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</si>
  <si>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</si>
  <si>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</si>
  <si>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</si>
  <si>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</si>
  <si>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</si>
  <si>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</si>
  <si>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</si>
  <si>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</si>
  <si>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</si>
  <si>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</si>
  <si>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</si>
  <si>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</si>
  <si>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</si>
  <si>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</si>
  <si>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</si>
  <si>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</si>
  <si>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</si>
  <si>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</si>
  <si>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</si>
  <si>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</si>
  <si>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</si>
  <si>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</si>
  <si>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</si>
  <si>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</si>
  <si>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</si>
  <si>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</si>
  <si>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</si>
  <si>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</si>
  <si>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</si>
  <si>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</si>
  <si>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</si>
  <si>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</si>
  <si>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</si>
  <si>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</si>
  <si>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</si>
  <si>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</si>
  <si>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</si>
  <si>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</si>
  <si>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</si>
  <si>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</si>
  <si>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</si>
  <si>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</si>
  <si>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</si>
  <si>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</si>
  <si>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</si>
  <si>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</si>
  <si>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</si>
  <si>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</si>
  <si>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</si>
  <si>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</si>
  <si>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</si>
  <si>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</si>
  <si>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</si>
  <si>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</si>
  <si>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</si>
  <si>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</si>
  <si>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</si>
  <si>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</si>
  <si>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</si>
  <si>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</si>
  <si>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</si>
  <si>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</si>
  <si>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</si>
  <si>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</si>
  <si>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</si>
  <si>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</si>
  <si>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</si>
  <si>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</si>
  <si>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</si>
  <si>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</si>
  <si>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</si>
  <si>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</si>
  <si>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</si>
  <si>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</si>
  <si>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</si>
  <si>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</si>
  <si>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</si>
  <si>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</si>
  <si>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</si>
  <si>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</si>
  <si>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</si>
  <si>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</si>
  <si>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</si>
  <si>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</si>
  <si>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</si>
  <si>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</si>
  <si>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</si>
  <si>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</si>
  <si>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</si>
  <si>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</si>
  <si>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</si>
  <si>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</si>
  <si>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</si>
  <si>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</si>
  <si>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</si>
  <si>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</si>
  <si>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</si>
  <si>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</si>
  <si>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</si>
  <si>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</si>
  <si>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</si>
  <si>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</si>
  <si>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</si>
  <si>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</si>
  <si>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</si>
  <si>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</si>
  <si>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</si>
  <si>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</si>
  <si>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</si>
  <si>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</si>
  <si>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</si>
  <si>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</si>
  <si>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</si>
  <si>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</si>
  <si>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</si>
  <si>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</si>
  <si>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</si>
  <si>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</si>
  <si>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</si>
  <si>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</si>
  <si>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</si>
  <si>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</si>
  <si>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</si>
  <si>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</si>
  <si>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</si>
  <si>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</si>
  <si>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</si>
  <si>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</si>
  <si>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</si>
  <si>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</si>
  <si>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</si>
  <si>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</si>
  <si>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</si>
  <si>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</si>
  <si>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</si>
  <si>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</si>
  <si>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</si>
  <si>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</si>
  <si>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</si>
  <si>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</si>
  <si>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</si>
  <si>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</si>
  <si>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</si>
  <si>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</si>
  <si>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</si>
  <si>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</si>
  <si>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</si>
  <si>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</si>
  <si>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</si>
  <si>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</si>
  <si>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</si>
  <si>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</si>
  <si>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</si>
  <si>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</si>
  <si>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</si>
  <si>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</si>
  <si>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</si>
  <si>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</si>
  <si>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</si>
  <si>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</si>
  <si>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</si>
  <si>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</si>
  <si>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</si>
  <si>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</si>
  <si>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</si>
  <si>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</si>
  <si>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</si>
  <si>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</si>
  <si>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</si>
  <si>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</si>
  <si>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</si>
  <si>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</si>
  <si>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</si>
  <si>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</si>
  <si>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</si>
  <si>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</si>
  <si>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</si>
  <si>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</si>
  <si>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</si>
  <si>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</si>
  <si>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</si>
  <si>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</si>
  <si>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</si>
  <si>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</si>
  <si>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</si>
  <si>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</si>
  <si>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</si>
  <si>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</si>
  <si>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</si>
  <si>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</si>
  <si>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</si>
  <si>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</si>
  <si>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</si>
  <si>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</si>
  <si>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</si>
  <si>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</si>
  <si>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</si>
  <si>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</si>
  <si>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</si>
  <si>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</si>
  <si>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</si>
  <si>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</si>
  <si>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</si>
  <si>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</si>
  <si>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</si>
  <si>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</si>
  <si>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</si>
  <si>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</si>
  <si>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</si>
  <si>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</si>
  <si>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</si>
  <si>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</si>
  <si>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</si>
  <si>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</si>
  <si>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</si>
  <si>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</si>
  <si>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</si>
  <si>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</si>
  <si>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</si>
  <si>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</si>
  <si>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</si>
  <si>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</si>
  <si>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</si>
  <si>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</si>
  <si>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</si>
  <si>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</si>
  <si>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</si>
  <si>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</si>
  <si>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</si>
  <si>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</si>
  <si>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</si>
  <si>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</si>
  <si>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</si>
  <si>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</si>
  <si>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</si>
  <si>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</si>
  <si>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</si>
  <si>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</si>
  <si>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</si>
  <si>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</si>
  <si>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</si>
  <si>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</si>
  <si>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</si>
  <si>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</si>
  <si>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</si>
  <si>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</si>
  <si>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</si>
  <si>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</si>
  <si>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</si>
  <si>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</si>
  <si>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</si>
  <si>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</si>
  <si>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</si>
  <si>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</si>
  <si>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</si>
  <si>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</si>
  <si>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</si>
  <si>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</si>
  <si>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</si>
  <si>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</si>
  <si>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</si>
  <si>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</si>
  <si>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</si>
  <si>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</si>
  <si>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</si>
  <si>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</si>
  <si>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</si>
  <si>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</si>
  <si>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</si>
  <si>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</si>
  <si>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</si>
  <si>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</si>
  <si>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</si>
  <si>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</si>
  <si>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</si>
  <si>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</si>
  <si>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</si>
  <si>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</si>
  <si>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</si>
  <si>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</si>
  <si>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</si>
  <si>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</si>
  <si>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</si>
  <si>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</si>
  <si>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</si>
  <si>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</si>
  <si>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</si>
  <si>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</si>
  <si>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</si>
  <si>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</si>
  <si>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</si>
  <si>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</si>
  <si>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</si>
  <si>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</si>
  <si>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</si>
  <si>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</si>
  <si>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</si>
  <si>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</si>
  <si>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</si>
  <si>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</si>
  <si>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</si>
  <si>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</si>
  <si>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</si>
  <si>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</si>
  <si>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</si>
  <si>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</si>
  <si>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</si>
  <si>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</si>
  <si>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</si>
  <si>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</si>
  <si>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</si>
  <si>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</si>
  <si>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</si>
  <si>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</si>
  <si>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</si>
  <si>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</si>
  <si>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</si>
  <si>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</si>
  <si>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</si>
  <si>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</si>
  <si>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</si>
  <si>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</si>
  <si>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</si>
  <si>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</si>
  <si>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</si>
  <si>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</si>
  <si>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</si>
  <si>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</si>
  <si>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</si>
  <si>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</si>
  <si>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</si>
  <si>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</si>
  <si>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</si>
  <si>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</si>
  <si>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</si>
  <si>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</si>
  <si>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</si>
  <si>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</si>
  <si>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</si>
  <si>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</si>
  <si>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</si>
  <si>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</si>
  <si>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</si>
  <si>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</si>
  <si>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</si>
  <si>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</si>
  <si>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</si>
  <si>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</si>
  <si>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</si>
  <si>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</si>
  <si>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</si>
  <si>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</si>
  <si>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</si>
  <si>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</si>
  <si>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</si>
  <si>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</si>
  <si>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</si>
  <si>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</si>
  <si>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</si>
  <si>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</si>
  <si>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</si>
  <si>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</si>
  <si>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</si>
  <si>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</si>
  <si>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</si>
  <si>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</si>
  <si>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</si>
  <si>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</si>
  <si>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</si>
  <si>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</si>
  <si>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</si>
  <si>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</si>
  <si>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</si>
  <si>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</si>
  <si>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</si>
  <si>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</si>
  <si>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</si>
  <si>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</si>
  <si>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</si>
  <si>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</si>
  <si>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</si>
  <si>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</si>
  <si>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</si>
  <si>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</si>
  <si>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</si>
  <si>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</si>
  <si>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</si>
  <si>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</si>
  <si>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</si>
  <si>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</si>
  <si>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</si>
  <si>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</si>
  <si>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</si>
  <si>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</si>
  <si>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</si>
  <si>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</si>
  <si>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</si>
  <si>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</si>
  <si>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</si>
  <si>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</si>
  <si>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</si>
  <si>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</si>
  <si>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</si>
  <si>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</si>
  <si>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</si>
  <si>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</si>
  <si>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</si>
  <si>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</si>
  <si>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</si>
  <si>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</si>
  <si>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</si>
  <si>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</si>
  <si>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</si>
  <si>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</si>
  <si>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</si>
  <si>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</si>
  <si>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</si>
  <si>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</si>
  <si>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</si>
  <si>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</si>
  <si>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</si>
  <si>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</si>
  <si>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</si>
  <si>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</si>
  <si>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</si>
  <si>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</si>
  <si>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</si>
  <si>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</si>
  <si>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</si>
  <si>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</si>
  <si>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</si>
  <si>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</si>
  <si>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</si>
  <si>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</si>
  <si>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</si>
  <si>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</si>
  <si>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</si>
  <si>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</si>
  <si>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</si>
  <si>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</si>
  <si>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</si>
  <si>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</si>
  <si>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</si>
  <si>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</si>
  <si>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</si>
  <si>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</si>
  <si>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</si>
  <si>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</si>
  <si>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</si>
  <si>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</si>
  <si>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</si>
  <si>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</si>
  <si>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</si>
  <si>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</si>
  <si>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</si>
  <si>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</si>
  <si>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</si>
  <si>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</si>
  <si>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</si>
  <si>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</si>
  <si>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</si>
  <si>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</si>
  <si>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</si>
  <si>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</si>
  <si>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</si>
  <si>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</si>
  <si>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</si>
  <si>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</si>
  <si>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</si>
  <si>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</si>
  <si>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</si>
  <si>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</si>
  <si>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</si>
  <si>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</si>
  <si>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</si>
  <si>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</si>
  <si>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</si>
  <si>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</si>
  <si>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</si>
  <si>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</si>
  <si>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</si>
  <si>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</si>
  <si>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</si>
  <si>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</si>
  <si>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</si>
  <si>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</si>
  <si>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</si>
  <si>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</si>
  <si>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</si>
  <si>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</si>
  <si>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</si>
  <si>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</si>
  <si>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</si>
  <si>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</si>
  <si>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</si>
  <si>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</si>
  <si>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</si>
  <si>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</si>
  <si>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</si>
  <si>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</si>
  <si>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</si>
  <si>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</si>
  <si>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</si>
  <si>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</si>
  <si>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</si>
  <si>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</si>
  <si>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</si>
  <si>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</si>
  <si>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</si>
  <si>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</si>
  <si>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</si>
  <si>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</si>
  <si>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</si>
  <si>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</si>
  <si>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</si>
  <si>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</si>
  <si>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</si>
  <si>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</si>
  <si>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</si>
  <si>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</si>
  <si>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</si>
  <si>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</si>
  <si>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</si>
  <si>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</si>
  <si>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</si>
  <si>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</si>
  <si>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</si>
  <si>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</si>
  <si>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</si>
  <si>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</si>
  <si>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</si>
  <si>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</si>
  <si>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</si>
  <si>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</si>
  <si>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</si>
  <si>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</si>
  <si>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</si>
  <si>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</si>
  <si>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</si>
  <si>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</si>
  <si>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</si>
  <si>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</si>
  <si>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</si>
  <si>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</si>
  <si>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</si>
  <si>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</si>
  <si>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</si>
  <si>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</si>
  <si>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</si>
  <si>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</si>
  <si>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</si>
  <si>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</si>
  <si>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</si>
  <si>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</si>
  <si>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</si>
  <si>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</si>
  <si>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</si>
  <si>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</si>
  <si>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</si>
  <si>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</si>
  <si>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</si>
  <si>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</si>
  <si>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</si>
  <si>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</si>
  <si>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</si>
  <si>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</si>
  <si>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</si>
  <si>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</si>
  <si>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</si>
  <si>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</si>
  <si>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</si>
  <si>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</si>
  <si>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</si>
  <si>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</si>
  <si>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</si>
  <si>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</si>
  <si>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</si>
  <si>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</si>
  <si>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</si>
  <si>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</si>
  <si>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</si>
  <si>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</si>
  <si>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</si>
  <si>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</si>
  <si>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</si>
  <si>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</si>
  <si>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</si>
  <si>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</si>
  <si>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</si>
  <si>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</si>
  <si>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</si>
  <si>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</si>
  <si>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</si>
  <si>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</si>
  <si>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</si>
  <si>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</si>
  <si>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</si>
  <si>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</si>
  <si>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</si>
  <si>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</si>
  <si>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</si>
  <si>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</si>
  <si>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</si>
  <si>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</si>
  <si>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</si>
  <si>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</si>
  <si>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</si>
  <si>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</si>
  <si>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</si>
  <si>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</si>
  <si>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</si>
  <si>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</si>
  <si>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</si>
  <si>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</si>
  <si>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</si>
  <si>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</si>
  <si>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</si>
  <si>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</si>
  <si>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</si>
  <si>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</si>
  <si>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</si>
  <si>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</si>
  <si>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</si>
  <si>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</si>
  <si>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</si>
  <si>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</si>
  <si>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</si>
  <si>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</si>
  <si>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</si>
  <si>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</si>
  <si>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</si>
  <si>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</si>
  <si>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</si>
  <si>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</si>
  <si>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</si>
  <si>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</si>
  <si>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</si>
  <si>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</si>
  <si>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</si>
  <si>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</si>
  <si>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</si>
  <si>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</si>
  <si>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</si>
  <si>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</si>
  <si>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</si>
  <si>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</si>
  <si>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</si>
  <si>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</si>
  <si>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</si>
  <si>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</si>
  <si>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</si>
  <si>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</si>
  <si>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</si>
  <si>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</si>
  <si>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</si>
  <si>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</si>
  <si>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</si>
  <si>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</si>
  <si>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</si>
  <si>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</si>
  <si>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</si>
  <si>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</si>
  <si>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</si>
  <si>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</si>
  <si>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</si>
  <si>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</si>
  <si>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</si>
  <si>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</si>
  <si>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</si>
  <si>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</si>
  <si>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</si>
  <si>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</si>
  <si>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</si>
  <si>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</si>
  <si>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</si>
  <si>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</si>
  <si>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</si>
  <si>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</si>
  <si>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</si>
  <si>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</si>
  <si>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</si>
  <si>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</si>
  <si>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</si>
  <si>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</si>
  <si>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</si>
  <si>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</si>
  <si>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</si>
  <si>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</si>
  <si>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</si>
  <si>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</si>
  <si>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</si>
  <si>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</si>
  <si>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</si>
  <si>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</si>
  <si>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</si>
  <si>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</si>
  <si>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</si>
  <si>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</si>
  <si>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</si>
  <si>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</si>
  <si>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</si>
  <si>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</si>
  <si>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</si>
  <si>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</si>
  <si>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</si>
  <si>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</si>
  <si>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</si>
  <si>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</si>
  <si>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</si>
  <si>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</si>
  <si>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</si>
  <si>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</si>
  <si>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</si>
  <si>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</si>
  <si>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</si>
  <si>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</si>
  <si>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</si>
  <si>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</si>
  <si>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</si>
  <si>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</si>
  <si>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</si>
  <si>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</si>
  <si>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</si>
  <si>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</si>
  <si>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</si>
  <si>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</si>
  <si>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</si>
  <si>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</si>
  <si>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</si>
  <si>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</si>
  <si>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</si>
  <si>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</si>
  <si>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</si>
  <si>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</si>
  <si>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</si>
  <si>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</si>
  <si>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</si>
  <si>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</si>
  <si>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</si>
  <si>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</si>
  <si>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</si>
  <si>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</si>
  <si>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</si>
  <si>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</si>
  <si>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</si>
  <si>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</si>
  <si>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</si>
  <si>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</si>
  <si>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</si>
  <si>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</si>
  <si>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</si>
  <si>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</si>
  <si>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</si>
  <si>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</si>
  <si>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</si>
  <si>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</si>
  <si>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</si>
  <si>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</si>
  <si>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</si>
  <si>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</si>
  <si>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</si>
  <si>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</si>
  <si>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</si>
  <si>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</si>
  <si>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</si>
  <si>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</si>
  <si>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</si>
  <si>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</si>
  <si>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</si>
  <si>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</si>
  <si>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</si>
  <si>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</si>
  <si>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</si>
  <si>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</si>
  <si>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</si>
  <si>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</si>
  <si>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</si>
  <si>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</si>
  <si>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</si>
  <si>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</si>
  <si>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</si>
  <si>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</si>
  <si>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</si>
  <si>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</si>
  <si>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</si>
  <si>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</si>
  <si>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</si>
  <si>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</si>
  <si>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</si>
  <si>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</si>
  <si>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</si>
  <si>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</si>
  <si>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</si>
  <si>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</si>
  <si>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</si>
  <si>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</si>
  <si>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</si>
  <si>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</si>
  <si>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</si>
  <si>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</si>
  <si>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</si>
  <si>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</si>
  <si>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</si>
  <si>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</si>
  <si>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</si>
  <si>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</si>
  <si>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</si>
  <si>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</si>
  <si>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</si>
  <si>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</si>
  <si>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</si>
  <si>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</si>
  <si>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</si>
  <si>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</si>
  <si>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</si>
  <si>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</si>
  <si>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</si>
  <si>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</si>
  <si>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</si>
  <si>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</si>
  <si>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</si>
  <si>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</si>
  <si>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</si>
  <si>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</si>
  <si>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</si>
  <si>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</si>
  <si>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</si>
  <si>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</si>
  <si>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</si>
  <si>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</si>
  <si>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</si>
  <si>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</si>
  <si>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</si>
  <si>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</si>
  <si>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</si>
  <si>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</si>
  <si>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</si>
  <si>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</si>
  <si>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</si>
  <si>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</si>
  <si>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</si>
  <si>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</si>
  <si>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</si>
  <si>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</si>
  <si>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</si>
  <si>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</si>
  <si>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</si>
  <si>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</si>
  <si>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</si>
  <si>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</si>
  <si>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</si>
  <si>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</si>
  <si>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</si>
  <si>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</si>
  <si>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</si>
  <si>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</si>
  <si>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</si>
  <si>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</si>
  <si>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</si>
  <si>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</si>
  <si>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</si>
  <si>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</si>
  <si>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</si>
  <si>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</si>
  <si>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</si>
  <si>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</si>
  <si>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</si>
  <si>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</si>
  <si>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</si>
  <si>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</si>
  <si>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</si>
  <si>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</si>
  <si>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</si>
  <si>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</si>
  <si>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</si>
  <si>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</si>
  <si>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</si>
  <si>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</si>
  <si>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</si>
  <si>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</si>
  <si>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</si>
  <si>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</si>
  <si>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</si>
  <si>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</si>
  <si>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</si>
  <si>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</si>
  <si>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</si>
  <si>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</si>
  <si>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</si>
  <si>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</si>
  <si>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</si>
  <si>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</si>
  <si>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</si>
  <si>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</si>
  <si>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</si>
  <si>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</si>
  <si>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</si>
  <si>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</si>
  <si>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</si>
  <si>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</si>
  <si>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</si>
  <si>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</si>
  <si>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</si>
  <si>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</si>
  <si>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</si>
  <si>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</si>
  <si>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</si>
  <si>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</si>
  <si>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</si>
  <si>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</si>
  <si>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</si>
  <si>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</si>
  <si>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</si>
  <si>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</si>
  <si>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</si>
  <si>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</si>
  <si>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</si>
  <si>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</si>
  <si>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</si>
  <si>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</si>
  <si>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</si>
  <si>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</si>
  <si>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</si>
  <si>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</si>
  <si>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</si>
  <si>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</si>
  <si>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</si>
  <si>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</si>
  <si>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</si>
  <si>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</si>
  <si>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</si>
  <si>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</si>
  <si>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</si>
  <si>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</si>
  <si>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</si>
  <si>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</si>
  <si>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</si>
  <si>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</si>
  <si>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</si>
  <si>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</si>
  <si>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</si>
  <si>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</si>
  <si>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</si>
  <si>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</si>
  <si>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</si>
  <si>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</si>
  <si>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</si>
  <si>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</si>
  <si>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</si>
  <si>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</si>
  <si>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</si>
  <si>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</si>
  <si>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</si>
  <si>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</si>
  <si>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</si>
  <si>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</si>
  <si>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</si>
  <si>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</si>
  <si>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</si>
  <si>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</si>
  <si>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</si>
  <si>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</si>
  <si>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</si>
  <si>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</si>
  <si>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</si>
  <si>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</si>
  <si>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</si>
  <si>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</si>
  <si>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</si>
  <si>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</si>
  <si>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</si>
  <si>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</si>
  <si>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</si>
  <si>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</si>
  <si>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</si>
  <si>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</si>
  <si>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</si>
  <si>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</si>
  <si>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</si>
  <si>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</si>
  <si>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</si>
  <si>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</si>
  <si>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</si>
  <si>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</si>
  <si>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</si>
  <si>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</si>
  <si>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</si>
  <si>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</si>
  <si>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</si>
  <si>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</si>
  <si>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</si>
  <si>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</si>
  <si>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</si>
  <si>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</si>
  <si>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</si>
  <si>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</si>
  <si>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</si>
  <si>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</si>
  <si>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</si>
  <si>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</si>
  <si>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</si>
  <si>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</si>
  <si>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</si>
  <si>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</si>
  <si>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</si>
  <si>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</si>
  <si>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</si>
  <si>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</si>
  <si>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</si>
  <si>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</si>
  <si>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</si>
  <si>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</si>
  <si>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</si>
  <si>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</si>
  <si>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</si>
  <si>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</si>
  <si>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</si>
  <si>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</si>
  <si>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</si>
  <si>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</si>
  <si>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</si>
  <si>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</si>
  <si>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</si>
  <si>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</si>
  <si>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</si>
  <si>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</si>
  <si>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</si>
  <si>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</si>
  <si>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</si>
  <si>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</si>
  <si>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</si>
  <si>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</si>
  <si>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</si>
  <si>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</si>
  <si>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</si>
  <si>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</si>
  <si>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</si>
  <si>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</si>
  <si>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</si>
  <si>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</si>
  <si>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</si>
  <si>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</si>
  <si>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</si>
  <si>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</si>
  <si>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</si>
  <si>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</si>
  <si>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</si>
  <si>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</si>
  <si>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</si>
  <si>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</si>
  <si>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</si>
  <si>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</si>
  <si>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</si>
  <si>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</si>
  <si>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</si>
  <si>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</si>
  <si>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</si>
  <si>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</si>
  <si>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</si>
  <si>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</si>
  <si>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</si>
  <si>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</si>
  <si>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</si>
  <si>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</si>
  <si>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</si>
  <si>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</si>
  <si>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</si>
  <si>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</si>
  <si>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</si>
  <si>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</si>
  <si>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</si>
  <si>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</si>
  <si>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</si>
  <si>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</si>
  <si>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</si>
  <si>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</si>
  <si>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</si>
  <si>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</si>
  <si>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</si>
  <si>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</si>
  <si>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</si>
  <si>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</si>
  <si>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</si>
  <si>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</si>
  <si>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</si>
  <si>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</si>
  <si>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</si>
  <si>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</si>
  <si>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</si>
  <si>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</si>
  <si>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</si>
  <si>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</si>
  <si>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</si>
  <si>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</si>
  <si>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</si>
  <si>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</si>
  <si>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</si>
  <si>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</si>
  <si>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</si>
  <si>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</si>
  <si>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</si>
  <si>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</si>
  <si>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</si>
  <si>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</si>
  <si>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</si>
  <si>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</si>
  <si>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</si>
  <si>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</si>
  <si>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</si>
  <si>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</si>
  <si>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</si>
  <si>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</si>
  <si>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</si>
  <si>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</si>
  <si>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</si>
  <si>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</si>
  <si>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</si>
  <si>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</si>
  <si>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</si>
  <si>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</si>
  <si>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</si>
  <si>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</si>
  <si>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</si>
  <si>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</si>
  <si>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</si>
  <si>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</si>
  <si>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</si>
  <si>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</si>
  <si>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</si>
  <si>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</si>
  <si>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</si>
  <si>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</si>
  <si>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</si>
  <si>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</si>
  <si>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</si>
  <si>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</si>
  <si>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</si>
  <si>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</si>
  <si>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</si>
  <si>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</si>
  <si>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</si>
  <si>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</si>
  <si>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</si>
  <si>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</si>
  <si>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</si>
  <si>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</si>
  <si>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</si>
  <si>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</si>
  <si>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</si>
  <si>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</si>
  <si>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</si>
  <si>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</si>
  <si>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</si>
  <si>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</si>
  <si>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</si>
  <si>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</si>
  <si>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</si>
  <si>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</si>
  <si>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</si>
  <si>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</si>
  <si>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</si>
  <si>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</si>
  <si>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</si>
  <si>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</si>
  <si>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</si>
  <si>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</si>
  <si>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</si>
  <si>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</si>
  <si>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</si>
  <si>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</si>
  <si>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</si>
  <si>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</si>
  <si>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</si>
  <si>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</si>
  <si>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</si>
  <si>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</si>
  <si>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</si>
  <si>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</si>
  <si>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</si>
  <si>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</si>
  <si>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</si>
  <si>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</si>
  <si>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</si>
  <si>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</si>
  <si>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</si>
  <si>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</si>
  <si>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</si>
  <si>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</si>
  <si>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</si>
  <si>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</si>
  <si>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</si>
  <si>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</si>
  <si>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</si>
  <si>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</si>
  <si>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</si>
  <si>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</si>
  <si>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</si>
  <si>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</si>
  <si>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</si>
  <si>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</si>
  <si>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</si>
  <si>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</si>
  <si>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</si>
  <si>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</si>
  <si>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</si>
  <si>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</si>
  <si>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</si>
  <si>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</si>
  <si>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</si>
  <si>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</si>
  <si>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</si>
  <si>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</si>
  <si>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</si>
  <si>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</si>
  <si>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</si>
  <si>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</si>
  <si>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</si>
  <si>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</si>
  <si>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</si>
  <si>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</si>
  <si>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</si>
  <si>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</si>
  <si>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</si>
  <si>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</si>
  <si>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</si>
  <si>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</si>
  <si>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</si>
  <si>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</si>
  <si>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</si>
  <si>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</si>
  <si>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</si>
  <si>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</si>
  <si>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</si>
  <si>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</si>
  <si>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</si>
  <si>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</si>
  <si>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</si>
  <si>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</si>
  <si>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</si>
  <si>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</si>
  <si>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</si>
  <si>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</si>
  <si>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</si>
  <si>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</si>
  <si>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</si>
  <si>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</si>
  <si>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</si>
  <si>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</si>
  <si>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</si>
  <si>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</si>
  <si>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</si>
  <si>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</si>
  <si>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</si>
  <si>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</si>
  <si>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</si>
  <si>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</si>
  <si>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</si>
  <si>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</si>
  <si>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</si>
  <si>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</si>
  <si>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</si>
  <si>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</si>
  <si>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</si>
  <si>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</si>
  <si>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</si>
  <si>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</si>
  <si>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</si>
  <si>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</si>
  <si>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</si>
  <si>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</si>
  <si>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</si>
  <si>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</si>
  <si>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</si>
  <si>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</si>
  <si>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</si>
  <si>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</si>
  <si>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</si>
  <si>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</si>
  <si>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</si>
  <si>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</si>
  <si>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</si>
  <si>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</si>
  <si>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</si>
  <si>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</si>
  <si>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</si>
  <si>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</si>
  <si>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</si>
  <si>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</si>
  <si>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</si>
  <si>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</si>
  <si>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</si>
  <si>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</si>
  <si>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</si>
  <si>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</si>
  <si>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</si>
  <si>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</si>
  <si>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</si>
  <si>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</si>
  <si>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</si>
  <si>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</si>
  <si>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</si>
  <si>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</si>
  <si>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</si>
  <si>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</si>
  <si>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</si>
  <si>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</si>
  <si>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</si>
  <si>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</si>
  <si>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</si>
  <si>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</si>
  <si>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</si>
  <si>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</si>
  <si>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</si>
  <si>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</si>
  <si>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</si>
  <si>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</si>
  <si>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</si>
  <si>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</si>
  <si>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</si>
  <si>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</si>
  <si>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</si>
  <si>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</si>
  <si>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</si>
  <si>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</si>
  <si>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</si>
  <si>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</si>
  <si>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</si>
  <si>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</si>
  <si>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</si>
  <si>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</si>
  <si>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</si>
  <si>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</si>
  <si>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</si>
  <si>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</si>
  <si>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</si>
  <si>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</si>
  <si>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</si>
  <si>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</si>
  <si>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</si>
  <si>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</si>
  <si>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</si>
  <si>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</si>
  <si>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</si>
  <si>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</si>
  <si>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</si>
  <si>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</si>
  <si>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</si>
  <si>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</si>
  <si>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</si>
  <si>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</si>
  <si>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</si>
  <si>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</si>
  <si>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</si>
  <si>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</si>
  <si>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</si>
  <si>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</si>
  <si>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</si>
  <si>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</si>
  <si>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</si>
  <si>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</si>
  <si>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</si>
  <si>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</si>
  <si>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</si>
  <si>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</si>
  <si>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</si>
  <si>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</si>
  <si>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</si>
  <si>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</si>
  <si>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</si>
  <si>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</si>
  <si>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</si>
  <si>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</si>
  <si>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</si>
  <si>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</si>
  <si>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</si>
  <si>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</si>
  <si>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</si>
  <si>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</si>
  <si>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</si>
  <si>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</si>
  <si>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</si>
  <si>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</si>
  <si>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</si>
  <si>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</si>
  <si>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</si>
  <si>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</si>
  <si>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</si>
  <si>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</si>
  <si>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</si>
  <si>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</si>
  <si>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</si>
  <si>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</si>
  <si>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</si>
  <si>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</si>
  <si>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</si>
  <si>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</si>
  <si>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</si>
  <si>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</si>
  <si>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</si>
  <si>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</si>
  <si>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</si>
  <si>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</si>
  <si>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</si>
  <si>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</si>
  <si>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</si>
  <si>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</si>
  <si>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</si>
  <si>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</si>
  <si>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</si>
  <si>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</si>
  <si>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</si>
  <si>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</si>
  <si>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</si>
  <si>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</si>
  <si>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</si>
  <si>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</si>
  <si>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</si>
  <si>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</si>
  <si>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</si>
  <si>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</si>
  <si>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</si>
  <si>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</si>
  <si>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</si>
  <si>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</si>
  <si>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</si>
  <si>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</si>
  <si>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</si>
  <si>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</si>
  <si>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</si>
  <si>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</si>
  <si>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</si>
  <si>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</si>
  <si>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</si>
  <si>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</si>
  <si>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</si>
  <si>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</si>
  <si>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</si>
  <si>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</si>
  <si>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</si>
  <si>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</si>
  <si>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</si>
  <si>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</si>
  <si>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</si>
  <si>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</si>
  <si>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</si>
  <si>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</si>
  <si>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</si>
  <si>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</si>
  <si>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</si>
  <si>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</si>
  <si>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</si>
  <si>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一单元04街坊</t>
  </si>
  <si>
    <t>≤8.22</t>
  </si>
  <si>
    <t>九单元03街坊03地块</t>
  </si>
  <si>
    <t>≤20.18</t>
  </si>
  <si>
    <t>南山区滨海大道以北,深湾一路以东</t>
  </si>
  <si>
    <t>≤8.06</t>
  </si>
  <si>
    <t>2014-01-26</t>
  </si>
  <si>
    <t>前海深港现代服务业合作区一单元1街坊</t>
  </si>
  <si>
    <t>≤12.01</t>
  </si>
  <si>
    <t>2014-01-23</t>
  </si>
  <si>
    <t>≤15.15</t>
  </si>
  <si>
    <t>2013-11-27</t>
  </si>
  <si>
    <t>≤11.77</t>
  </si>
  <si>
    <t>2013-10-28</t>
  </si>
  <si>
    <t>福田区中心区</t>
  </si>
  <si>
    <t>≤12.28</t>
  </si>
  <si>
    <t>前海深港现代服务业合作区桂湾片区二单元02街坊</t>
  </si>
  <si>
    <t>2013-08-16</t>
  </si>
  <si>
    <t>前海深港现代服务业合作区桂湾片区二单元03街坊</t>
  </si>
  <si>
    <t>2013-07-26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</si>
  <si>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</si>
  <si>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</si>
  <si>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</si>
  <si>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</si>
  <si>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</si>
  <si>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</si>
  <si>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</si>
  <si>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</si>
  <si>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</si>
  <si>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</si>
  <si>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</si>
  <si>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</si>
  <si>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</si>
  <si>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</si>
  <si>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r>
      <rPr>
        <sz val="11"/>
        <rFont val="宋体"/>
        <family val="3"/>
        <charset val="134"/>
      </rPr>
      <t>城市支路</t>
    </r>
    <r>
      <rPr>
        <sz val="11"/>
        <rFont val="Arial"/>
        <family val="2"/>
      </rPr>
      <t>-</t>
    </r>
    <r>
      <rPr>
        <sz val="11"/>
        <rFont val="宋体"/>
        <family val="3"/>
        <charset val="134"/>
      </rPr>
      <t>未命名</t>
    </r>
    <phoneticPr fontId="26" type="noConversion"/>
  </si>
  <si>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</si>
  <si>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</si>
  <si>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</si>
  <si>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</si>
  <si>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</si>
  <si>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</si>
  <si>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</si>
  <si>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</si>
  <si>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</si>
  <si>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估价对象位于前海，周边有龙海商业广场等，周边商业氛围成熟度高，人流量大，商业繁华度好</t>
    <phoneticPr fontId="26" type="noConversion"/>
  </si>
  <si>
    <t>估价对象位于前海，周边办公楼项目多，有卓越前海壹号等，入驻率高，办公集聚程度好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</si>
  <si>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</si>
  <si>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</si>
  <si>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</si>
  <si>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</si>
  <si>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</si>
  <si>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</si>
  <si>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</si>
  <si>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</si>
  <si>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</si>
  <si>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</si>
  <si>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</si>
  <si>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</si>
  <si>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</si>
  <si>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</si>
  <si>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</si>
  <si>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</si>
  <si>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</si>
  <si>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</si>
  <si>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</si>
  <si>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</si>
  <si>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</si>
  <si>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</si>
  <si>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</si>
  <si>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</si>
  <si>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</si>
  <si>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</si>
  <si>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写字楼（公寓）</t>
  </si>
  <si>
    <t>写字楼（公寓）</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</si>
  <si>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</si>
  <si>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</si>
  <si>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</si>
  <si>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</si>
  <si>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</si>
  <si>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</si>
  <si>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</si>
  <si>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</si>
  <si>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佳兆业前海广场</t>
    <phoneticPr fontId="3" type="noConversion"/>
  </si>
  <si>
    <t>恒邦壹峯</t>
    <phoneticPr fontId="3" type="noConversion"/>
  </si>
  <si>
    <t>兆鑫·汇金广场</t>
    <phoneticPr fontId="3"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</si>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</sst>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182" fontId="70" fillId="0" borderId="2" xfId="0" applyNumberFormat="1" applyFont="1" applyBorder="1" applyAlignment="1" applyProtection="1">
      <alignment horizontal="left" vertical="center"/>
      <protection locked="0"/>
    </xf>
    <xf numFmtId="182"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0" fontId="277" fillId="0" borderId="0" xfId="0" applyFont="1" applyFill="1" applyAlignment="1"/>
    <xf numFmtId="0" fontId="85" fillId="0" borderId="0" xfId="0" applyFont="1" applyFill="1" applyAlignment="1"/>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638175</xdr:colOff>
      <xdr:row>2</xdr:row>
      <xdr:rowOff>114886</xdr:rowOff>
    </xdr:from>
    <xdr:to>
      <xdr:col>19</xdr:col>
      <xdr:colOff>342900</xdr:colOff>
      <xdr:row>18</xdr:row>
      <xdr:rowOff>66675</xdr:rowOff>
    </xdr:to>
    <xdr:pic>
      <xdr:nvPicPr>
        <xdr:cNvPr id="3" name="图片 2" descr="C:\Documents and Settings\Administrator\Application Data\Tencent\Users\2416965547\QQ\WinTemp\RichOle\E7C072(G1)ES@IE}_OTHR~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57786"/>
          <a:ext cx="6562725" cy="269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19</xdr:row>
      <xdr:rowOff>117603</xdr:rowOff>
    </xdr:from>
    <xdr:to>
      <xdr:col>19</xdr:col>
      <xdr:colOff>180975</xdr:colOff>
      <xdr:row>32</xdr:row>
      <xdr:rowOff>142875</xdr:rowOff>
    </xdr:to>
    <xdr:pic>
      <xdr:nvPicPr>
        <xdr:cNvPr id="4" name="图片 3" descr="C:\Documents and Settings\Administrator\Application Data\Tencent\Users\2416965547\QQ\WinTemp\RichOle\TT~({~F42]O92_$1]3Z]BL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375153"/>
          <a:ext cx="6305550" cy="225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76199</xdr:rowOff>
    </xdr:from>
    <xdr:to>
      <xdr:col>9</xdr:col>
      <xdr:colOff>175908</xdr:colOff>
      <xdr:row>23</xdr:row>
      <xdr:rowOff>104774</xdr:rowOff>
    </xdr:to>
    <xdr:pic>
      <xdr:nvPicPr>
        <xdr:cNvPr id="5" name="图片 4" descr="C:\Documents and Settings\Administrator\Application Data\Tencent\Users\2416965547\QQ\WinTemp\RichOle\%1UZSR(6}MATKLR)Q9}$OC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49"/>
          <a:ext cx="6348108"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4</xdr:row>
      <xdr:rowOff>28166</xdr:rowOff>
    </xdr:from>
    <xdr:to>
      <xdr:col>11</xdr:col>
      <xdr:colOff>405864</xdr:colOff>
      <xdr:row>18</xdr:row>
      <xdr:rowOff>152400</xdr:rowOff>
    </xdr:to>
    <xdr:pic>
      <xdr:nvPicPr>
        <xdr:cNvPr id="8" name="图片 7" descr="C:\Documents and Settings\Administrator\Application Data\Tencent\Users\2416965547\QQ\WinTemp\RichOle\C[HGJH94V$W5HGI7N{M7L$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713966"/>
          <a:ext cx="7549614" cy="252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69505</xdr:rowOff>
    </xdr:from>
    <xdr:to>
      <xdr:col>12</xdr:col>
      <xdr:colOff>295275</xdr:colOff>
      <xdr:row>56</xdr:row>
      <xdr:rowOff>28574</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84455"/>
          <a:ext cx="8524875" cy="424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4</xdr:row>
      <xdr:rowOff>38100</xdr:rowOff>
    </xdr:from>
    <xdr:to>
      <xdr:col>9</xdr:col>
      <xdr:colOff>659342</xdr:colOff>
      <xdr:row>28</xdr:row>
      <xdr:rowOff>114300</xdr:rowOff>
    </xdr:to>
    <xdr:pic>
      <xdr:nvPicPr>
        <xdr:cNvPr id="2" name="图片 1" descr="C:\Documents and Settings\Administrator\Application Data\Tencent\Users\2416965547\QQ\WinTemp\RichOle\8[MUG1~1LL0)R[N9`]3HP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23900"/>
          <a:ext cx="6612467"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29</xdr:row>
      <xdr:rowOff>94991</xdr:rowOff>
    </xdr:from>
    <xdr:to>
      <xdr:col>9</xdr:col>
      <xdr:colOff>466725</xdr:colOff>
      <xdr:row>47</xdr:row>
      <xdr:rowOff>19050</xdr:rowOff>
    </xdr:to>
    <xdr:pic>
      <xdr:nvPicPr>
        <xdr:cNvPr id="3" name="图片 2" descr="C:\Documents and Settings\Administrator\Application Data\Tencent\Users\2416965547\QQ\WinTemp\RichOle\Y~R{3CQ%C3NVV8~N2LHM(%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5067041"/>
          <a:ext cx="6143625" cy="301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2616</v>
      </c>
      <c r="B1" s="2891" t="s">
        <v>2713</v>
      </c>
    </row>
    <row r="2" spans="1:55" s="2895" customFormat="1" ht="16.2" thickTop="1">
      <c r="A2" s="2893" t="s">
        <v>2620</v>
      </c>
      <c r="B2" s="2894" t="str">
        <f>'预评函-封皮'!B37</f>
        <v>深圳市莱茵达路以北、嘉华路以西出让国有建设用地使用权抵押价格预评估</v>
      </c>
      <c r="AX2" s="2896"/>
      <c r="AZ2" s="2896"/>
      <c r="BA2" s="2897"/>
      <c r="BC2" s="2897"/>
    </row>
    <row r="3" spans="1:55" s="2898" customFormat="1">
      <c r="A3" s="2877" t="s">
        <v>2621</v>
      </c>
      <c r="B3" s="2880">
        <f>'预评函-封皮'!B40</f>
        <v>0</v>
      </c>
    </row>
    <row r="4" spans="1:55" s="2879" customFormat="1">
      <c r="A4" s="2877" t="s">
        <v>2622</v>
      </c>
      <c r="B4" s="2878" t="str">
        <f>'预评函-封皮'!B46</f>
        <v>王鹏、崔锴</v>
      </c>
      <c r="N4" s="2879" t="str">
        <f>'预评函-1'!A28</f>
        <v/>
      </c>
    </row>
    <row r="5" spans="1:55" s="2892" customFormat="1" ht="16.2" thickBot="1">
      <c r="A5" s="2899" t="s">
        <v>2623</v>
      </c>
      <c r="B5" s="2900" t="str">
        <f>'预评函-封皮'!B49</f>
        <v>康正预评字号</v>
      </c>
    </row>
    <row r="6" spans="1:55" s="2901" customFormat="1" ht="16.2" thickTop="1">
      <c r="A6" s="2893" t="s">
        <v>2665</v>
      </c>
      <c r="B6" s="2894" t="str">
        <f>'预评函-1'!A4</f>
        <v>受贵公司委托，我公司对深圳市莱茵达路以北、嘉华路以西出让国有建设用地使用权抵押价格进行了预评估。</v>
      </c>
      <c r="AM6" s="2902"/>
    </row>
    <row r="7" spans="1:55" s="2876" customFormat="1">
      <c r="A7" s="2877" t="s">
        <v>2617</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8" spans="1:55" s="2876" customFormat="1">
      <c r="A8" s="2877" t="s">
        <v>2618</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2668</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2619</v>
      </c>
      <c r="B10" s="2878" t="str">
        <f>'预评函-1'!A11</f>
        <v>2018年8月31日（评估专业人员勘察现场之日）</v>
      </c>
    </row>
    <row r="11" spans="1:55" s="2876" customFormat="1">
      <c r="A11" s="2877" t="s">
        <v>2625</v>
      </c>
      <c r="B11" s="2878" t="str">
        <f>'预评函-1'!A14</f>
        <v>根据，本次评估估价对象证载（地类）用途为。</v>
      </c>
    </row>
    <row r="12" spans="1:55" s="2876" customFormat="1">
      <c r="A12" s="2877" t="s">
        <v>2626</v>
      </c>
      <c r="B12" s="2878" t="str">
        <f>'预评函-1'!A15</f>
        <v>本次评估设定用途即为证载用途商业。</v>
      </c>
    </row>
    <row r="13" spans="1:55" s="2876" customFormat="1">
      <c r="A13" s="2877" t="s">
        <v>2627</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2628</v>
      </c>
      <c r="B14" s="2878" t="str">
        <f>'预评函-1'!A18</f>
        <v>本次评估设定土地开发程度为红线外市政基础设施达“七通”、宗地红线内场地平整。</v>
      </c>
    </row>
    <row r="15" spans="1:55" s="2876" customFormat="1">
      <c r="A15" s="2877" t="s">
        <v>2624</v>
      </c>
      <c r="B15" s="2878" t="str">
        <f>'预评函-1'!A20</f>
        <v>根据《建设用地规划许可证》，估价对象（分摊）出让国有建设用地使用权面积为10423.25平方米。根据《建设用地规划许可证》，估价对象规划建筑面积为121219平方米。</v>
      </c>
    </row>
    <row r="16" spans="1:55" s="2876" customFormat="1">
      <c r="A16" s="2877" t="s">
        <v>2629</v>
      </c>
      <c r="B16" s="2878" t="str">
        <f>'预评函-1'!A22</f>
        <v>本次估价对象为出让国有建设用地使用权，证载土地终止日期为商业2058年5月29日、办公2058年5月29日、地下车库2058年5月29日。截至估价期日，出让国有建设用地使用权剩余土地使用年限为。</v>
      </c>
    </row>
    <row r="17" spans="1:48" s="2876" customFormat="1">
      <c r="A17" s="2877" t="s">
        <v>2630</v>
      </c>
      <c r="B17" s="2878" t="str">
        <f>'预评函-1'!A23</f>
        <v>本次评估设定估价对象剩余土地使用年限为。</v>
      </c>
    </row>
    <row r="18" spans="1:48" s="2876" customFormat="1">
      <c r="A18" s="2877" t="s">
        <v>2631</v>
      </c>
      <c r="B18" s="2878"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19" spans="1:48" s="2876" customFormat="1">
      <c r="A19" s="2877" t="s">
        <v>2632</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2633</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2634</v>
      </c>
      <c r="B21" s="2900" t="str">
        <f>'预评函-1'!A28</f>
        <v/>
      </c>
    </row>
    <row r="22" spans="1:48" ht="16.2" thickTop="1">
      <c r="A22" s="2888" t="s">
        <v>2635</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2636</v>
      </c>
      <c r="B23" s="2878" t="str">
        <f>'预评函-2'!K2</f>
        <v>估价期日：2018年8月31日</v>
      </c>
    </row>
    <row r="24" spans="1:48">
      <c r="A24" s="2877" t="s">
        <v>2637</v>
      </c>
      <c r="B24" s="2878" t="str">
        <f>'预评函-2'!R2</f>
        <v>估价期日的国有建设用地使用权性质：出让</v>
      </c>
    </row>
    <row r="25" spans="1:48">
      <c r="A25" s="2877" t="s">
        <v>2693</v>
      </c>
      <c r="B25" s="2878" t="str">
        <f>'预评函-2'!A3</f>
        <v>估价期日土地使用者</v>
      </c>
    </row>
    <row r="26" spans="1:48">
      <c r="A26" s="2877" t="s">
        <v>2669</v>
      </c>
      <c r="B26" s="2878" t="str">
        <f>'预评函-2'!A5</f>
        <v>中信开发</v>
      </c>
    </row>
    <row r="27" spans="1:48">
      <c r="A27" s="2877" t="s">
        <v>2694</v>
      </c>
      <c r="B27" s="2878" t="str">
        <f>'预评函-2'!B3</f>
        <v>宗地编号/不动产单元号</v>
      </c>
    </row>
    <row r="28" spans="1:48">
      <c r="A28" s="2877" t="s">
        <v>2670</v>
      </c>
      <c r="B28" s="2878" t="str">
        <f>'预评函-2'!B5</f>
        <v>11111111111</v>
      </c>
    </row>
    <row r="29" spans="1:48">
      <c r="A29" s="2877" t="s">
        <v>2696</v>
      </c>
      <c r="B29" s="2878">
        <f>'预评函-2'!C5</f>
        <v>22</v>
      </c>
    </row>
    <row r="30" spans="1:48">
      <c r="A30" s="2877" t="s">
        <v>2697</v>
      </c>
      <c r="B30" s="2878" t="str">
        <f>'预评函-2'!D3</f>
        <v>土地使用证编号/不动产权证书编号</v>
      </c>
    </row>
    <row r="31" spans="1:48">
      <c r="A31" s="2877" t="s">
        <v>2671</v>
      </c>
      <c r="B31" s="2878" t="str">
        <f>'预评函-2'!D5</f>
        <v>京国土字第111号</v>
      </c>
    </row>
    <row r="32" spans="1:48">
      <c r="A32" s="2877" t="s">
        <v>2672</v>
      </c>
      <c r="B32" s="2878">
        <f>'预评函-2'!E5</f>
        <v>0</v>
      </c>
      <c r="AV32" s="2882"/>
    </row>
    <row r="33" spans="1:2">
      <c r="A33" s="2877" t="s">
        <v>2673</v>
      </c>
      <c r="B33" s="2878">
        <f>'预评函-2'!F5</f>
        <v>258</v>
      </c>
    </row>
    <row r="34" spans="1:2">
      <c r="A34" s="2877" t="s">
        <v>2674</v>
      </c>
      <c r="B34" s="2878" t="str">
        <f>'预评函-2'!G5</f>
        <v>商业</v>
      </c>
    </row>
    <row r="35" spans="1:2">
      <c r="A35" s="2877" t="s">
        <v>2675</v>
      </c>
      <c r="B35" s="2878">
        <f>'预评函-2'!H5</f>
        <v>1.5</v>
      </c>
    </row>
    <row r="36" spans="1:2">
      <c r="A36" s="2877" t="s">
        <v>2676</v>
      </c>
      <c r="B36" s="2878">
        <f>'预评函-2'!I5</f>
        <v>1.5</v>
      </c>
    </row>
    <row r="37" spans="1:2">
      <c r="A37" s="2877" t="s">
        <v>2677</v>
      </c>
      <c r="B37" s="2878">
        <f>'预评函-2'!J5</f>
        <v>1.5</v>
      </c>
    </row>
    <row r="38" spans="1:2">
      <c r="A38" s="2877" t="s">
        <v>2678</v>
      </c>
      <c r="B38" s="2878" t="str">
        <f>'预评函-2'!K5</f>
        <v>红线外七通、宗地红线内场地平整</v>
      </c>
    </row>
    <row r="39" spans="1:2">
      <c r="A39" s="2877" t="s">
        <v>2679</v>
      </c>
      <c r="B39" s="2878" t="str">
        <f>'预评函-2'!L5</f>
        <v>红线外七通、宗地红线内场地平整</v>
      </c>
    </row>
    <row r="40" spans="1:2">
      <c r="A40" s="2877" t="s">
        <v>2698</v>
      </c>
      <c r="B40" s="2878" t="str">
        <f>'预评函-2'!M3</f>
        <v>（剩余）土地使用年限/年</v>
      </c>
    </row>
    <row r="41" spans="1:2">
      <c r="A41" s="2877" t="s">
        <v>2680</v>
      </c>
      <c r="B41" s="2878">
        <f>'预评函-2'!M5</f>
        <v>0</v>
      </c>
    </row>
    <row r="42" spans="1:2">
      <c r="A42" s="2877" t="s">
        <v>2699</v>
      </c>
      <c r="B42" s="2878" t="str">
        <f>'预评函-2'!N3</f>
        <v>（分摊）出让国有建设用地使用权面积/㎡</v>
      </c>
    </row>
    <row r="43" spans="1:2">
      <c r="A43" s="2877" t="s">
        <v>2681</v>
      </c>
      <c r="B43" s="2878">
        <f>'预评函-2'!N5</f>
        <v>10423.25</v>
      </c>
    </row>
    <row r="44" spans="1:2">
      <c r="A44" s="2877" t="s">
        <v>2700</v>
      </c>
      <c r="B44" s="2878" t="str">
        <f>'预评函-2'!O3</f>
        <v>规划建筑面积/㎡</v>
      </c>
    </row>
    <row r="45" spans="1:2">
      <c r="A45" s="2877" t="s">
        <v>2682</v>
      </c>
      <c r="B45" s="2878">
        <f>'预评函-2'!O5</f>
        <v>121219</v>
      </c>
    </row>
    <row r="46" spans="1:2">
      <c r="A46" s="2877" t="s">
        <v>2683</v>
      </c>
      <c r="B46" s="2878">
        <f ca="1">'预评函-2'!P5</f>
        <v>355261</v>
      </c>
    </row>
    <row r="47" spans="1:2">
      <c r="A47" s="2877" t="s">
        <v>2684</v>
      </c>
      <c r="B47" s="2878">
        <f ca="1">'预评函-2'!Q5</f>
        <v>30548</v>
      </c>
    </row>
    <row r="48" spans="1:2">
      <c r="A48" s="2877" t="s">
        <v>2685</v>
      </c>
      <c r="B48" s="2878">
        <f ca="1">'预评函-2'!R5</f>
        <v>370297</v>
      </c>
    </row>
    <row r="49" spans="1:2">
      <c r="A49" s="2877" t="s">
        <v>2701</v>
      </c>
      <c r="B49" s="2878" t="str">
        <f>'预评函-2'!A6</f>
        <v>抵押价格</v>
      </c>
    </row>
    <row r="50" spans="1:2">
      <c r="A50" s="2877" t="s">
        <v>2686</v>
      </c>
      <c r="B50" s="2878">
        <f ca="1">'预评函-2'!R6</f>
        <v>370297</v>
      </c>
    </row>
    <row r="51" spans="1:2">
      <c r="A51" s="2877" t="s">
        <v>2702</v>
      </c>
      <c r="B51" s="2878" t="str">
        <f>'预评函-2'!A7</f>
        <v>——</v>
      </c>
    </row>
    <row r="52" spans="1:2">
      <c r="A52" s="2877" t="s">
        <v>2687</v>
      </c>
      <c r="B52" s="2878" t="str">
        <f>'预评函-2'!R7</f>
        <v>——</v>
      </c>
    </row>
    <row r="53" spans="1:2">
      <c r="A53" s="2877" t="s">
        <v>2703</v>
      </c>
      <c r="B53" s="2878" t="str">
        <f>'预评函-2'!A8</f>
        <v>——</v>
      </c>
    </row>
    <row r="54" spans="1:2" s="2892" customFormat="1" ht="16.2" thickBot="1">
      <c r="A54" s="2899" t="s">
        <v>2688</v>
      </c>
      <c r="B54" s="2900" t="str">
        <f>'预评函-2'!R8</f>
        <v>——</v>
      </c>
    </row>
    <row r="55" spans="1:2" ht="16.2" thickTop="1">
      <c r="A55" s="2888" t="s">
        <v>2638</v>
      </c>
      <c r="B55" s="2889" t="str">
        <f>'预评函-3'!A2</f>
        <v>1.权利限制：根据估价对象《不动产权证书》——、《国有土地使用权》——，截至估价期日，估价对象抵押权未见登记。未设定租赁等其他他项权利。</v>
      </c>
    </row>
    <row r="56" spans="1:2">
      <c r="A56" s="2877" t="s">
        <v>2639</v>
      </c>
      <c r="B56" s="2878" t="str">
        <f>'预评函-3'!A3</f>
        <v>2.基础设施条件：估价对象实际开发程度为红线外七通、宗地红线内场地平整；本次评估设定开发程度为红线外七通、宗地红线内场地平整。</v>
      </c>
    </row>
    <row r="57" spans="1:2">
      <c r="A57" s="2877" t="s">
        <v>2640</v>
      </c>
      <c r="B57" s="2878" t="str">
        <f>'预评函-3'!A4</f>
        <v>3.估价规划限制条件：详见《建设用地规划许可证》。</v>
      </c>
    </row>
    <row r="58" spans="1:2" s="2892" customFormat="1" ht="16.2" thickBot="1">
      <c r="A58" s="2899" t="s">
        <v>2689</v>
      </c>
      <c r="B58" s="2900" t="str">
        <f>'预评函-3'!A5</f>
        <v>4.影响价格的其他限定条件：无。</v>
      </c>
    </row>
    <row r="59" spans="1:2" ht="16.2" thickTop="1">
      <c r="A59" s="2888" t="s">
        <v>2641</v>
      </c>
      <c r="B59" s="2889" t="str">
        <f>'预评函-3'!A8</f>
        <v>2.本《评估意见函》仅供金融机构进行内部审核使用，不做其他目的之用。</v>
      </c>
    </row>
    <row r="60" spans="1:2">
      <c r="A60" s="2877" t="s">
        <v>2642</v>
      </c>
      <c r="B60" s="2878" t="str">
        <f>'预评函-3'!A9</f>
        <v>3.抵押双方在办理抵押登记手续时，应使用本公司出具的正式《土地估价报告》，特提请报告使用者注意。</v>
      </c>
    </row>
    <row r="61" spans="1:2">
      <c r="A61" s="2877" t="s">
        <v>2644</v>
      </c>
      <c r="B61" s="2878" t="str">
        <f>'预评函-3'!A10</f>
        <v>4.估价师所知悉的法定优先受偿款情况为：</v>
      </c>
    </row>
    <row r="62" spans="1:2">
      <c r="A62" s="2877" t="s">
        <v>2643</v>
      </c>
      <c r="B62" s="2878" t="str">
        <f>'预评函-3'!A11</f>
        <v>（1）根据估价对象《不动产权证书》——、《国有土地使用权》——，截至估价期日，估价对象抵押权未见登记。</v>
      </c>
    </row>
    <row r="63" spans="1:2">
      <c r="A63" s="2877" t="s">
        <v>2645</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2646</v>
      </c>
      <c r="B64" s="2883" t="str">
        <f>'预评函-3'!A13</f>
        <v>（3）。</v>
      </c>
    </row>
    <row r="65" spans="1:2">
      <c r="A65" s="2877" t="s">
        <v>2647</v>
      </c>
      <c r="B65" s="2884" t="str">
        <f>'预评函-3'!A14</f>
        <v>综上，本次评估不存在估价师知悉的法定优先受偿款</v>
      </c>
    </row>
    <row r="66" spans="1:2">
      <c r="A66" s="2877" t="s">
        <v>2648</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2649</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2652</v>
      </c>
      <c r="B68" s="2903">
        <f>'预评函-3'!D30</f>
        <v>42558</v>
      </c>
    </row>
    <row r="69" spans="1:2" ht="16.2" thickTop="1">
      <c r="A69" s="2888" t="s">
        <v>2650</v>
      </c>
      <c r="B69" s="2889" t="str">
        <f>'预评函-3'!A20</f>
        <v>王鹏</v>
      </c>
    </row>
    <row r="70" spans="1:2">
      <c r="A70" s="2877" t="s">
        <v>2650</v>
      </c>
      <c r="B70" s="2884">
        <f ca="1">'预评函-3'!B20</f>
        <v>2002110030</v>
      </c>
    </row>
    <row r="71" spans="1:2">
      <c r="A71" s="2877" t="s">
        <v>2651</v>
      </c>
      <c r="B71" s="2878" t="str">
        <f>'预评函-3'!A21</f>
        <v>崔锴</v>
      </c>
    </row>
    <row r="72" spans="1:2" s="2892" customFormat="1" ht="16.2" thickBot="1">
      <c r="A72" s="2899" t="s">
        <v>2651</v>
      </c>
      <c r="B72" s="2905">
        <f ca="1">'预评函-3'!B21</f>
        <v>2010110070</v>
      </c>
    </row>
    <row r="73" spans="1:2" ht="16.2" thickTop="1">
      <c r="A73" s="2888" t="s">
        <v>2710</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2711</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2712</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2747</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5.6"/>
  <cols>
    <col min="1" max="1" width="15.33203125" style="1689" customWidth="1"/>
    <col min="2" max="2" width="11.33203125" style="1689" customWidth="1"/>
    <col min="3" max="3" width="12.6640625" style="1689" customWidth="1"/>
    <col min="4" max="4" width="12.3320312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1901</v>
      </c>
      <c r="B1" s="3249" t="str">
        <f>IF(B10="北京市","北京市",C10)&amp;F10&amp;B16&amp;"国有建设用地使用权"&amp;B9&amp;"预评估"</f>
        <v>深圳市莱茵达路以北、嘉华路以西出让国有建设用地使用权抵押价格预评估</v>
      </c>
      <c r="C1" s="3250"/>
      <c r="D1" s="3250"/>
      <c r="E1" s="3250"/>
      <c r="F1" s="3250"/>
      <c r="G1" s="3250"/>
      <c r="H1" s="3250"/>
      <c r="I1" s="3251"/>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43343</v>
      </c>
      <c r="C3" s="1661" t="s">
        <v>1958</v>
      </c>
      <c r="D3" s="1660">
        <f>B3</f>
        <v>43343</v>
      </c>
      <c r="E3" s="1692"/>
      <c r="F3" s="1692"/>
      <c r="G3" s="1692"/>
      <c r="H3" s="1658"/>
      <c r="I3" s="1693"/>
      <c r="J3" s="1692"/>
      <c r="K3" s="1772"/>
      <c r="L3" s="1721"/>
      <c r="M3" s="1721"/>
      <c r="N3" s="1692"/>
      <c r="O3" s="1693"/>
      <c r="P3" s="1692"/>
      <c r="Q3" s="1692"/>
      <c r="R3" s="1692"/>
      <c r="S3" s="1692"/>
      <c r="T3" s="1692"/>
      <c r="U3" s="1692"/>
    </row>
    <row r="4" spans="1:21" ht="16.2" thickBot="1">
      <c r="A4" s="1662" t="s">
        <v>1904</v>
      </c>
      <c r="B4" s="1841" t="s">
        <v>2971</v>
      </c>
      <c r="C4" s="1844">
        <f ca="1">SUMIF(土地估价师,B4,估价师及机构信息!E3:E24)</f>
        <v>2002110030</v>
      </c>
      <c r="D4" s="1841" t="s">
        <v>2972</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6.2"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2666</v>
      </c>
      <c r="B6" s="1787" t="s">
        <v>2987</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2943</v>
      </c>
      <c r="C8" s="1669"/>
      <c r="D8" s="3255" t="s">
        <v>1908</v>
      </c>
      <c r="E8" s="1842" t="s">
        <v>2942</v>
      </c>
      <c r="F8" s="1670"/>
      <c r="G8" s="1658"/>
      <c r="H8" s="1658"/>
      <c r="I8" s="1705"/>
      <c r="J8" s="1692"/>
      <c r="K8" s="1772"/>
      <c r="L8" s="1721"/>
      <c r="M8" s="1721"/>
      <c r="N8" s="1692"/>
      <c r="O8" s="1693"/>
      <c r="P8" s="1692"/>
      <c r="Q8" s="1692"/>
      <c r="R8" s="1692"/>
      <c r="S8" s="1692"/>
      <c r="T8" s="1692"/>
      <c r="U8" s="1692"/>
    </row>
    <row r="9" spans="1:21" ht="16.2" thickBot="1">
      <c r="A9" s="1671" t="s">
        <v>1907</v>
      </c>
      <c r="B9" s="1672" t="s">
        <v>2942</v>
      </c>
      <c r="C9" s="1673"/>
      <c r="D9" s="3256"/>
      <c r="E9" s="1672" t="s">
        <v>917</v>
      </c>
      <c r="F9" s="1745"/>
      <c r="G9" s="1740"/>
      <c r="H9" s="1740"/>
      <c r="I9" s="1741"/>
      <c r="J9" s="1692"/>
      <c r="K9" s="1772"/>
      <c r="L9" s="1721"/>
      <c r="M9" s="1721"/>
      <c r="N9" s="1692"/>
      <c r="O9" s="1693"/>
      <c r="P9" s="1692"/>
      <c r="Q9" s="1692"/>
      <c r="R9" s="1692"/>
      <c r="S9" s="1692"/>
      <c r="T9" s="1692"/>
      <c r="U9" s="1692"/>
    </row>
    <row r="10" spans="1:21" ht="16.2" thickTop="1">
      <c r="A10" s="1742" t="s">
        <v>1961</v>
      </c>
      <c r="B10" s="1717" t="s">
        <v>2944</v>
      </c>
      <c r="C10" s="1674" t="s">
        <v>2974</v>
      </c>
      <c r="D10" s="1665"/>
      <c r="E10" s="1675" t="s">
        <v>1910</v>
      </c>
      <c r="F10" s="1676" t="s">
        <v>2975</v>
      </c>
      <c r="G10" s="1743"/>
      <c r="H10" s="1744"/>
      <c r="I10" s="1665"/>
      <c r="J10" s="1692"/>
      <c r="K10" s="1772"/>
      <c r="L10" s="1721"/>
      <c r="M10" s="1721"/>
      <c r="N10" s="1692"/>
      <c r="O10" s="1693"/>
      <c r="P10" s="1692"/>
      <c r="Q10" s="1692"/>
      <c r="R10" s="1692"/>
      <c r="S10" s="1692"/>
      <c r="T10" s="1692"/>
      <c r="U10" s="1692"/>
    </row>
    <row r="11" spans="1:21">
      <c r="A11" s="1695" t="s">
        <v>1962</v>
      </c>
      <c r="B11" s="1696" t="s">
        <v>2945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52"/>
      <c r="C12" s="3253"/>
      <c r="D12" s="3254"/>
      <c r="E12" s="1697" t="s">
        <v>2023</v>
      </c>
      <c r="F12" s="3270"/>
      <c r="G12" s="3271"/>
      <c r="H12" s="3271"/>
      <c r="I12" s="3272"/>
      <c r="J12" s="1692"/>
      <c r="K12" s="1772"/>
      <c r="L12" s="1721"/>
      <c r="M12" s="1721"/>
      <c r="N12" s="1692"/>
      <c r="O12" s="1693"/>
      <c r="P12" s="1692"/>
      <c r="Q12" s="1692"/>
      <c r="R12" s="1692"/>
      <c r="S12" s="1692"/>
      <c r="T12" s="1692"/>
      <c r="U12" s="1692"/>
    </row>
    <row r="13" spans="1:21">
      <c r="A13" s="1685" t="s">
        <v>2021</v>
      </c>
      <c r="B13" s="3252" t="s">
        <v>2976</v>
      </c>
      <c r="C13" s="3253"/>
      <c r="D13" s="3254"/>
      <c r="E13" s="1697" t="s">
        <v>2023</v>
      </c>
      <c r="F13" s="3270" t="s">
        <v>2977</v>
      </c>
      <c r="G13" s="3271"/>
      <c r="H13" s="3271"/>
      <c r="I13" s="3272"/>
      <c r="J13" s="1692"/>
      <c r="K13" s="1772"/>
      <c r="L13" s="1721"/>
      <c r="M13" s="1721"/>
      <c r="N13" s="1692"/>
      <c r="O13" s="1693"/>
      <c r="P13" s="1692"/>
      <c r="Q13" s="1692"/>
      <c r="R13" s="1692"/>
      <c r="S13" s="1692"/>
      <c r="T13" s="1692"/>
      <c r="U13" s="1692"/>
    </row>
    <row r="14" spans="1:21">
      <c r="A14" s="1659" t="s">
        <v>2024</v>
      </c>
      <c r="B14" s="1697"/>
      <c r="C14" s="1843" t="s">
        <v>2941</v>
      </c>
      <c r="D14" s="1731" t="str">
        <f>IF(C14="不一致","是否符合证载地类范围","")</f>
        <v/>
      </c>
      <c r="E14" s="1697"/>
      <c r="F14" s="1788" t="s">
        <v>2940</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6.8">
      <c r="A16" s="1678" t="s">
        <v>1911</v>
      </c>
      <c r="B16" s="1679" t="s">
        <v>2939</v>
      </c>
      <c r="C16" s="1697" t="s">
        <v>1912</v>
      </c>
      <c r="D16" s="2645" t="s">
        <v>1913</v>
      </c>
      <c r="E16" s="1720" t="s">
        <v>2934</v>
      </c>
      <c r="F16" s="1720" t="s">
        <v>1642</v>
      </c>
      <c r="G16" s="1720" t="s">
        <v>34</v>
      </c>
      <c r="H16" s="1720"/>
      <c r="I16" s="1684" t="s">
        <v>1918</v>
      </c>
      <c r="J16" s="1692"/>
      <c r="K16" s="2455" t="str">
        <f>IF(D17="","",D16&amp;TEXT(D17,"yyyy年m月d日;;"))</f>
        <v/>
      </c>
      <c r="L16" s="1697" t="str">
        <f>IF(OR(K16="",M16=""),"","、")</f>
        <v/>
      </c>
      <c r="M16" s="2455" t="str">
        <f>IF(E17="","",E16&amp;TEXT(E17,"yyyy年m月d日;;"))</f>
        <v>商业2058年5月29日</v>
      </c>
      <c r="N16" s="1697" t="str">
        <f>IF(OR(M16="",O16=""),"","、")</f>
        <v>、</v>
      </c>
      <c r="O16" s="2455" t="str">
        <f>IF(F17="","",F16&amp;TEXT(F17,"yyyy年m月d日;;"))</f>
        <v>办公2058年5月29日</v>
      </c>
      <c r="P16" s="1697" t="str">
        <f>IF(OR(O16="",Q16=""),"","、")</f>
        <v>、</v>
      </c>
      <c r="Q16" s="2455" t="str">
        <f>IF(G17="","",G16&amp;TEXT(G17,"yyyy年m月d日;;"))</f>
        <v>地下车库2058年5月29日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57859</v>
      </c>
      <c r="F17" s="1698">
        <f>E17</f>
        <v>57859</v>
      </c>
      <c r="G17" s="1698">
        <f>E17</f>
        <v>57859</v>
      </c>
      <c r="H17" s="1698"/>
      <c r="I17" s="1698"/>
      <c r="J17" s="1692"/>
      <c r="K17" s="2454" t="str">
        <f>CONCATENATE(K16,L16,M16,N16,O16,P16,Q16,R16,S16,T16,,U16)</f>
        <v>商业2058年5月29日、办公2058年5月29日、地下车库2058年5月29日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39.76</v>
      </c>
      <c r="F19" s="1683">
        <f>IF(B16="出让",IF(F17="","",ROUNDDOWN(MIN((F17-$D$3)/365,F18),2)),F18)</f>
        <v>39.76</v>
      </c>
      <c r="G19" s="1683">
        <f>IF(B16="出让",IF(G17="","",ROUNDDOWN(MIN((G17-$D$3)/365,G18),2)),G18)</f>
        <v>39.76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67"/>
      <c r="E20" s="3268"/>
      <c r="F20" s="3268"/>
      <c r="G20" s="3268"/>
      <c r="H20" s="3268"/>
      <c r="I20" s="3269"/>
      <c r="J20" s="1692"/>
      <c r="K20" s="1772"/>
      <c r="L20" s="1721"/>
      <c r="M20" s="1721"/>
      <c r="N20" s="1692"/>
      <c r="O20" s="1693"/>
      <c r="P20" s="1692"/>
      <c r="Q20" s="1692"/>
      <c r="R20" s="1692"/>
      <c r="S20" s="1692"/>
      <c r="T20" s="1692"/>
      <c r="U20" s="1692"/>
    </row>
    <row r="21" spans="1:21">
      <c r="A21" s="1761" t="s">
        <v>1922</v>
      </c>
      <c r="B21" s="1762" t="s">
        <v>1923</v>
      </c>
      <c r="C21" s="1757">
        <f>'数据-汇总表'!E3</f>
        <v>121219</v>
      </c>
      <c r="D21" s="1758" t="s">
        <v>1924</v>
      </c>
      <c r="E21" s="3257" t="s">
        <v>2978</v>
      </c>
      <c r="F21" s="3258"/>
      <c r="G21" s="3258"/>
      <c r="H21" s="3258"/>
      <c r="I21" s="3259"/>
      <c r="J21" s="1692"/>
      <c r="K21" s="1772"/>
      <c r="L21" s="1721"/>
      <c r="M21" s="1721"/>
      <c r="N21" s="1692"/>
      <c r="O21" s="1693"/>
      <c r="P21" s="1692"/>
      <c r="Q21" s="1692"/>
      <c r="R21" s="1692"/>
      <c r="S21" s="1692"/>
      <c r="T21" s="1692"/>
      <c r="U21" s="1692"/>
    </row>
    <row r="22" spans="1:21">
      <c r="A22" s="3146" t="s">
        <v>917</v>
      </c>
      <c r="B22" s="1659" t="s">
        <v>1925</v>
      </c>
      <c r="C22" s="1684">
        <f>'数据-汇总表'!D3</f>
        <v>10423.25</v>
      </c>
      <c r="D22" s="1685" t="s">
        <v>1924</v>
      </c>
      <c r="E22" s="3257" t="s">
        <v>2978</v>
      </c>
      <c r="F22" s="3258"/>
      <c r="G22" s="3258"/>
      <c r="H22" s="3258"/>
      <c r="I22" s="3259"/>
      <c r="J22" s="1692"/>
      <c r="K22" s="1772"/>
      <c r="L22" s="1721"/>
      <c r="M22" s="1721"/>
      <c r="N22" s="1692"/>
      <c r="O22" s="1693"/>
      <c r="P22" s="1692"/>
      <c r="Q22" s="1692"/>
      <c r="R22" s="1692"/>
      <c r="S22" s="1692"/>
      <c r="T22" s="1692"/>
      <c r="U22" s="1692"/>
    </row>
    <row r="23" spans="1:21" ht="47.4" thickBot="1">
      <c r="A23" s="1763" t="s">
        <v>1926</v>
      </c>
      <c r="B23" s="1699" t="s">
        <v>1927</v>
      </c>
      <c r="C23" s="1700" t="s">
        <v>2946</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60" t="s">
        <v>1930</v>
      </c>
      <c r="C24" s="3261"/>
      <c r="D24" s="3262" t="s">
        <v>1931</v>
      </c>
      <c r="E24" s="3263"/>
      <c r="F24" s="1706" t="s">
        <v>1932</v>
      </c>
      <c r="G24" s="1692"/>
      <c r="H24" s="1692"/>
      <c r="I24" s="1705"/>
      <c r="J24" s="1692"/>
      <c r="K24" s="3248"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31.2">
      <c r="A25" s="1749"/>
      <c r="B25" s="1746" t="s">
        <v>2287</v>
      </c>
      <c r="C25" s="1707" t="s">
        <v>917</v>
      </c>
      <c r="D25" s="1708"/>
      <c r="E25" s="1709" t="s">
        <v>917</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47.4" thickBot="1">
      <c r="A26" s="1750"/>
      <c r="B26" s="1747" t="s">
        <v>1934</v>
      </c>
      <c r="C26" s="1707" t="s">
        <v>917</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6.2" thickTop="1">
      <c r="A31" s="3234" t="s">
        <v>1963</v>
      </c>
      <c r="B31" s="1762" t="s">
        <v>1964</v>
      </c>
      <c r="C31" s="3273" t="s">
        <v>2979</v>
      </c>
      <c r="D31" s="3274"/>
      <c r="E31" s="1692"/>
      <c r="F31" s="1692"/>
      <c r="G31" s="1692"/>
      <c r="H31" s="1692"/>
      <c r="I31" s="1705"/>
      <c r="J31" s="1692"/>
      <c r="K31" s="2457"/>
      <c r="L31" s="1692"/>
      <c r="M31" s="1692"/>
      <c r="N31" s="1692"/>
      <c r="O31" s="1692"/>
      <c r="P31" s="1692"/>
      <c r="Q31" s="1692"/>
      <c r="R31" s="1692"/>
      <c r="S31" s="1692"/>
      <c r="T31" s="1692"/>
      <c r="U31" s="1692"/>
    </row>
    <row r="32" spans="1:21">
      <c r="A32" s="3234"/>
      <c r="B32" s="1659" t="s">
        <v>1965</v>
      </c>
      <c r="C32" s="1717" t="s">
        <v>2947</v>
      </c>
      <c r="D32" s="1718"/>
      <c r="E32" s="1692"/>
      <c r="F32" s="1692"/>
      <c r="G32" s="1692"/>
      <c r="H32" s="1692"/>
      <c r="I32" s="1705"/>
      <c r="J32" s="1692"/>
      <c r="K32" s="2457"/>
      <c r="L32" s="1692"/>
      <c r="M32" s="1692"/>
      <c r="N32" s="1692"/>
      <c r="O32" s="1692"/>
      <c r="P32" s="1692"/>
      <c r="Q32" s="1692"/>
      <c r="R32" s="1692"/>
      <c r="S32" s="1692"/>
      <c r="T32" s="1692"/>
      <c r="U32" s="1692"/>
    </row>
    <row r="33" spans="1:21">
      <c r="A33" s="3234"/>
      <c r="B33" s="1659" t="s">
        <v>1966</v>
      </c>
      <c r="C33" s="1719" t="s">
        <v>2946</v>
      </c>
      <c r="D33" s="1836"/>
      <c r="E33" s="1692"/>
      <c r="F33" s="1692"/>
      <c r="G33" s="1692"/>
      <c r="H33" s="1692"/>
      <c r="I33" s="1705"/>
      <c r="J33" s="1692"/>
      <c r="K33" s="2457"/>
      <c r="L33" s="1692"/>
      <c r="M33" s="1692"/>
      <c r="N33" s="1692"/>
      <c r="O33" s="1692"/>
      <c r="P33" s="1692"/>
      <c r="Q33" s="1692"/>
      <c r="R33" s="1692"/>
      <c r="S33" s="1692"/>
      <c r="T33" s="1692"/>
      <c r="U33" s="1692"/>
    </row>
    <row r="34" spans="1:21">
      <c r="A34" s="3235"/>
      <c r="B34" s="1659" t="s">
        <v>1967</v>
      </c>
      <c r="C34" s="3236"/>
      <c r="D34" s="3237"/>
      <c r="E34" s="1692"/>
      <c r="F34" s="1692"/>
      <c r="G34" s="1692"/>
      <c r="H34" s="1692"/>
      <c r="I34" s="1705"/>
      <c r="J34" s="1692"/>
      <c r="K34" s="2457"/>
      <c r="L34" s="1692"/>
      <c r="M34" s="1692"/>
      <c r="N34" s="1692"/>
      <c r="O34" s="1692"/>
      <c r="P34" s="1692"/>
      <c r="Q34" s="1692"/>
      <c r="R34" s="1692"/>
      <c r="S34" s="1692"/>
      <c r="T34" s="1692"/>
      <c r="U34" s="1692"/>
    </row>
    <row r="35" spans="1:21">
      <c r="A35" s="3238" t="s">
        <v>812</v>
      </c>
      <c r="B35" s="1720" t="s">
        <v>2948</v>
      </c>
      <c r="C35" s="1774" t="str">
        <f>IF(B35="场地平整","——","具体情况：")</f>
        <v>——</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2016</v>
      </c>
      <c r="C36" s="3244"/>
      <c r="D36" s="1790" t="s">
        <v>2949</v>
      </c>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31.2">
      <c r="A37" s="3234"/>
      <c r="B37" s="3264"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815</v>
      </c>
      <c r="D38" s="1789">
        <f>ROUNDDOWN(MIN(('数据-取费表'!$B$2-D37)/365,D34),1)</f>
        <v>118.7</v>
      </c>
      <c r="E38" s="1725" t="s">
        <v>816</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2950</v>
      </c>
      <c r="C40" s="1688" t="s">
        <v>2951</v>
      </c>
      <c r="D40" s="1688" t="s">
        <v>2952</v>
      </c>
      <c r="E40" s="1688" t="s">
        <v>2953</v>
      </c>
      <c r="F40" s="1688" t="s">
        <v>2953</v>
      </c>
      <c r="G40" s="1688" t="s">
        <v>2954</v>
      </c>
      <c r="H40" s="1688" t="s">
        <v>2955</v>
      </c>
      <c r="I40" s="1705"/>
      <c r="J40" s="1692"/>
      <c r="K40" s="1728">
        <f>COUNTIF(B40:H40,"——")</f>
        <v>0</v>
      </c>
      <c r="L40" s="1697" t="s">
        <v>1941</v>
      </c>
      <c r="M40" s="1694" t="s">
        <v>1942</v>
      </c>
      <c r="N40" s="1694" t="s">
        <v>1943</v>
      </c>
      <c r="O40" s="1694" t="s">
        <v>1944</v>
      </c>
      <c r="P40" s="1694" t="s">
        <v>1945</v>
      </c>
      <c r="Q40" s="1694" t="s">
        <v>1946</v>
      </c>
      <c r="R40" s="1694" t="s">
        <v>1947</v>
      </c>
      <c r="S40" s="3247" t="s">
        <v>1948</v>
      </c>
      <c r="T40" s="1729" t="str">
        <f>NUMBERSTRING(7-K40,1)&amp;"通"</f>
        <v>七通</v>
      </c>
      <c r="U40" s="1692"/>
    </row>
    <row r="41" spans="1:21">
      <c r="A41" s="1661"/>
      <c r="B41" s="3239" t="s">
        <v>1683</v>
      </c>
      <c r="C41" s="3239"/>
      <c r="D41" s="3239"/>
      <c r="E41" s="3239"/>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47"/>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2849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8867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9" width="9.44140625" style="15" customWidth="1"/>
    <col min="40" max="40" width="11.441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10423.25</v>
      </c>
      <c r="B3" s="22">
        <f>IF(C3="否",G5-AT5,G5)</f>
        <v>121219</v>
      </c>
      <c r="C3" s="23" t="s">
        <v>2946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133</v>
      </c>
      <c r="B5" s="989"/>
      <c r="C5" s="989"/>
      <c r="D5" s="996"/>
      <c r="E5" s="27" t="s">
        <v>1</v>
      </c>
      <c r="F5" s="27">
        <f>SUM(F13:F572)</f>
        <v>0</v>
      </c>
      <c r="G5" s="27">
        <f>SUM(G13:G572)</f>
        <v>121219</v>
      </c>
      <c r="H5" s="27">
        <f t="shared" ref="H5:AT5" si="0">SUM(H13:H641)</f>
        <v>84180</v>
      </c>
      <c r="I5" s="27">
        <f t="shared" si="0"/>
        <v>35180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37039</v>
      </c>
      <c r="AD5" s="27">
        <f t="shared" si="0"/>
        <v>10900</v>
      </c>
      <c r="AE5" s="27">
        <f t="shared" si="0"/>
        <v>0</v>
      </c>
      <c r="AF5" s="27">
        <f t="shared" si="0"/>
        <v>0</v>
      </c>
      <c r="AG5" s="27">
        <f t="shared" si="0"/>
        <v>0</v>
      </c>
      <c r="AH5" s="27">
        <f t="shared" si="0"/>
        <v>250</v>
      </c>
      <c r="AI5" s="27">
        <f t="shared" si="0"/>
        <v>0</v>
      </c>
      <c r="AJ5" s="27">
        <f t="shared" si="0"/>
        <v>0</v>
      </c>
      <c r="AK5" s="27">
        <f t="shared" si="0"/>
        <v>0</v>
      </c>
      <c r="AL5" s="27">
        <f t="shared" si="0"/>
        <v>0</v>
      </c>
      <c r="AM5" s="27">
        <f t="shared" si="0"/>
        <v>0</v>
      </c>
      <c r="AN5" s="27">
        <f t="shared" si="0"/>
        <v>25889</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121219</v>
      </c>
      <c r="BA5" s="29">
        <f t="shared" si="1"/>
        <v>84180</v>
      </c>
      <c r="BB5" s="29">
        <f t="shared" si="1"/>
        <v>35180</v>
      </c>
      <c r="BC5" s="29">
        <f t="shared" si="1"/>
        <v>13200</v>
      </c>
      <c r="BD5" s="29">
        <f t="shared" si="1"/>
        <v>21600</v>
      </c>
      <c r="BE5" s="29">
        <f t="shared" si="1"/>
        <v>5400</v>
      </c>
      <c r="BF5" s="29">
        <f t="shared" si="1"/>
        <v>8800</v>
      </c>
      <c r="BG5" s="29">
        <f t="shared" si="1"/>
        <v>0</v>
      </c>
      <c r="BH5" s="29">
        <f t="shared" si="1"/>
        <v>0</v>
      </c>
      <c r="BI5" s="29">
        <f t="shared" si="1"/>
        <v>0</v>
      </c>
      <c r="BJ5" s="29">
        <f t="shared" si="1"/>
        <v>0</v>
      </c>
      <c r="BK5" s="29">
        <f t="shared" si="1"/>
        <v>0</v>
      </c>
      <c r="BL5" s="29">
        <f t="shared" si="1"/>
        <v>37039</v>
      </c>
      <c r="BM5" s="29">
        <f t="shared" si="1"/>
        <v>10900</v>
      </c>
      <c r="BN5" s="29">
        <f t="shared" si="1"/>
        <v>0</v>
      </c>
      <c r="BO5" s="29">
        <f t="shared" si="1"/>
        <v>250</v>
      </c>
      <c r="BP5" s="29">
        <f t="shared" si="1"/>
        <v>0</v>
      </c>
      <c r="BQ5" s="29">
        <f t="shared" si="1"/>
        <v>0</v>
      </c>
      <c r="BR5" s="29">
        <f t="shared" si="1"/>
        <v>25889</v>
      </c>
      <c r="BS5" s="29">
        <f t="shared" si="1"/>
        <v>0</v>
      </c>
      <c r="BT5" s="30">
        <f t="shared" si="1"/>
        <v>0</v>
      </c>
    </row>
    <row r="6" spans="1:72" s="37" customFormat="1" ht="13.2">
      <c r="A6" s="26" t="s">
        <v>134</v>
      </c>
      <c r="B6" s="31"/>
      <c r="C6" s="31"/>
      <c r="D6" s="32"/>
      <c r="E6" s="27">
        <f>H6+AC6+AT6</f>
        <v>10423.27</v>
      </c>
      <c r="F6" s="27" t="s">
        <v>1</v>
      </c>
      <c r="G6" s="27" t="s">
        <v>2</v>
      </c>
      <c r="H6" s="33">
        <f>SUMIF(I$12:AB$12,"总值",I6:AB6)</f>
        <v>7238.3899999999994</v>
      </c>
      <c r="I6" s="27">
        <f t="shared" ref="I6:AB6" si="2">ROUND($A$3*I5/$B$3,2)</f>
        <v>3025.02</v>
      </c>
      <c r="J6" s="27">
        <f t="shared" si="2"/>
        <v>0</v>
      </c>
      <c r="K6" s="27">
        <f t="shared" si="2"/>
        <v>1135.03</v>
      </c>
      <c r="L6" s="27">
        <f t="shared" si="2"/>
        <v>0</v>
      </c>
      <c r="M6" s="27">
        <f t="shared" si="2"/>
        <v>1857.32</v>
      </c>
      <c r="N6" s="27">
        <f t="shared" si="2"/>
        <v>0</v>
      </c>
      <c r="O6" s="27">
        <f t="shared" si="2"/>
        <v>464.33</v>
      </c>
      <c r="P6" s="27">
        <f t="shared" si="2"/>
        <v>0</v>
      </c>
      <c r="Q6" s="27">
        <f t="shared" si="2"/>
        <v>756.69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3184.88</v>
      </c>
      <c r="AD6" s="27">
        <f t="shared" ref="AD6:AS6" si="3">ROUND($A$3*AD5/$B$3,2)</f>
        <v>937.26</v>
      </c>
      <c r="AE6" s="27">
        <f t="shared" si="3"/>
        <v>0</v>
      </c>
      <c r="AF6" s="27">
        <f t="shared" si="3"/>
        <v>0</v>
      </c>
      <c r="AG6" s="27">
        <f t="shared" si="3"/>
        <v>0</v>
      </c>
      <c r="AH6" s="27">
        <f t="shared" si="3"/>
        <v>21.5</v>
      </c>
      <c r="AI6" s="27">
        <f t="shared" si="3"/>
        <v>0</v>
      </c>
      <c r="AJ6" s="27">
        <f t="shared" si="3"/>
        <v>0</v>
      </c>
      <c r="AK6" s="27">
        <f t="shared" si="3"/>
        <v>0</v>
      </c>
      <c r="AL6" s="27">
        <f t="shared" si="3"/>
        <v>0</v>
      </c>
      <c r="AM6" s="27">
        <f t="shared" si="3"/>
        <v>0</v>
      </c>
      <c r="AN6" s="27">
        <f t="shared" si="3"/>
        <v>2226.12</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7238.38</v>
      </c>
      <c r="BB6" s="27">
        <f>ROUND($AY$6*BB5/$AZ$5,2)</f>
        <v>3025.02</v>
      </c>
      <c r="BC6" s="27">
        <f t="shared" ref="BC6:BH6" si="4">ROUND($AY$6*BC5/$AZ$5,2)</f>
        <v>1135.03</v>
      </c>
      <c r="BD6" s="27">
        <f t="shared" si="4"/>
        <v>1857.32</v>
      </c>
      <c r="BE6" s="27">
        <f t="shared" si="4"/>
        <v>464.33</v>
      </c>
      <c r="BF6" s="27">
        <f t="shared" si="4"/>
        <v>756.69</v>
      </c>
      <c r="BG6" s="27">
        <f t="shared" si="4"/>
        <v>0</v>
      </c>
      <c r="BH6" s="27">
        <f t="shared" si="4"/>
        <v>0</v>
      </c>
      <c r="BI6" s="27">
        <f t="shared" ref="BI6:BT6" si="5">ROUND($AY$6*BI5/$AZ$5,2)</f>
        <v>0</v>
      </c>
      <c r="BJ6" s="27">
        <f t="shared" si="5"/>
        <v>0</v>
      </c>
      <c r="BK6" s="27">
        <f t="shared" si="5"/>
        <v>0</v>
      </c>
      <c r="BL6" s="27">
        <f t="shared" si="5"/>
        <v>3184.87</v>
      </c>
      <c r="BM6" s="27">
        <f t="shared" si="5"/>
        <v>937.26</v>
      </c>
      <c r="BN6" s="27">
        <f t="shared" si="5"/>
        <v>0</v>
      </c>
      <c r="BO6" s="27">
        <f t="shared" si="5"/>
        <v>21.5</v>
      </c>
      <c r="BP6" s="27">
        <f t="shared" si="5"/>
        <v>0</v>
      </c>
      <c r="BQ6" s="27">
        <f t="shared" si="5"/>
        <v>0</v>
      </c>
      <c r="BR6" s="27">
        <f t="shared" si="5"/>
        <v>2226.12</v>
      </c>
      <c r="BS6" s="27">
        <f t="shared" si="5"/>
        <v>0</v>
      </c>
      <c r="BT6" s="36">
        <f t="shared" si="5"/>
        <v>0</v>
      </c>
    </row>
    <row r="7" spans="1:72" s="18" customFormat="1" ht="25.2">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153</v>
      </c>
      <c r="I9" s="3018" t="s">
        <v>2932</v>
      </c>
      <c r="J9" s="51"/>
      <c r="K9" s="3018" t="s">
        <v>2932</v>
      </c>
      <c r="L9" s="51"/>
      <c r="M9" s="3018" t="s">
        <v>2932</v>
      </c>
      <c r="N9" s="51"/>
      <c r="O9" s="59" t="s">
        <v>2932</v>
      </c>
      <c r="P9" s="51"/>
      <c r="Q9" s="59" t="s">
        <v>2933</v>
      </c>
      <c r="R9" s="51"/>
      <c r="S9" s="59" t="s">
        <v>2933</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3.2">
      <c r="A10" s="45"/>
      <c r="B10" s="45"/>
      <c r="C10" s="45"/>
      <c r="D10" s="45"/>
      <c r="E10" s="45"/>
      <c r="F10" s="45"/>
      <c r="G10" s="55"/>
      <c r="H10" s="62"/>
      <c r="I10" s="3018" t="s">
        <v>2934</v>
      </c>
      <c r="J10" s="51"/>
      <c r="K10" s="3020" t="s">
        <v>1642</v>
      </c>
      <c r="L10" s="51"/>
      <c r="M10" s="3020" t="s">
        <v>2934</v>
      </c>
      <c r="N10" s="51"/>
      <c r="O10" s="66" t="s">
        <v>2934</v>
      </c>
      <c r="P10" s="51"/>
      <c r="Q10" s="66" t="s">
        <v>2934</v>
      </c>
      <c r="R10" s="51"/>
      <c r="S10" s="66" t="s">
        <v>2935</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9" t="s">
        <v>2961</v>
      </c>
      <c r="J11" s="71"/>
      <c r="K11" s="3019" t="s">
        <v>2963</v>
      </c>
      <c r="L11" s="71"/>
      <c r="M11" s="70" t="s">
        <v>2965</v>
      </c>
      <c r="N11" s="71"/>
      <c r="O11" s="70" t="s">
        <v>2967</v>
      </c>
      <c r="P11" s="71"/>
      <c r="Q11" s="70" t="s">
        <v>2969</v>
      </c>
      <c r="R11" s="71"/>
      <c r="S11" s="70" t="s">
        <v>2931</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3"/>
      <c r="B13" s="3013"/>
      <c r="C13" s="3013"/>
      <c r="D13" s="3014" t="s">
        <v>1643</v>
      </c>
      <c r="E13" s="27">
        <f t="shared" ref="E13:E20" si="6">IF($C$3="是",ROUND($A$3*G13/$B$3,2),ROUND($A$3*(G13-AT13)/$B$3,2))</f>
        <v>10423.25</v>
      </c>
      <c r="F13" s="81"/>
      <c r="G13" s="82">
        <f t="shared" ref="G13:G20" si="7">H13+AC13+AT13</f>
        <v>121219</v>
      </c>
      <c r="H13" s="33">
        <f t="shared" ref="H13:H20" si="8">SUMIF(I$12:AB$12,"总值",I13:AB13)</f>
        <v>84180</v>
      </c>
      <c r="I13" s="3017">
        <f>35430-AH13</f>
        <v>35180</v>
      </c>
      <c r="J13" s="3017"/>
      <c r="K13" s="3017">
        <v>13200</v>
      </c>
      <c r="L13" s="3017"/>
      <c r="M13" s="3017">
        <f>27000-O13</f>
        <v>21600</v>
      </c>
      <c r="N13" s="83"/>
      <c r="O13" s="83">
        <v>5400</v>
      </c>
      <c r="P13" s="83"/>
      <c r="Q13" s="83">
        <v>8800</v>
      </c>
      <c r="R13" s="83"/>
      <c r="S13" s="83"/>
      <c r="T13" s="83"/>
      <c r="U13" s="83"/>
      <c r="V13" s="83"/>
      <c r="W13" s="83"/>
      <c r="X13" s="83"/>
      <c r="Y13" s="83"/>
      <c r="Z13" s="83"/>
      <c r="AA13" s="83"/>
      <c r="AB13" s="83"/>
      <c r="AC13" s="27">
        <f t="shared" ref="AC13:AC20" si="9">SUMIF(AD$12:AS$12,"总值",AD13:AS13)</f>
        <v>37039</v>
      </c>
      <c r="AD13" s="3021">
        <v>10900</v>
      </c>
      <c r="AE13" s="3021"/>
      <c r="AF13" s="3021"/>
      <c r="AG13" s="3021"/>
      <c r="AH13" s="3021">
        <v>250</v>
      </c>
      <c r="AI13" s="3021"/>
      <c r="AJ13" s="3021"/>
      <c r="AK13" s="3021"/>
      <c r="AL13" s="3021"/>
      <c r="AM13" s="3021"/>
      <c r="AN13" s="3021">
        <f>34689-Q13</f>
        <v>25889</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121219</v>
      </c>
      <c r="BA13" s="27">
        <f t="shared" ref="BA13:BA20" si="13">SUM(BB13:BK13)</f>
        <v>84180</v>
      </c>
      <c r="BB13" s="27">
        <f t="shared" ref="BB13:BB20" si="14">IF($D13="是",I13-J13,0)</f>
        <v>35180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37039</v>
      </c>
      <c r="BM13" s="27">
        <f t="shared" ref="BM13:BM20" si="25">IF($D13="是",AD13-AE13,0)</f>
        <v>10900</v>
      </c>
      <c r="BN13" s="27">
        <f t="shared" ref="BN13:BN20" si="26">IF($D13="是",AF13-AG13,0)</f>
        <v>0</v>
      </c>
      <c r="BO13" s="27">
        <f t="shared" ref="BO13:BO20" si="27">IF($D13="是",AH13-AI13,0)</f>
        <v>250</v>
      </c>
      <c r="BP13" s="27">
        <f t="shared" ref="BP13:BP20" si="28">IF($D13="是",AJ13-AK13,0)</f>
        <v>0</v>
      </c>
      <c r="BQ13" s="27">
        <f t="shared" ref="BQ13:BQ20" si="29">IF($D13="是",AL13-AM13,0)</f>
        <v>0</v>
      </c>
      <c r="BR13" s="27">
        <f t="shared" ref="BR13:BR20" si="30">IF($D13="是",AN13-AO13,0)</f>
        <v>25889</v>
      </c>
      <c r="BS13" s="27">
        <f t="shared" ref="BS13:BS20" si="31">IF($D13="是",AP13-AQ13,0)</f>
        <v>0</v>
      </c>
      <c r="BT13" s="36">
        <f t="shared" ref="BT13:BT20" si="32">IF($D13="是",AR13-AS13,0)</f>
        <v>0</v>
      </c>
    </row>
    <row r="14" spans="1:72" s="18" customFormat="1" ht="13.2">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46.8">
      <c r="A3" s="3275"/>
      <c r="B3" s="3275"/>
      <c r="C3" s="3275"/>
      <c r="D3" s="3276"/>
      <c r="E3" s="3276"/>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7" zoomScale="90" zoomScaleNormal="90" zoomScaleSheetLayoutView="90" workbookViewId="0">
      <selection activeCell="F26" sqref="F26"/>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167</v>
      </c>
      <c r="B1" s="1983"/>
      <c r="C1" s="1983"/>
      <c r="D1" s="1983"/>
      <c r="E1" s="1983"/>
      <c r="F1" s="1983"/>
      <c r="G1" s="1983"/>
      <c r="H1" s="1983"/>
      <c r="I1" s="1983"/>
      <c r="J1" s="1983"/>
      <c r="K1" s="1983"/>
      <c r="L1" s="1983"/>
    </row>
    <row r="2" spans="1:16" ht="14.4">
      <c r="A2" s="3286" t="s">
        <v>168</v>
      </c>
      <c r="B2" s="3286"/>
      <c r="C2" s="3286"/>
      <c r="D2" s="1974" t="s">
        <v>169</v>
      </c>
      <c r="E2" s="106" t="s">
        <v>170</v>
      </c>
      <c r="F2" s="1983"/>
      <c r="G2" s="1197"/>
      <c r="H2" s="1198"/>
      <c r="I2" s="1199" t="s">
        <v>822</v>
      </c>
      <c r="J2" s="1983"/>
      <c r="K2" s="1983"/>
      <c r="L2" s="1983"/>
    </row>
    <row r="3" spans="1:16" ht="15" thickBot="1">
      <c r="A3" s="3287" t="s">
        <v>171</v>
      </c>
      <c r="B3" s="3287"/>
      <c r="C3" s="3287"/>
      <c r="D3" s="107">
        <f>'数据-基础表'!AY6</f>
        <v>10423.25</v>
      </c>
      <c r="E3" s="107">
        <f>'数据-基础表'!AZ5</f>
        <v>121219</v>
      </c>
      <c r="F3" s="1983"/>
      <c r="G3" s="280" t="s">
        <v>823</v>
      </c>
      <c r="H3" s="275" t="s">
        <v>824</v>
      </c>
      <c r="I3" s="1975">
        <f>ROUND('数据-基础表'!B3/'数据-基础表'!A3,2)</f>
        <v>11.63</v>
      </c>
      <c r="J3" s="1983"/>
      <c r="K3" s="1983"/>
      <c r="L3" s="1983"/>
    </row>
    <row r="4" spans="1:16" ht="14.4">
      <c r="A4" s="3288"/>
      <c r="B4" s="3289"/>
      <c r="C4" s="3290"/>
      <c r="D4" s="108" t="s">
        <v>169</v>
      </c>
      <c r="E4" s="109" t="s">
        <v>170</v>
      </c>
      <c r="F4" s="1983"/>
      <c r="G4" s="1200"/>
      <c r="H4" s="275" t="s">
        <v>825</v>
      </c>
      <c r="I4" s="1975">
        <f>ROUND(SUMIF('数据-基础表'!I9:AS9,"地上",'数据-基础表'!I5:AS5)/'数据-基础表'!A3,2)</f>
        <v>8.3000000000000007</v>
      </c>
      <c r="J4" s="1983"/>
      <c r="K4" s="1983"/>
      <c r="L4" s="1983"/>
    </row>
    <row r="5" spans="1:16" ht="14.4">
      <c r="A5" s="110" t="s">
        <v>172</v>
      </c>
      <c r="B5" s="3291" t="s">
        <v>195</v>
      </c>
      <c r="C5" s="3291"/>
      <c r="D5" s="111">
        <f>ROUND($D$3*E5/$E$3,2)</f>
        <v>0</v>
      </c>
      <c r="E5" s="112">
        <f>SUMIF('数据-基础表'!$11:$11,"住宅",'数据-基础表'!$5:$5)</f>
        <v>0</v>
      </c>
      <c r="F5" s="1983"/>
      <c r="G5" s="280" t="s">
        <v>826</v>
      </c>
      <c r="H5" s="275" t="s">
        <v>824</v>
      </c>
      <c r="I5" s="1975">
        <f>ROUND(E31/D31,2)</f>
        <v>11.63</v>
      </c>
      <c r="J5" s="1983"/>
      <c r="K5" s="1983"/>
      <c r="L5" s="1983"/>
    </row>
    <row r="6" spans="1:16" ht="15" thickBot="1">
      <c r="A6" s="113"/>
      <c r="B6" s="3291" t="s">
        <v>173</v>
      </c>
      <c r="C6" s="3291"/>
      <c r="D6" s="111">
        <f>ROUND($D$3*E6/$E$3,2)</f>
        <v>10423.25</v>
      </c>
      <c r="E6" s="112">
        <f>E3-E5</f>
        <v>121219</v>
      </c>
      <c r="F6" s="1983"/>
      <c r="G6" s="1200"/>
      <c r="H6" s="275" t="s">
        <v>825</v>
      </c>
      <c r="I6" s="1975">
        <f>ROUND(F31/D31,2)</f>
        <v>8.3000000000000007</v>
      </c>
      <c r="J6" s="1983"/>
      <c r="K6" s="1983"/>
      <c r="L6" s="1983"/>
    </row>
    <row r="7" spans="1:16" ht="14.4">
      <c r="A7" s="3283"/>
      <c r="B7" s="3284"/>
      <c r="C7" s="3285"/>
      <c r="D7" s="108" t="s">
        <v>169</v>
      </c>
      <c r="E7" s="114" t="s">
        <v>196</v>
      </c>
      <c r="F7" s="1983"/>
      <c r="G7" s="1155" t="s">
        <v>1610</v>
      </c>
      <c r="H7" s="1156"/>
      <c r="I7" s="1845"/>
      <c r="J7" s="1983"/>
      <c r="K7" s="1983"/>
      <c r="L7" s="1983"/>
    </row>
    <row r="8" spans="1:16" ht="14.4">
      <c r="A8" s="110" t="s">
        <v>174</v>
      </c>
      <c r="B8" s="115" t="s">
        <v>175</v>
      </c>
      <c r="C8" s="111" t="s">
        <v>176</v>
      </c>
      <c r="D8" s="111">
        <f t="shared" ref="D8:D15" si="0">ROUND($D$3*E8/$E$3,2)</f>
        <v>6481.69</v>
      </c>
      <c r="E8" s="116">
        <f>SUMIF('数据-基础表'!BB10:BK10,"地上",'数据-基础表'!BB5:BK5)</f>
        <v>75380</v>
      </c>
      <c r="F8" s="1983"/>
      <c r="G8" s="1985"/>
      <c r="H8" s="1985"/>
      <c r="I8" s="1983"/>
      <c r="J8" s="1983"/>
      <c r="K8" s="1983"/>
      <c r="L8" s="1983"/>
    </row>
    <row r="9" spans="1:16" ht="14.4">
      <c r="A9" s="117"/>
      <c r="B9" s="118"/>
      <c r="C9" s="111" t="s">
        <v>177</v>
      </c>
      <c r="D9" s="111">
        <f t="shared" si="0"/>
        <v>21.5</v>
      </c>
      <c r="E9" s="119">
        <f>'数据-基础表'!AH5</f>
        <v>250</v>
      </c>
      <c r="F9" s="1983"/>
      <c r="G9" s="1985"/>
      <c r="H9" s="1985"/>
      <c r="I9" s="1983"/>
      <c r="J9" s="1983"/>
      <c r="K9" s="1983"/>
      <c r="L9" s="1983"/>
    </row>
    <row r="10" spans="1:16" ht="14.4">
      <c r="A10" s="117"/>
      <c r="B10" s="118"/>
      <c r="C10" s="111" t="s">
        <v>178</v>
      </c>
      <c r="D10" s="111">
        <f t="shared" si="0"/>
        <v>756.69</v>
      </c>
      <c r="E10" s="116">
        <f>SUMPRODUCT(('数据-基础表'!BB10:BK10="地下")*('数据-基础表'!BB11:BK11="商业")*('数据-基础表'!BB5:BK5))</f>
        <v>8800</v>
      </c>
      <c r="F10" s="1983"/>
      <c r="G10" s="1985"/>
      <c r="H10" s="1985"/>
      <c r="I10" s="1983"/>
      <c r="J10" s="1983"/>
      <c r="K10" s="1983"/>
      <c r="L10" s="1983"/>
    </row>
    <row r="11" spans="1:16" ht="14.4">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2295</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180</v>
      </c>
      <c r="D16" s="115">
        <f>SUM(D8:D15)</f>
        <v>7259.8799999999992</v>
      </c>
      <c r="E16" s="120">
        <f>SUM(E8:E15)</f>
        <v>84430</v>
      </c>
      <c r="F16" s="1983"/>
      <c r="G16" s="1985"/>
      <c r="H16" s="968" t="s">
        <v>184</v>
      </c>
      <c r="I16" s="969"/>
      <c r="J16" s="1983"/>
      <c r="K16" s="3277" t="s">
        <v>2526</v>
      </c>
      <c r="L16" s="3278"/>
      <c r="M16" s="3278"/>
      <c r="N16" s="3278"/>
      <c r="O16" s="3278"/>
      <c r="P16" s="3279"/>
    </row>
    <row r="17" spans="1:19" ht="14.4">
      <c r="A17" s="121" t="s">
        <v>181</v>
      </c>
      <c r="B17" s="122" t="s">
        <v>182</v>
      </c>
      <c r="C17" s="2297" t="s">
        <v>2275</v>
      </c>
      <c r="D17" s="108" t="s">
        <v>169</v>
      </c>
      <c r="E17" s="124" t="s">
        <v>170</v>
      </c>
      <c r="F17" s="125"/>
      <c r="G17" s="1365"/>
      <c r="H17" s="970" t="s">
        <v>183</v>
      </c>
      <c r="I17" s="971" t="s">
        <v>2274</v>
      </c>
      <c r="J17" s="1983"/>
      <c r="K17" s="3280" t="s">
        <v>2527</v>
      </c>
      <c r="L17" s="3281"/>
      <c r="M17" s="3282"/>
      <c r="N17" s="3280" t="s">
        <v>2528</v>
      </c>
      <c r="O17" s="3281"/>
      <c r="P17" s="3282"/>
      <c r="R17" s="2298" t="s">
        <v>2273</v>
      </c>
      <c r="S17" s="144"/>
    </row>
    <row r="18" spans="1:19" ht="14.4">
      <c r="A18" s="117"/>
      <c r="B18" s="128"/>
      <c r="C18" s="129"/>
      <c r="D18" s="2641"/>
      <c r="E18" s="130" t="s">
        <v>185</v>
      </c>
      <c r="F18" s="131" t="s">
        <v>186</v>
      </c>
      <c r="G18" s="1366" t="s">
        <v>187</v>
      </c>
      <c r="H18" s="972" t="s">
        <v>188</v>
      </c>
      <c r="I18" s="973" t="s">
        <v>189</v>
      </c>
      <c r="J18" s="1983"/>
      <c r="K18" s="2604" t="s">
        <v>2529</v>
      </c>
      <c r="L18" s="2605" t="s">
        <v>2530</v>
      </c>
      <c r="M18" s="2606" t="s">
        <v>2531</v>
      </c>
      <c r="N18" s="2604" t="s">
        <v>2529</v>
      </c>
      <c r="O18" s="2605" t="s">
        <v>2530</v>
      </c>
      <c r="P18" s="2606" t="s">
        <v>2531</v>
      </c>
      <c r="R18" s="2299" t="s">
        <v>2271</v>
      </c>
      <c r="S18" s="2299" t="s">
        <v>2272</v>
      </c>
    </row>
    <row r="19" spans="1:19" ht="14.4">
      <c r="A19" s="133"/>
      <c r="B19" s="115" t="s">
        <v>190</v>
      </c>
      <c r="C19" s="3024" t="str">
        <f>定义!A2</f>
        <v>地上商业用房</v>
      </c>
      <c r="D19" s="111">
        <f t="shared" ref="D19:D26" si="1">ROUND($D$3*E19/$E$3,2)</f>
        <v>3025.02</v>
      </c>
      <c r="E19" s="134">
        <f t="shared" ref="E19:E26" si="2">SUM(F19:G19)</f>
        <v>35180</v>
      </c>
      <c r="F19" s="135">
        <f>'数据-基础表'!I13</f>
        <v>35180</v>
      </c>
      <c r="G19" s="1367"/>
      <c r="H19" s="974">
        <f>ROUND($D$3*I19/$E$3,2)</f>
        <v>930.33</v>
      </c>
      <c r="I19" s="116">
        <f>IF($I$17="自定义",P19,M19)</f>
        <v>10819.38</v>
      </c>
      <c r="J19" s="1983"/>
      <c r="K19" s="2607">
        <f t="shared" ref="K19:K26" si="3">ROUND(E$28*E19/E$27,2)</f>
        <v>10819.38</v>
      </c>
      <c r="L19" s="275">
        <f t="shared" ref="L19:L26" si="4">ROUND(IF(COUNTIF(C19,"*住宅*")&gt;0,E$29*E19/E$32,0),2)</f>
        <v>0</v>
      </c>
      <c r="M19" s="2608">
        <f>K19+L19</f>
        <v>10819.38</v>
      </c>
      <c r="N19" s="2609"/>
      <c r="O19" s="2610"/>
      <c r="P19" s="2611">
        <f>N19+O19</f>
        <v>0</v>
      </c>
      <c r="R19" s="275">
        <f t="shared" ref="R19:S26" si="5">D19+H19</f>
        <v>3955.35</v>
      </c>
      <c r="S19" s="2300">
        <f t="shared" si="5"/>
        <v>45999.38</v>
      </c>
    </row>
    <row r="20" spans="1:19" ht="14.4">
      <c r="A20" s="138"/>
      <c r="B20" s="115" t="s">
        <v>191</v>
      </c>
      <c r="C20" s="3024" t="str">
        <f>定义!A3</f>
        <v>办公用房</v>
      </c>
      <c r="D20" s="111">
        <f t="shared" si="1"/>
        <v>1135.03</v>
      </c>
      <c r="E20" s="134">
        <f t="shared" si="2"/>
        <v>13200</v>
      </c>
      <c r="F20" s="135">
        <f>'数据-基础表'!K13</f>
        <v>13200</v>
      </c>
      <c r="G20" s="1367"/>
      <c r="H20" s="974">
        <f t="shared" ref="H20:H26" si="6">ROUND($D$3*I20/$E$3,2)</f>
        <v>349.07</v>
      </c>
      <c r="I20" s="116">
        <f t="shared" ref="I20:I26" si="7">IF($I$17="自定义",P20,M20)</f>
        <v>4059.57</v>
      </c>
      <c r="J20" s="1983"/>
      <c r="K20" s="2607">
        <f t="shared" si="3"/>
        <v>4059.57</v>
      </c>
      <c r="L20" s="275">
        <f t="shared" si="4"/>
        <v>0</v>
      </c>
      <c r="M20" s="2608">
        <f t="shared" ref="M20:M26" si="8">K20+L20</f>
        <v>4059.57</v>
      </c>
      <c r="N20" s="2609"/>
      <c r="O20" s="2610"/>
      <c r="P20" s="2611">
        <f t="shared" ref="P20:P26" si="9">N20+O20</f>
        <v>0</v>
      </c>
      <c r="R20" s="275">
        <f t="shared" si="5"/>
        <v>1484.1</v>
      </c>
      <c r="S20" s="2300">
        <f t="shared" si="5"/>
        <v>17259.57</v>
      </c>
    </row>
    <row r="21" spans="1:19" ht="14.4">
      <c r="A21" s="138"/>
      <c r="B21" s="115" t="s">
        <v>191</v>
      </c>
      <c r="C21" s="3024" t="str">
        <f>定义!A4</f>
        <v>商务公寓用房</v>
      </c>
      <c r="D21" s="111">
        <f t="shared" si="1"/>
        <v>1857.32</v>
      </c>
      <c r="E21" s="134">
        <f t="shared" si="2"/>
        <v>21600</v>
      </c>
      <c r="F21" s="135">
        <f>'数据-基础表'!M13</f>
        <v>21600</v>
      </c>
      <c r="G21" s="1367"/>
      <c r="H21" s="974">
        <f t="shared" si="6"/>
        <v>571.21</v>
      </c>
      <c r="I21" s="116">
        <f t="shared" si="7"/>
        <v>6642.94</v>
      </c>
      <c r="J21" s="1983"/>
      <c r="K21" s="2607">
        <f t="shared" si="3"/>
        <v>6642.94</v>
      </c>
      <c r="L21" s="275">
        <f t="shared" si="4"/>
        <v>0</v>
      </c>
      <c r="M21" s="2608">
        <f t="shared" si="8"/>
        <v>6642.94</v>
      </c>
      <c r="N21" s="2609"/>
      <c r="O21" s="2610"/>
      <c r="P21" s="2611">
        <f t="shared" si="9"/>
        <v>0</v>
      </c>
      <c r="R21" s="275">
        <f t="shared" si="5"/>
        <v>2428.5299999999997</v>
      </c>
      <c r="S21" s="2300">
        <f t="shared" si="5"/>
        <v>28242.94</v>
      </c>
    </row>
    <row r="22" spans="1:19" ht="14.4">
      <c r="A22" s="138"/>
      <c r="B22" s="115" t="s">
        <v>191</v>
      </c>
      <c r="C22" s="1364" t="str">
        <f>定义!A5</f>
        <v>人才公寓用房</v>
      </c>
      <c r="D22" s="111">
        <f t="shared" si="1"/>
        <v>464.33</v>
      </c>
      <c r="E22" s="134">
        <f t="shared" si="2"/>
        <v>5400</v>
      </c>
      <c r="F22" s="140">
        <f>'数据-基础表'!O13</f>
        <v>5400</v>
      </c>
      <c r="G22" s="1368"/>
      <c r="H22" s="974">
        <f t="shared" si="6"/>
        <v>142.80000000000001</v>
      </c>
      <c r="I22" s="116">
        <f t="shared" si="7"/>
        <v>1660.73</v>
      </c>
      <c r="J22" s="1983"/>
      <c r="K22" s="2607">
        <f t="shared" si="3"/>
        <v>1660.73</v>
      </c>
      <c r="L22" s="275">
        <f t="shared" si="4"/>
        <v>0</v>
      </c>
      <c r="M22" s="2608">
        <f t="shared" si="8"/>
        <v>1660.73</v>
      </c>
      <c r="N22" s="2609"/>
      <c r="O22" s="2610"/>
      <c r="P22" s="2611">
        <f t="shared" si="9"/>
        <v>0</v>
      </c>
      <c r="R22" s="275">
        <f t="shared" si="5"/>
        <v>607.13</v>
      </c>
      <c r="S22" s="2300">
        <f t="shared" si="5"/>
        <v>7060.73</v>
      </c>
    </row>
    <row r="23" spans="1:19" ht="14.4">
      <c r="A23" s="138"/>
      <c r="B23" s="115" t="s">
        <v>191</v>
      </c>
      <c r="C23" s="139" t="str">
        <f>定义!A6</f>
        <v>地下商业用房</v>
      </c>
      <c r="D23" s="111">
        <f>ROUND($D$3*E23/$E$3,2)</f>
        <v>756.69</v>
      </c>
      <c r="E23" s="134">
        <f>SUM(F23:G23)</f>
        <v>8800</v>
      </c>
      <c r="F23" s="140"/>
      <c r="G23" s="1368">
        <f>'数据-基础表'!Q13</f>
        <v>8800</v>
      </c>
      <c r="H23" s="974">
        <f>ROUND($D$3*I23/$E$3,2)</f>
        <v>232.71</v>
      </c>
      <c r="I23" s="116">
        <f t="shared" si="7"/>
        <v>2706.38</v>
      </c>
      <c r="J23" s="1983"/>
      <c r="K23" s="2607">
        <f t="shared" si="3"/>
        <v>2706.38</v>
      </c>
      <c r="L23" s="275">
        <f t="shared" si="4"/>
        <v>0</v>
      </c>
      <c r="M23" s="2608">
        <f t="shared" si="8"/>
        <v>2706.38</v>
      </c>
      <c r="N23" s="2609"/>
      <c r="O23" s="2610"/>
      <c r="P23" s="2611">
        <f t="shared" si="9"/>
        <v>0</v>
      </c>
      <c r="R23" s="275">
        <f t="shared" si="5"/>
        <v>989.40000000000009</v>
      </c>
      <c r="S23" s="2300">
        <f t="shared" si="5"/>
        <v>11506.380000000001</v>
      </c>
    </row>
    <row r="24" spans="1:19" ht="14.4">
      <c r="A24" s="138"/>
      <c r="B24" s="115" t="s">
        <v>191</v>
      </c>
      <c r="C24" s="139" t="str">
        <f>定义!A7</f>
        <v>地下车库用房</v>
      </c>
      <c r="D24" s="111">
        <f>ROUND($D$3*E24/$E$3,2)</f>
        <v>0</v>
      </c>
      <c r="E24" s="134">
        <f>SUM(F24:G24)</f>
        <v>0</v>
      </c>
      <c r="F24" s="140"/>
      <c r="G24" s="1368">
        <f>'数据-基础表'!S13</f>
        <v>0</v>
      </c>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2" thickBot="1">
      <c r="A27" s="138"/>
      <c r="B27" s="111"/>
      <c r="C27" s="127" t="s">
        <v>180</v>
      </c>
      <c r="D27" s="134">
        <f>SUM(D19:D26)</f>
        <v>7238.3899999999994</v>
      </c>
      <c r="E27" s="143">
        <f>IF(SUM(E19:E26)='数据-基础表'!BA5,SUM(E19:E26),IF(F27="地上面积有误","面积有误","地下面积有误"))</f>
        <v>84180</v>
      </c>
      <c r="F27" s="134">
        <f>IF(SUM(F19:F26)=E8,SUM(F19:F26),"地上面积有误")</f>
        <v>75380</v>
      </c>
      <c r="G27" s="112">
        <f>SUM(G19:G26)</f>
        <v>8800</v>
      </c>
      <c r="H27" s="975">
        <f>SUM(H19:H26)</f>
        <v>2226.12</v>
      </c>
      <c r="I27" s="976">
        <f>SUM(I19:I26)</f>
        <v>25889</v>
      </c>
      <c r="J27" s="1983"/>
      <c r="K27" s="2616">
        <f>SUM(K19:K26)</f>
        <v>25889</v>
      </c>
      <c r="L27" s="2617">
        <f>SUM(L19:L26)</f>
        <v>0</v>
      </c>
      <c r="M27" s="2618">
        <f>SUM(M19:M26)</f>
        <v>25889</v>
      </c>
      <c r="N27" s="2616">
        <f t="shared" ref="N27:O27" si="10">SUM(N19:N26)</f>
        <v>0</v>
      </c>
      <c r="O27" s="2617">
        <f t="shared" si="10"/>
        <v>0</v>
      </c>
      <c r="P27" s="2619">
        <f>SUM(P19:P26)</f>
        <v>0</v>
      </c>
      <c r="R27" s="2304" t="str">
        <f>IF(SUM(R19:R26)=$D$3,SUM(R19:R26),SUM(R19:R26)&amp;"误差"&amp;ROUND(SUM(R19:R26)-$D$3,2))</f>
        <v>9464.51误差-958.74</v>
      </c>
      <c r="S27" s="275" t="str">
        <f>IF(SUM(S19:S26)=$E$3,SUM(S19:S26),SUM(S19:S26)&amp;"误差"&amp;ROUND(SUM(S19:S26)-E3,2))</f>
        <v>110069误差-11150</v>
      </c>
    </row>
    <row r="28" spans="1:19" ht="14.4">
      <c r="A28" s="138"/>
      <c r="B28" s="115" t="s">
        <v>192</v>
      </c>
      <c r="C28" s="136" t="s">
        <v>193</v>
      </c>
      <c r="D28" s="111">
        <f>ROUND($D$3*E28/$E$3,2)</f>
        <v>2226.12</v>
      </c>
      <c r="E28" s="134">
        <f>SUM(F28:G28)</f>
        <v>25889</v>
      </c>
      <c r="F28" s="144">
        <f>'数据-基础表'!BQ5+'数据-基础表'!BS5</f>
        <v>0</v>
      </c>
      <c r="G28" s="145">
        <f>'数据-基础表'!BR5+'数据-基础表'!BT5</f>
        <v>25889</v>
      </c>
      <c r="H28" s="1983"/>
      <c r="I28" s="1983"/>
      <c r="J28" s="1983"/>
      <c r="K28" s="1983"/>
      <c r="L28" s="1983"/>
    </row>
    <row r="29" spans="1:19" ht="14.4">
      <c r="A29" s="138"/>
      <c r="B29" s="115" t="s">
        <v>192</v>
      </c>
      <c r="C29" s="2312" t="s">
        <v>2282</v>
      </c>
      <c r="D29" s="111">
        <f>ROUND($D$3*E29/$E$3,2)</f>
        <v>958.75</v>
      </c>
      <c r="E29" s="134">
        <f>SUM(F29:G29)</f>
        <v>11150</v>
      </c>
      <c r="F29" s="144">
        <f>'数据-基础表'!BM5+'数据-基础表'!BO5</f>
        <v>11150</v>
      </c>
      <c r="G29" s="146">
        <f>'数据-基础表'!BN5+'数据-基础表'!BP5</f>
        <v>0</v>
      </c>
      <c r="H29" s="1983"/>
      <c r="I29" s="1983"/>
      <c r="J29" s="1983"/>
      <c r="K29" s="1983"/>
      <c r="L29" s="1983"/>
    </row>
    <row r="30" spans="1:19" ht="14.4">
      <c r="A30" s="138"/>
      <c r="B30" s="111"/>
      <c r="C30" s="147" t="s">
        <v>180</v>
      </c>
      <c r="D30" s="134">
        <f>SUM(D28:D29)</f>
        <v>3184.87</v>
      </c>
      <c r="E30" s="134">
        <f>SUM(E28:E29)</f>
        <v>37039</v>
      </c>
      <c r="F30" s="134">
        <f>SUM(F28:F29)</f>
        <v>11150</v>
      </c>
      <c r="G30" s="112">
        <f>SUM(G28:G29)</f>
        <v>25889</v>
      </c>
      <c r="H30" s="1983"/>
      <c r="I30" s="1983"/>
      <c r="J30" s="1983"/>
      <c r="K30" s="1983"/>
      <c r="L30" s="1983"/>
    </row>
    <row r="31" spans="1:19" ht="32.25" customHeight="1" thickBot="1">
      <c r="A31" s="1369"/>
      <c r="B31" s="1370" t="s">
        <v>194</v>
      </c>
      <c r="C31" s="2329" t="s">
        <v>2284</v>
      </c>
      <c r="D31" s="1371">
        <f>D27+D30</f>
        <v>10423.259999999998</v>
      </c>
      <c r="E31" s="1371">
        <f>E27+E30</f>
        <v>121219</v>
      </c>
      <c r="F31" s="1372">
        <f>F27+F30</f>
        <v>86530</v>
      </c>
      <c r="G31" s="1373">
        <f>G27+G30</f>
        <v>34689</v>
      </c>
      <c r="H31" s="1983"/>
      <c r="I31" s="1983"/>
      <c r="J31" s="1983"/>
      <c r="K31" s="1983"/>
      <c r="L31" s="1983"/>
    </row>
    <row r="32" spans="1:19" ht="14.4">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1" sqref="T21"/>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200</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2788</v>
      </c>
      <c r="O5" s="163" t="s">
        <v>211</v>
      </c>
      <c r="P5" s="165" t="s">
        <v>212</v>
      </c>
      <c r="Q5" s="166" t="s">
        <v>213</v>
      </c>
      <c r="R5" s="167" t="s">
        <v>214</v>
      </c>
      <c r="S5" s="2620" t="s">
        <v>2532</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地上商业用房</v>
      </c>
      <c r="B6" s="2336" t="str">
        <f>IF(A6=0,"","经营性")</f>
        <v>经营性</v>
      </c>
      <c r="C6" s="173" t="s">
        <v>2934</v>
      </c>
      <c r="D6" s="2307">
        <f>SUMIF(项目基本情况!D$15:I$15,C6,项目基本情况!D$18:I$18)</f>
        <v>40</v>
      </c>
      <c r="E6" s="2308">
        <f>IF(B6="","",SUMIF(项目基本情况!D$15:I$15,C6,项目基本情况!D$17:I$17))</f>
        <v>57859</v>
      </c>
      <c r="F6" s="174">
        <f>SUMIF(项目基本情况!D$15:I$15,C6,项目基本情况!D$19:I$19)</f>
        <v>39.76</v>
      </c>
      <c r="G6" s="175">
        <f>IF(ISERROR(ROUND(POWER(1+H6,D6-F6)*(POWER(1+H6,F6)-1)/(POWER(1+H6,D6)-1),3)),0,ROUND(POWER(1+H6,D6-F6)*(POWER(1+H6,F6)-1)/(POWER(1+H6,D6)-1),3))</f>
        <v>0.998</v>
      </c>
      <c r="H6" s="3025">
        <v>4.4999999999999998E-2</v>
      </c>
      <c r="I6" s="3025">
        <v>0.06</v>
      </c>
      <c r="J6" s="176">
        <v>8.5000000000000006E-2</v>
      </c>
      <c r="K6" s="179">
        <f>SUMIF('数据-汇总表'!C$19:C$33,'数据-取费表'!A6,'数据-汇总表'!E$19:E$33)</f>
        <v>35180</v>
      </c>
      <c r="L6" s="3026">
        <v>5000</v>
      </c>
      <c r="M6" s="177">
        <f t="shared" ref="M6:M14" si="0">ROUND(K6*L6/10000,0)</f>
        <v>17590</v>
      </c>
      <c r="N6" s="3027">
        <v>0</v>
      </c>
      <c r="O6" s="177">
        <f>IF($N$5="成新度","——",ROUND(M6*N6,0))</f>
        <v>0</v>
      </c>
      <c r="P6" s="178">
        <f>IF($N$5="成新度","——",M6-O6)</f>
        <v>17590</v>
      </c>
      <c r="Q6" s="3028">
        <v>0.25</v>
      </c>
      <c r="R6" s="179">
        <f>SUMIF('数据-汇总表'!C$19:C$33,A6,'数据-汇总表'!R$19:R$33)</f>
        <v>3955.35</v>
      </c>
      <c r="S6" s="132">
        <f>IF('数据-汇总表'!$I$17="按面积比例",SUMIF('数据-汇总表'!C$19:C$33,A6,'数据-汇总表'!K$19:K$33),SUMIF('数据-汇总表'!C$19:C$33,A6,'数据-汇总表'!N$19:N$33))</f>
        <v>10819.38</v>
      </c>
      <c r="T6" s="2233">
        <f>IF($T$4="按面积比例",IF(ISERROR(ROUND($M$14*S6/S$16,0)),"0",ROUND($M$14*S6/S$16,0)),"需自行计算录入")</f>
        <v>2705</v>
      </c>
      <c r="U6" s="180">
        <f>商业案例!G29</f>
        <v>17</v>
      </c>
      <c r="V6" s="3185">
        <v>2.5000000000000001E-2</v>
      </c>
      <c r="W6" s="181">
        <v>0.1</v>
      </c>
      <c r="X6" s="2320"/>
      <c r="Y6" s="182">
        <v>1</v>
      </c>
      <c r="Z6" s="183"/>
      <c r="AA6" s="176"/>
      <c r="AB6" s="176"/>
      <c r="AC6" s="2323"/>
      <c r="AD6" s="184"/>
      <c r="AE6" s="972">
        <f ca="1">IF(AN6="",0,SUMIF(INDIRECT("'"&amp;AN6&amp;"'"&amp;"!E:E"),$AE$5,INDIRECT("'"&amp;AN6&amp;"'"&amp;"!F:F")))</f>
        <v>37.76</v>
      </c>
      <c r="AF6" s="141"/>
      <c r="AG6" s="1212">
        <f>IF(AF6="",0,AE6-AF6)</f>
        <v>0</v>
      </c>
      <c r="AH6" s="141"/>
      <c r="AI6" s="187">
        <v>365</v>
      </c>
      <c r="AJ6" s="188"/>
      <c r="AK6" s="189">
        <v>2.5000000000000001E-2</v>
      </c>
      <c r="AL6" s="190">
        <v>2.5000000000000001E-3</v>
      </c>
      <c r="AM6" s="3039">
        <v>2.5000000000000001E-2</v>
      </c>
      <c r="AN6" s="2391" t="str">
        <f>定义!B5</f>
        <v>收益法-地上商业</v>
      </c>
      <c r="AO6" s="1999"/>
      <c r="AP6" s="1203">
        <f>ROUND(1-1/(1+H6)^F6,3)</f>
        <v>0.82599999999999996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57859</v>
      </c>
      <c r="F7" s="174">
        <f>SUMIF(项目基本情况!D$15:I$15,C7,项目基本情况!D$19:I$19)</f>
        <v>39.76</v>
      </c>
      <c r="G7" s="175">
        <f t="shared" ref="G7:G11" si="2">IF(ISERROR(ROUND(POWER(1+H7,D7-F7)*(POWER(1+H7,F7)-1)/(POWER(1+H7,D7)-1),3)),0,ROUND(POWER(1+H7,D7-F7)*(POWER(1+H7,F7)-1)/(POWER(1+H7,D7)-1),3))</f>
        <v>0.998</v>
      </c>
      <c r="H7" s="3025">
        <v>4.4999999999999998E-2</v>
      </c>
      <c r="I7" s="3025">
        <v>5.5E-2</v>
      </c>
      <c r="J7" s="176">
        <v>8.5000000000000006E-2</v>
      </c>
      <c r="K7" s="179">
        <f>SUMIF('数据-汇总表'!C$19:C$33,'数据-取费表'!A7,'数据-汇总表'!E$19:E$33)</f>
        <v>13200</v>
      </c>
      <c r="L7" s="3026">
        <v>5000</v>
      </c>
      <c r="M7" s="177">
        <f t="shared" si="0"/>
        <v>6600</v>
      </c>
      <c r="N7" s="3027">
        <v>0</v>
      </c>
      <c r="O7" s="177">
        <f t="shared" ref="O7:O14" si="3">IF($N$5="成新度","——",ROUND(M7*N7,0))</f>
        <v>0</v>
      </c>
      <c r="P7" s="178">
        <f t="shared" ref="P7:P14" si="4">IF($N$5="成新度","——",M7-O7)</f>
        <v>6600</v>
      </c>
      <c r="Q7" s="3028">
        <v>0.15</v>
      </c>
      <c r="R7" s="179">
        <f>SUMIF('数据-汇总表'!C$19:C$33,A7,'数据-汇总表'!R$19:R$33)</f>
        <v>1484.1</v>
      </c>
      <c r="S7" s="132">
        <f>IF('数据-汇总表'!$I$17="按面积比例",SUMIF('数据-汇总表'!C$19:C$33,A7,'数据-汇总表'!K$19:K$33),SUMIF('数据-汇总表'!C$19:C$33,A7,'数据-汇总表'!N$19:N$33))</f>
        <v>4059.57</v>
      </c>
      <c r="T7" s="2233">
        <f t="shared" ref="T7:T13" si="5">IF($T$4="按面积比例",IF(ISERROR(ROUND($M$14*S7/S$16,0)),"0",ROUND($M$14*S7/S$16,0)),"需自行计算录入")</f>
        <v>1015</v>
      </c>
      <c r="U7" s="180">
        <v>12</v>
      </c>
      <c r="V7" s="3185">
        <v>0.02</v>
      </c>
      <c r="W7" s="181">
        <v>0.1</v>
      </c>
      <c r="X7" s="2320"/>
      <c r="Y7" s="182">
        <v>1</v>
      </c>
      <c r="Z7" s="183"/>
      <c r="AA7" s="176"/>
      <c r="AB7" s="176"/>
      <c r="AC7" s="2323"/>
      <c r="AD7" s="184"/>
      <c r="AE7" s="972">
        <f t="shared" ref="AE7:AE13" ca="1" si="6">IF(AN7="",0,SUMIF(INDIRECT("'"&amp;AN7&amp;"'"&amp;"!E:E"),$AE$5,INDIRECT("'"&amp;AN7&amp;"'"&amp;"!F:F")))</f>
        <v>37.76</v>
      </c>
      <c r="AF7" s="141"/>
      <c r="AG7" s="1212">
        <f t="shared" ref="AG7:AG13" si="7">IF(AF7="",0,AE7-AF7)</f>
        <v>0</v>
      </c>
      <c r="AH7" s="141"/>
      <c r="AI7" s="187">
        <v>365</v>
      </c>
      <c r="AJ7" s="188"/>
      <c r="AK7" s="189">
        <v>0.02</v>
      </c>
      <c r="AL7" s="190">
        <v>2E-3</v>
      </c>
      <c r="AM7" s="3039">
        <v>0.02</v>
      </c>
      <c r="AN7" s="2391" t="str">
        <f>定义!B6</f>
        <v>收益法-办公</v>
      </c>
      <c r="AO7" s="1999"/>
      <c r="AP7" s="1203">
        <f t="shared" ref="AP7:AP13" si="8">ROUND(1-1/(1+H7)^F7,3)</f>
        <v>0.82599999999999996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t="str">
        <f>'数据-汇总表'!C21</f>
        <v>商务公寓用房</v>
      </c>
      <c r="B8" s="2336" t="str">
        <f t="shared" si="1"/>
        <v>经营性</v>
      </c>
      <c r="C8" s="173" t="s">
        <v>2934</v>
      </c>
      <c r="D8" s="2307">
        <f>SUMIF(项目基本情况!D$15:I$15,C8,项目基本情况!D$18:I$18)</f>
        <v>40</v>
      </c>
      <c r="E8" s="2308">
        <f>IF(B8="","",SUMIF(项目基本情况!D$15:I$15,C8,项目基本情况!D$17:I$17))</f>
        <v>57859</v>
      </c>
      <c r="F8" s="174">
        <f>SUMIF(项目基本情况!D$15:I$15,C8,项目基本情况!D$19:I$19)</f>
        <v>39.76</v>
      </c>
      <c r="G8" s="175">
        <f t="shared" si="2"/>
        <v>0.998</v>
      </c>
      <c r="H8" s="3025">
        <v>4.4999999999999998E-2</v>
      </c>
      <c r="I8" s="3025">
        <v>0.05</v>
      </c>
      <c r="J8" s="176">
        <v>8.5000000000000006E-2</v>
      </c>
      <c r="K8" s="179">
        <f>SUMIF('数据-汇总表'!C$19:C$33,'数据-取费表'!A8,'数据-汇总表'!E$19:E$33)</f>
        <v>21600</v>
      </c>
      <c r="L8" s="3026">
        <v>6000</v>
      </c>
      <c r="M8" s="177">
        <f>ROUND(K8*L8/10000,0)</f>
        <v>12960</v>
      </c>
      <c r="N8" s="3027">
        <v>0</v>
      </c>
      <c r="O8" s="177">
        <f t="shared" si="3"/>
        <v>0</v>
      </c>
      <c r="P8" s="178">
        <f t="shared" si="4"/>
        <v>12960</v>
      </c>
      <c r="Q8" s="3028">
        <v>0.2</v>
      </c>
      <c r="R8" s="179">
        <f>SUMIF('数据-汇总表'!C$19:C$33,A8,'数据-汇总表'!R$19:R$33)</f>
        <v>2428.5299999999997</v>
      </c>
      <c r="S8" s="132">
        <f>IF('数据-汇总表'!$I$17="按面积比例",SUMIF('数据-汇总表'!C$19:C$33,A8,'数据-汇总表'!K$19:K$33),SUMIF('数据-汇总表'!C$19:C$33,A8,'数据-汇总表'!N$19:N$33))</f>
        <v>6642.94</v>
      </c>
      <c r="T8" s="2233">
        <f t="shared" si="5"/>
        <v>1661</v>
      </c>
      <c r="U8" s="180"/>
      <c r="V8" s="3185">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9">
        <v>0.02</v>
      </c>
      <c r="AN8" s="2391"/>
      <c r="AO8" s="1999"/>
      <c r="AP8" s="1203">
        <f t="shared" si="8"/>
        <v>0.82599999999999996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t="str">
        <f>'数据-汇总表'!C22</f>
        <v>人才公寓用房</v>
      </c>
      <c r="B9" s="2336" t="str">
        <f t="shared" si="1"/>
        <v>经营性</v>
      </c>
      <c r="C9" s="173" t="s">
        <v>2934</v>
      </c>
      <c r="D9" s="2307">
        <f>SUMIF(项目基本情况!D$15:I$15,C9,项目基本情况!D$18:I$18)</f>
        <v>40</v>
      </c>
      <c r="E9" s="2308">
        <f>IF(B9="","",SUMIF(项目基本情况!D$15:I$15,C9,项目基本情况!D$17:I$17))</f>
        <v>57859</v>
      </c>
      <c r="F9" s="174">
        <f>SUMIF(项目基本情况!D$15:I$15,C9,项目基本情况!D$19:I$19)</f>
        <v>39.76</v>
      </c>
      <c r="G9" s="175">
        <f t="shared" si="2"/>
        <v>0.998</v>
      </c>
      <c r="H9" s="176">
        <v>4.4999999999999998E-2</v>
      </c>
      <c r="I9" s="176">
        <v>0.05</v>
      </c>
      <c r="J9" s="176">
        <v>8.5000000000000006E-2</v>
      </c>
      <c r="K9" s="179">
        <f>SUMIF('数据-汇总表'!C$19:C$33,'数据-取费表'!A9,'数据-汇总表'!E$19:E$33)</f>
        <v>5400</v>
      </c>
      <c r="L9" s="193">
        <v>3500</v>
      </c>
      <c r="M9" s="177">
        <f t="shared" si="0"/>
        <v>1890</v>
      </c>
      <c r="N9" s="194">
        <v>0</v>
      </c>
      <c r="O9" s="177">
        <f t="shared" si="3"/>
        <v>0</v>
      </c>
      <c r="P9" s="178">
        <f t="shared" si="4"/>
        <v>1890</v>
      </c>
      <c r="Q9" s="192">
        <v>0</v>
      </c>
      <c r="R9" s="179">
        <f>SUMIF('数据-汇总表'!C$19:C$33,A9,'数据-汇总表'!R$19:R$33)</f>
        <v>607.13</v>
      </c>
      <c r="S9" s="132">
        <f>IF('数据-汇总表'!$I$17="按面积比例",SUMIF('数据-汇总表'!C$19:C$33,A9,'数据-汇总表'!K$19:K$33),SUMIF('数据-汇总表'!C$19:C$33,A9,'数据-汇总表'!N$19:N$33))</f>
        <v>1660.73</v>
      </c>
      <c r="T9" s="2233">
        <f t="shared" si="5"/>
        <v>415</v>
      </c>
      <c r="U9" s="180"/>
      <c r="V9" s="3185"/>
      <c r="W9" s="181"/>
      <c r="X9" s="2320"/>
      <c r="Y9" s="182"/>
      <c r="Z9" s="183"/>
      <c r="AA9" s="176"/>
      <c r="AB9" s="176"/>
      <c r="AC9" s="2323"/>
      <c r="AD9" s="184"/>
      <c r="AE9" s="972">
        <f t="shared" ca="1" si="6"/>
        <v>0</v>
      </c>
      <c r="AF9" s="141"/>
      <c r="AG9" s="1212">
        <f t="shared" si="7"/>
        <v>0</v>
      </c>
      <c r="AH9" s="141"/>
      <c r="AI9" s="187">
        <v>365</v>
      </c>
      <c r="AJ9" s="188"/>
      <c r="AK9" s="189">
        <v>0.02</v>
      </c>
      <c r="AL9" s="190">
        <v>2E-3</v>
      </c>
      <c r="AM9" s="3039">
        <v>0.02</v>
      </c>
      <c r="AN9" s="2391"/>
      <c r="AO9" s="1999"/>
      <c r="AP9" s="1203">
        <f t="shared" si="8"/>
        <v>0.82599999999999996</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t="str">
        <f>'数据-汇总表'!C23</f>
        <v>地下商业用房</v>
      </c>
      <c r="B10" s="2336" t="str">
        <f t="shared" si="1"/>
        <v>经营性</v>
      </c>
      <c r="C10" s="173" t="s">
        <v>2934</v>
      </c>
      <c r="D10" s="2307">
        <f>SUMIF(项目基本情况!D$15:I$15,C10,项目基本情况!D$18:I$18)</f>
        <v>40</v>
      </c>
      <c r="E10" s="2308">
        <f>IF(B10="","",SUMIF(项目基本情况!D$15:I$15,C10,项目基本情况!D$17:I$17))</f>
        <v>57859</v>
      </c>
      <c r="F10" s="174">
        <f>SUMIF(项目基本情况!D$15:I$15,C10,项目基本情况!D$19:I$19)</f>
        <v>39.76</v>
      </c>
      <c r="G10" s="175">
        <f t="shared" si="2"/>
        <v>0.998</v>
      </c>
      <c r="H10" s="176">
        <v>4.4999999999999998E-2</v>
      </c>
      <c r="I10" s="176">
        <v>0.06</v>
      </c>
      <c r="J10" s="176">
        <v>8.5000000000000006E-2</v>
      </c>
      <c r="K10" s="179">
        <f>SUMIF('数据-汇总表'!C$19:C$33,'数据-取费表'!A10,'数据-汇总表'!E$19:E$33)</f>
        <v>8800</v>
      </c>
      <c r="L10" s="193">
        <v>5000</v>
      </c>
      <c r="M10" s="177">
        <f t="shared" si="0"/>
        <v>4400</v>
      </c>
      <c r="N10" s="194">
        <v>0</v>
      </c>
      <c r="O10" s="177">
        <f t="shared" si="3"/>
        <v>0</v>
      </c>
      <c r="P10" s="178">
        <f t="shared" si="4"/>
        <v>4400</v>
      </c>
      <c r="Q10" s="192">
        <v>0.2</v>
      </c>
      <c r="R10" s="179">
        <f>SUMIF('数据-汇总表'!C$19:C$33,A10,'数据-汇总表'!R$19:R$33)</f>
        <v>989.40000000000009</v>
      </c>
      <c r="S10" s="132">
        <f>IF('数据-汇总表'!$I$17="按面积比例",SUMIF('数据-汇总表'!C$19:C$33,A10,'数据-汇总表'!K$19:K$33),SUMIF('数据-汇总表'!C$19:C$33,A10,'数据-汇总表'!N$19:N$33))</f>
        <v>2706.38</v>
      </c>
      <c r="T10" s="2233">
        <f t="shared" si="5"/>
        <v>677</v>
      </c>
      <c r="U10" s="180">
        <f>商业案例!G31</f>
        <v>16</v>
      </c>
      <c r="V10" s="3185">
        <v>0.02</v>
      </c>
      <c r="W10" s="181">
        <v>0.1</v>
      </c>
      <c r="X10" s="2320"/>
      <c r="Y10" s="182">
        <v>1</v>
      </c>
      <c r="Z10" s="183"/>
      <c r="AA10" s="176"/>
      <c r="AB10" s="176"/>
      <c r="AC10" s="2323"/>
      <c r="AD10" s="184"/>
      <c r="AE10" s="972">
        <f t="shared" ca="1" si="6"/>
        <v>37.76</v>
      </c>
      <c r="AF10" s="141"/>
      <c r="AG10" s="1212">
        <f t="shared" si="7"/>
        <v>0</v>
      </c>
      <c r="AH10" s="141"/>
      <c r="AI10" s="187">
        <v>365</v>
      </c>
      <c r="AJ10" s="188"/>
      <c r="AK10" s="189">
        <v>0.02</v>
      </c>
      <c r="AL10" s="190">
        <v>2E-3</v>
      </c>
      <c r="AM10" s="3039">
        <v>0.02</v>
      </c>
      <c r="AN10" s="2391" t="str">
        <f>定义!B9</f>
        <v>收益法-地下商业</v>
      </c>
      <c r="AO10" s="1999"/>
      <c r="AP10" s="1203">
        <f t="shared" si="8"/>
        <v>0.82599999999999996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t="str">
        <f>'数据-汇总表'!C24</f>
        <v>地下车库用房</v>
      </c>
      <c r="B11" s="2336" t="str">
        <f t="shared" si="1"/>
        <v>经营性</v>
      </c>
      <c r="C11" s="173" t="s">
        <v>2935</v>
      </c>
      <c r="D11" s="2307">
        <f>SUMIF(项目基本情况!D$15:I$15,C11,项目基本情况!D$18:I$18)</f>
        <v>40</v>
      </c>
      <c r="E11" s="2308">
        <f>IF(B11="","",SUMIF(项目基本情况!D$15:I$15,C11,项目基本情况!D$17:I$17))</f>
        <v>57859</v>
      </c>
      <c r="F11" s="174">
        <f>SUMIF(项目基本情况!D$15:I$15,C11,项目基本情况!D$19:I$19)</f>
        <v>39.76</v>
      </c>
      <c r="G11" s="175">
        <f t="shared" si="2"/>
        <v>0.998</v>
      </c>
      <c r="H11" s="176">
        <v>4.4999999999999998E-2</v>
      </c>
      <c r="I11" s="176">
        <v>0.05</v>
      </c>
      <c r="J11" s="176">
        <v>8.5000000000000006E-2</v>
      </c>
      <c r="K11" s="179">
        <f>SUMIF('数据-汇总表'!C$19:C$33,'数据-取费表'!A11,'数据-汇总表'!E$19:E$33)</f>
        <v>0</v>
      </c>
      <c r="L11" s="193">
        <v>2500</v>
      </c>
      <c r="M11" s="177">
        <f t="shared" si="0"/>
        <v>0</v>
      </c>
      <c r="N11" s="194">
        <v>0</v>
      </c>
      <c r="O11" s="177">
        <f t="shared" si="3"/>
        <v>0</v>
      </c>
      <c r="P11" s="178">
        <f t="shared" si="4"/>
        <v>0</v>
      </c>
      <c r="Q11" s="192">
        <v>0.05</v>
      </c>
      <c r="R11" s="179">
        <f>SUMIF('数据-汇总表'!C$19:C$33,A11,'数据-汇总表'!R$19:R$33)</f>
        <v>0</v>
      </c>
      <c r="S11" s="132">
        <f>IF('数据-汇总表'!$I$17="按面积比例",SUMIF('数据-汇总表'!C$19:C$33,A11,'数据-汇总表'!K$19:K$33),SUMIF('数据-汇总表'!C$19:C$33,A11,'数据-汇总表'!N$19:N$33))</f>
        <v>0</v>
      </c>
      <c r="T11" s="2233">
        <f t="shared" si="5"/>
        <v>0</v>
      </c>
      <c r="U11" s="185">
        <v>2000</v>
      </c>
      <c r="V11" s="3186">
        <v>1.4999999999999999E-2</v>
      </c>
      <c r="W11" s="181">
        <v>0.1</v>
      </c>
      <c r="X11" s="2323"/>
      <c r="Y11" s="182">
        <v>1</v>
      </c>
      <c r="Z11" s="195"/>
      <c r="AA11" s="176"/>
      <c r="AB11" s="176"/>
      <c r="AC11" s="2323"/>
      <c r="AD11" s="184"/>
      <c r="AE11" s="972">
        <f t="shared" ca="1" si="6"/>
        <v>37.76</v>
      </c>
      <c r="AF11" s="141"/>
      <c r="AG11" s="1212">
        <f t="shared" si="7"/>
        <v>0</v>
      </c>
      <c r="AH11" s="141">
        <v>500</v>
      </c>
      <c r="AI11" s="187">
        <v>12</v>
      </c>
      <c r="AJ11" s="188"/>
      <c r="AK11" s="189">
        <v>1.4999999999999999E-2</v>
      </c>
      <c r="AL11" s="190">
        <v>1.5E-3</v>
      </c>
      <c r="AM11" s="3039">
        <v>0.01</v>
      </c>
      <c r="AN11" s="2391" t="str">
        <f>定义!B10</f>
        <v>收益法-地下车库</v>
      </c>
      <c r="AO11" s="1999"/>
      <c r="AP11" s="1203">
        <f t="shared" si="8"/>
        <v>0.82599999999999996</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2276</v>
      </c>
      <c r="B14" s="2305" t="s">
        <v>1644</v>
      </c>
      <c r="C14" s="2306" t="s">
        <v>2276</v>
      </c>
      <c r="D14" s="2307"/>
      <c r="E14" s="2308"/>
      <c r="F14" s="174"/>
      <c r="G14" s="175"/>
      <c r="H14" s="2309"/>
      <c r="I14" s="2309"/>
      <c r="J14" s="2309"/>
      <c r="K14" s="179">
        <f>SUMIF('数据-汇总表'!C$19:C$33,'数据-取费表'!A14,'数据-汇总表'!E$19:E$33)</f>
        <v>25889</v>
      </c>
      <c r="L14" s="193">
        <v>2500</v>
      </c>
      <c r="M14" s="177">
        <f t="shared" si="0"/>
        <v>6472</v>
      </c>
      <c r="N14" s="194">
        <v>0</v>
      </c>
      <c r="O14" s="177">
        <f t="shared" si="3"/>
        <v>0</v>
      </c>
      <c r="P14" s="178">
        <f t="shared" si="4"/>
        <v>6472</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2278</v>
      </c>
      <c r="B15" s="2305" t="s">
        <v>1644</v>
      </c>
      <c r="C15" s="2306" t="s">
        <v>2277</v>
      </c>
      <c r="D15" s="2307"/>
      <c r="E15" s="2308"/>
      <c r="F15" s="174"/>
      <c r="G15" s="175"/>
      <c r="H15" s="2309"/>
      <c r="I15" s="2309"/>
      <c r="J15" s="2309"/>
      <c r="K15" s="179">
        <f>SUMIF('数据-汇总表'!C$19:C$33,'数据-取费表'!A15,'数据-汇总表'!E$19:E$33)</f>
        <v>11150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227</v>
      </c>
      <c r="B16" s="199"/>
      <c r="C16" s="200"/>
      <c r="D16" s="201"/>
      <c r="E16" s="199"/>
      <c r="F16" s="199"/>
      <c r="G16" s="202">
        <f>ROUND(SUMPRODUCT(G6:G13,K6:K13)/SUMPRODUCT((G6:G13&gt;0)*(K6:K13)),3)</f>
        <v>0.998</v>
      </c>
      <c r="H16" s="203">
        <f>ROUND(SUMPRODUCT(H6:H13,K6:K13)/SUMPRODUCT((H6:H13&gt;0)*(K6:K13)),3)</f>
        <v>4.4999999999999998E-2</v>
      </c>
      <c r="I16" s="204"/>
      <c r="J16" s="204"/>
      <c r="K16" s="205">
        <f>SUM(K6:K15)</f>
        <v>121219</v>
      </c>
      <c r="L16" s="206">
        <f>ROUND(M16*10000/SUM(K6:K14),0)</f>
        <v>4535</v>
      </c>
      <c r="M16" s="206">
        <f>SUM(M6:M14)</f>
        <v>49912</v>
      </c>
      <c r="N16" s="207">
        <f>ROUND(SUMPRODUCT(M6:M14,N6:N14)/M16,3)</f>
        <v>0</v>
      </c>
      <c r="O16" s="206">
        <f>SUM(O6:O14)</f>
        <v>0</v>
      </c>
      <c r="P16" s="206">
        <f>SUM(P6:P14)</f>
        <v>49912</v>
      </c>
      <c r="Q16" s="208">
        <f>ROUND(SUMPRODUCT(Q6:Q13,K6:K13)/SUMPRODUCT((Q6:Q13&gt;0)*(K6:K13)),2)</f>
        <v>0.21</v>
      </c>
      <c r="R16" s="2310">
        <f>SUM(R6:R13)</f>
        <v>9464.5099999999984</v>
      </c>
      <c r="S16" s="209">
        <f>SUM(S6:S13)</f>
        <v>25889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0.82599999999999996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8" t="s">
        <v>239</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7" t="s">
        <v>240</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243</v>
      </c>
      <c r="B33" s="1377">
        <v>0.05</v>
      </c>
      <c r="C33" s="2364" t="s">
        <v>2850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244</v>
      </c>
      <c r="B34" s="233">
        <v>0</v>
      </c>
      <c r="C34" s="2364" t="s">
        <v>2851</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241</v>
      </c>
      <c r="B35" s="229">
        <v>200</v>
      </c>
      <c r="C35" s="2364" t="s">
        <v>2852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245</v>
      </c>
      <c r="B37" s="236">
        <v>0.02</v>
      </c>
      <c r="C37" s="2364" t="s">
        <v>2854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246</v>
      </c>
      <c r="B38" s="233">
        <v>0.02</v>
      </c>
      <c r="C38" s="2364" t="s">
        <v>2854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2416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2417</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248</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250</v>
      </c>
      <c r="B44" s="242">
        <v>7.0000000000000007E-2</v>
      </c>
      <c r="C44" s="2364" t="s">
        <v>2855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251</v>
      </c>
      <c r="B45" s="240">
        <v>0.03</v>
      </c>
      <c r="C45" s="2366" t="s">
        <v>2856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252</v>
      </c>
      <c r="B46" s="240">
        <v>0.02</v>
      </c>
      <c r="C46" s="2366" t="s">
        <v>2857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4" t="s">
        <v>2858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254</v>
      </c>
      <c r="B48" s="246">
        <v>0.03</v>
      </c>
      <c r="C48" s="3075" t="s">
        <v>2859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5" t="s">
        <v>2860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259</v>
      </c>
      <c r="B53" s="251" t="s">
        <v>1121</v>
      </c>
      <c r="C53" s="3076" t="s">
        <v>2861</v>
      </c>
      <c r="D53" s="3077" t="s">
        <v>2862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9" t="s">
        <v>2863</v>
      </c>
      <c r="B54" s="186">
        <v>15</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9" t="s">
        <v>2864</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9" t="s">
        <v>2865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9" t="s">
        <v>2866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9" t="s">
        <v>2867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9" t="s">
        <v>2868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9" t="s">
        <v>2869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9" t="s">
        <v>2870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9" t="s">
        <v>2871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2" t="s">
        <v>1628</v>
      </c>
      <c r="B1" s="3293"/>
      <c r="C1" s="3293"/>
      <c r="D1" s="3293"/>
      <c r="E1" s="3293"/>
      <c r="F1" s="3293"/>
      <c r="G1" s="3293"/>
      <c r="H1" s="2001"/>
      <c r="I1" s="2002"/>
      <c r="J1" s="2003"/>
      <c r="K1" s="2001"/>
      <c r="L1" s="2002"/>
      <c r="M1" s="2003"/>
      <c r="N1" s="2001"/>
      <c r="O1" s="2002"/>
      <c r="P1" s="2003"/>
      <c r="Q1" s="2004"/>
      <c r="R1" s="2005"/>
    </row>
    <row r="2" spans="1:18" ht="15" thickBot="1">
      <c r="A2" s="1220"/>
      <c r="B2" s="1221"/>
      <c r="C2" s="1222" t="s">
        <v>1629</v>
      </c>
      <c r="D2" s="1223"/>
      <c r="E2" s="1224"/>
      <c r="F2" s="1225"/>
      <c r="G2" s="1222" t="s">
        <v>1630</v>
      </c>
      <c r="H2" s="2007"/>
      <c r="I2" s="2007"/>
      <c r="J2" s="2007"/>
      <c r="K2" s="2007"/>
      <c r="L2" s="2007"/>
      <c r="M2" s="2007"/>
      <c r="N2" s="2007"/>
      <c r="O2" s="2007"/>
      <c r="P2" s="2007"/>
      <c r="Q2" s="2007"/>
      <c r="R2" s="2007"/>
    </row>
    <row r="3" spans="1:18" ht="28.8">
      <c r="A3" s="1226" t="s">
        <v>1631</v>
      </c>
      <c r="B3" s="1227" t="s">
        <v>1618</v>
      </c>
      <c r="C3" s="3204" t="s">
        <v>3169</v>
      </c>
      <c r="D3" s="2008"/>
      <c r="E3" s="1228" t="s">
        <v>1631</v>
      </c>
      <c r="F3" s="1229" t="s">
        <v>1619</v>
      </c>
      <c r="G3" s="3083"/>
      <c r="H3" s="2007"/>
      <c r="I3" s="2007"/>
      <c r="J3" s="2007"/>
      <c r="K3" s="2007"/>
      <c r="L3" s="2007"/>
      <c r="M3" s="2007"/>
      <c r="N3" s="2007"/>
      <c r="O3" s="2007"/>
      <c r="P3" s="2007"/>
      <c r="Q3" s="2007"/>
      <c r="R3" s="2007"/>
    </row>
    <row r="4" spans="1:18" ht="72">
      <c r="A4" s="1228"/>
      <c r="B4" s="1230" t="s">
        <v>1632</v>
      </c>
      <c r="C4" s="3187" t="s">
        <v>2989</v>
      </c>
      <c r="D4" s="2008"/>
      <c r="E4" s="1231"/>
      <c r="F4" s="1232" t="s">
        <v>1633</v>
      </c>
      <c r="G4" s="3081"/>
      <c r="H4" s="2007"/>
      <c r="I4" s="2007"/>
      <c r="J4" s="2007"/>
      <c r="K4" s="2007"/>
      <c r="L4" s="2007"/>
      <c r="M4" s="2007"/>
      <c r="N4" s="2007"/>
      <c r="O4" s="2007"/>
      <c r="P4" s="2007"/>
      <c r="Q4" s="2007"/>
      <c r="R4" s="2007"/>
    </row>
    <row r="5" spans="1:18" ht="57.6">
      <c r="A5" s="1228"/>
      <c r="B5" s="1230" t="s">
        <v>1634</v>
      </c>
      <c r="C5" s="3187" t="s">
        <v>2990</v>
      </c>
      <c r="D5" s="2008"/>
      <c r="E5" s="1231"/>
      <c r="F5" s="1230" t="s">
        <v>2506</v>
      </c>
      <c r="G5" s="3081"/>
      <c r="H5" s="2007"/>
      <c r="I5" s="2007"/>
      <c r="J5" s="2007"/>
      <c r="K5" s="2007"/>
      <c r="L5" s="2007"/>
      <c r="M5" s="2007"/>
      <c r="N5" s="2007"/>
      <c r="O5" s="2007"/>
      <c r="P5" s="2007"/>
      <c r="Q5" s="2007"/>
      <c r="R5" s="2007"/>
    </row>
    <row r="6" spans="1:18" ht="72">
      <c r="A6" s="1228"/>
      <c r="B6" s="1230" t="s">
        <v>1620</v>
      </c>
      <c r="C6" s="3188" t="s">
        <v>3173</v>
      </c>
      <c r="D6" s="2008"/>
      <c r="E6" s="1231"/>
      <c r="F6" s="1230" t="s">
        <v>2507</v>
      </c>
      <c r="G6" s="3081"/>
      <c r="H6" s="2007"/>
      <c r="I6" s="2007"/>
      <c r="J6" s="2007"/>
      <c r="K6" s="2007"/>
      <c r="L6" s="2007"/>
      <c r="M6" s="2007"/>
      <c r="N6" s="2007"/>
      <c r="O6" s="2007"/>
      <c r="P6" s="2007"/>
      <c r="Q6" s="2007"/>
      <c r="R6" s="2007"/>
    </row>
    <row r="7" spans="1:18" ht="29.4" thickBot="1">
      <c r="A7" s="1228"/>
      <c r="B7" s="1230" t="s">
        <v>2506</v>
      </c>
      <c r="C7" s="3188" t="s">
        <v>2992</v>
      </c>
      <c r="D7" s="2009"/>
      <c r="E7" s="1233"/>
      <c r="F7" s="1234" t="s">
        <v>1635</v>
      </c>
      <c r="G7" s="3084"/>
      <c r="H7" s="2007"/>
      <c r="I7" s="2007"/>
      <c r="J7" s="2007"/>
      <c r="K7" s="2007"/>
      <c r="L7" s="2007"/>
      <c r="M7" s="2007"/>
      <c r="N7" s="2007"/>
      <c r="O7" s="2007"/>
      <c r="P7" s="2007"/>
      <c r="Q7" s="2007"/>
      <c r="R7" s="2007"/>
    </row>
    <row r="8" spans="1:18" ht="28.8">
      <c r="A8" s="1228"/>
      <c r="B8" s="1230" t="s">
        <v>2507</v>
      </c>
      <c r="C8" s="3188" t="s">
        <v>2994</v>
      </c>
      <c r="D8" s="2009"/>
      <c r="E8" s="2009"/>
      <c r="F8" s="1552"/>
      <c r="G8" s="1552"/>
      <c r="H8" s="2007"/>
      <c r="I8" s="2007"/>
      <c r="J8" s="2007"/>
      <c r="K8" s="2007"/>
      <c r="L8" s="2007"/>
      <c r="M8" s="2007"/>
      <c r="N8" s="2007"/>
      <c r="O8" s="2007"/>
      <c r="P8" s="2007"/>
      <c r="Q8" s="2007"/>
      <c r="R8" s="2007"/>
    </row>
    <row r="9" spans="1:18" ht="57.6">
      <c r="A9" s="1228"/>
      <c r="B9" s="1230" t="s">
        <v>1621</v>
      </c>
      <c r="C9" s="3187" t="s">
        <v>2995</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2" t="s">
        <v>2999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1637</v>
      </c>
      <c r="B13" s="2577"/>
      <c r="C13" s="2577"/>
      <c r="D13" s="1223"/>
      <c r="E13" s="2577"/>
      <c r="F13" s="2577"/>
      <c r="G13" s="2577"/>
    </row>
    <row r="14" spans="1:18" ht="15" thickBot="1">
      <c r="A14" s="1237"/>
      <c r="B14" s="1238"/>
      <c r="C14" s="1239" t="s">
        <v>1629</v>
      </c>
      <c r="D14" s="2008"/>
      <c r="E14" s="1240"/>
      <c r="F14" s="1240"/>
      <c r="G14" s="1222" t="s">
        <v>1630</v>
      </c>
    </row>
    <row r="15" spans="1:18" ht="28.8">
      <c r="A15" s="2587" t="s">
        <v>1622</v>
      </c>
      <c r="B15" s="1241" t="s">
        <v>1618</v>
      </c>
      <c r="C15" s="1242" t="str">
        <f>C3</f>
        <v>周边居住社区成熟度较好</v>
      </c>
      <c r="D15" s="2008"/>
      <c r="E15" s="2584" t="s">
        <v>1623</v>
      </c>
      <c r="F15" s="1241" t="s">
        <v>1638</v>
      </c>
      <c r="G15" s="1243">
        <f>G3</f>
        <v>0</v>
      </c>
    </row>
    <row r="16" spans="1:18" ht="72">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7.6">
      <c r="A17" s="2588"/>
      <c r="B17" s="1244" t="s">
        <v>1634</v>
      </c>
      <c r="C17" s="1245" t="str">
        <f>C5</f>
        <v>估价对象位于华强北，周边办公楼项目多，有华美大厦等，入驻率高，办公集聚程度好</v>
      </c>
      <c r="D17" s="2009"/>
      <c r="E17" s="2585"/>
      <c r="F17" s="1246" t="s">
        <v>1639</v>
      </c>
      <c r="G17" s="2793"/>
    </row>
    <row r="18" spans="1:7" ht="72">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9" t="s">
        <v>2997</v>
      </c>
      <c r="D19" s="2008"/>
      <c r="E19" s="2585"/>
      <c r="F19" s="1230" t="s">
        <v>2506</v>
      </c>
      <c r="G19" s="1005">
        <f>G5</f>
        <v>0</v>
      </c>
    </row>
    <row r="20" spans="1:7" ht="57.6">
      <c r="A20" s="2588"/>
      <c r="B20" s="1246" t="s">
        <v>1625</v>
      </c>
      <c r="C20" s="1245" t="str">
        <f>C9</f>
        <v>区域自然环境及人文环境好，周边有深圳城市学院、深圳中心公园；综合评价环境状况好</v>
      </c>
      <c r="D20" s="2009"/>
      <c r="E20" s="2585"/>
      <c r="F20" s="1230" t="s">
        <v>2507</v>
      </c>
      <c r="G20" s="1005">
        <f>G6</f>
        <v>0</v>
      </c>
    </row>
    <row r="21" spans="1:7" ht="28.8">
      <c r="A21" s="2588"/>
      <c r="B21" s="1230" t="s">
        <v>2506</v>
      </c>
      <c r="C21" s="1005" t="str">
        <f>C7</f>
        <v>估价对象所在区域公共配套设施齐备情况好</v>
      </c>
      <c r="D21" s="2008"/>
      <c r="E21" s="2585"/>
      <c r="F21" s="1246" t="s">
        <v>1626</v>
      </c>
      <c r="G21" s="3085"/>
    </row>
    <row r="22" spans="1:7" ht="28.8">
      <c r="A22" s="2588"/>
      <c r="B22" s="1230" t="s">
        <v>2507</v>
      </c>
      <c r="C22" s="1005" t="str">
        <f>C8</f>
        <v>估价对象所在区域基础设施水平高</v>
      </c>
      <c r="D22" s="2008"/>
      <c r="E22" s="2585"/>
      <c r="F22" s="1246" t="s">
        <v>1636</v>
      </c>
      <c r="G22" s="2793"/>
    </row>
    <row r="23" spans="1:7" ht="15" thickBot="1">
      <c r="A23" s="2588"/>
      <c r="B23" s="1246" t="s">
        <v>1626</v>
      </c>
      <c r="C23" s="3085" t="s">
        <v>2998</v>
      </c>
      <c r="E23" s="2586"/>
      <c r="F23" s="1247" t="s">
        <v>1640</v>
      </c>
      <c r="G23" s="3086"/>
    </row>
    <row r="24" spans="1:7" ht="1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5" t="s">
        <v>2804</v>
      </c>
      <c r="B1" s="3045">
        <f>SUM(B14:B23)</f>
        <v>121219</v>
      </c>
      <c r="C1" s="3046"/>
      <c r="D1" s="3046"/>
      <c r="E1" s="3046"/>
      <c r="F1" s="3046"/>
    </row>
    <row r="2" spans="1:9" ht="15.6">
      <c r="A2" s="3045" t="s">
        <v>2805</v>
      </c>
      <c r="B2" s="3045">
        <f>SUM(C14:C23)</f>
        <v>10423.25</v>
      </c>
      <c r="C2" s="3046"/>
      <c r="D2" s="3046"/>
      <c r="E2" s="3046"/>
      <c r="F2" s="3046"/>
    </row>
    <row r="3" spans="1:9" ht="15.6">
      <c r="A3" s="3045" t="s">
        <v>2806</v>
      </c>
      <c r="B3" s="3047">
        <f>项目基本情况!D3</f>
        <v>43343</v>
      </c>
      <c r="C3" s="3046"/>
      <c r="D3" s="3046"/>
      <c r="E3" s="3046"/>
      <c r="F3" s="3046"/>
    </row>
    <row r="4" spans="1:9" ht="31.2">
      <c r="A4" s="3045" t="s">
        <v>2807</v>
      </c>
      <c r="B4" s="3045" t="s">
        <v>2808</v>
      </c>
      <c r="C4" s="3045" t="s">
        <v>2809</v>
      </c>
      <c r="D4" s="3045" t="s">
        <v>2810</v>
      </c>
      <c r="E4" s="3046"/>
      <c r="F4" s="3046"/>
    </row>
    <row r="5" spans="1:9" ht="15.6">
      <c r="A5" s="3045" t="s">
        <v>2811</v>
      </c>
      <c r="B5" s="3045">
        <f ca="1">SUM(D14:D23)</f>
        <v>370297</v>
      </c>
      <c r="C5" s="3045">
        <f ca="1">ROUND(B5*10000/$B$1,0)</f>
        <v>30548</v>
      </c>
      <c r="D5" s="3045">
        <f ca="1">ROUND(B5*10000/$B$2,0)</f>
        <v>355261</v>
      </c>
      <c r="E5" s="3046"/>
      <c r="F5" s="3046"/>
    </row>
    <row r="6" spans="1:9" ht="15.6">
      <c r="A6" s="3045" t="s">
        <v>2812</v>
      </c>
      <c r="B6" s="3045">
        <f ca="1">SUM(G14:G23)</f>
        <v>370297</v>
      </c>
      <c r="C6" s="3045">
        <f t="shared" ref="C6:C8" ca="1" si="0">ROUND(B6*10000/$B$1,0)</f>
        <v>30548</v>
      </c>
      <c r="D6" s="3045">
        <f t="shared" ref="D6:D8" ca="1" si="1">ROUND(B6*10000/$B$2,0)</f>
        <v>355261</v>
      </c>
      <c r="E6" s="3046"/>
      <c r="F6" s="3046"/>
    </row>
    <row r="7" spans="1:9" ht="15.6">
      <c r="A7" s="3045" t="s">
        <v>2813</v>
      </c>
      <c r="B7" s="3045">
        <f>SUM(H14:H23)</f>
        <v>0</v>
      </c>
      <c r="C7" s="3045">
        <f t="shared" si="0"/>
        <v>0</v>
      </c>
      <c r="D7" s="3045">
        <f t="shared" si="1"/>
        <v>0</v>
      </c>
      <c r="E7" s="3046"/>
      <c r="F7" s="3046"/>
    </row>
    <row r="8" spans="1:9" ht="15.6">
      <c r="A8" s="3045" t="s">
        <v>2814</v>
      </c>
      <c r="B8" s="3045">
        <f>SUM(I14:I23)</f>
        <v>0</v>
      </c>
      <c r="C8" s="3045">
        <f t="shared" si="0"/>
        <v>0</v>
      </c>
      <c r="D8" s="3045">
        <f t="shared" si="1"/>
        <v>0</v>
      </c>
      <c r="E8" s="3046"/>
      <c r="F8" s="3046"/>
    </row>
    <row r="9" spans="1:9" ht="15.6">
      <c r="A9" s="3045" t="s">
        <v>2815</v>
      </c>
      <c r="B9" s="3048"/>
      <c r="C9" s="3046"/>
      <c r="D9" s="3046"/>
      <c r="E9" s="3046"/>
      <c r="F9" s="3046"/>
    </row>
    <row r="10" spans="1:9" ht="15.6">
      <c r="A10" s="3045" t="s">
        <v>2816</v>
      </c>
      <c r="B10" s="3048"/>
      <c r="C10" s="3046"/>
      <c r="D10" s="3046"/>
      <c r="E10" s="3046"/>
      <c r="F10" s="3046"/>
    </row>
    <row r="11" spans="1:9" ht="15.6">
      <c r="A11" s="3045" t="s">
        <v>2833</v>
      </c>
      <c r="B11" s="3048"/>
      <c r="C11" s="3046"/>
      <c r="D11" s="3046"/>
      <c r="E11" s="3046"/>
      <c r="F11" s="3046"/>
    </row>
    <row r="12" spans="1:9" ht="15.6">
      <c r="A12" s="3046"/>
      <c r="B12" s="3046"/>
      <c r="C12" s="3046"/>
      <c r="D12" s="3046"/>
      <c r="E12" s="3046"/>
      <c r="F12" s="3046"/>
    </row>
    <row r="13" spans="1:9" ht="31.2">
      <c r="A13" s="3051" t="s">
        <v>2832</v>
      </c>
      <c r="B13" s="3049" t="s">
        <v>2804</v>
      </c>
      <c r="C13" s="3049" t="s">
        <v>2805</v>
      </c>
      <c r="D13" s="3049" t="s">
        <v>2817</v>
      </c>
      <c r="E13" s="3045" t="s">
        <v>2831</v>
      </c>
      <c r="F13" s="3045" t="s">
        <v>2810</v>
      </c>
      <c r="G13" s="3049" t="s">
        <v>2818</v>
      </c>
      <c r="H13" s="3049" t="s">
        <v>2819</v>
      </c>
      <c r="I13" s="3049" t="s">
        <v>2820</v>
      </c>
    </row>
    <row r="14" spans="1:9" ht="15.6">
      <c r="A14" s="3052" t="s">
        <v>2830</v>
      </c>
      <c r="B14" s="3049">
        <f>结果表!L38</f>
        <v>121219</v>
      </c>
      <c r="C14" s="3049">
        <f>结果表!K38</f>
        <v>10423.25</v>
      </c>
      <c r="D14" s="3049">
        <f ca="1">结果表!C42</f>
        <v>370297</v>
      </c>
      <c r="E14" s="3049">
        <f ca="1">ROUND(D14*10000/B14,0)</f>
        <v>30548</v>
      </c>
      <c r="F14" s="3049">
        <f ca="1">ROUND(D14*10000/C14,0)</f>
        <v>355261</v>
      </c>
      <c r="G14" s="3049">
        <f ca="1">结果表!C44</f>
        <v>370297</v>
      </c>
      <c r="H14" s="3049" t="str">
        <f>结果表!C45</f>
        <v>——</v>
      </c>
      <c r="I14" s="3049" t="str">
        <f>结果表!C46</f>
        <v>——</v>
      </c>
    </row>
    <row r="15" spans="1:9" ht="15.6">
      <c r="A15" s="3052" t="s">
        <v>2821</v>
      </c>
      <c r="B15" s="3053"/>
      <c r="C15" s="3053"/>
      <c r="D15" s="3053"/>
      <c r="E15" s="3049" t="e">
        <f t="shared" ref="E15:E23" si="2">ROUND(D15*10000/B15,0)</f>
        <v>#DIV/0!</v>
      </c>
      <c r="F15" s="3049" t="e">
        <f t="shared" ref="F15:F23" si="3">ROUND(D15*10000/C15,0)</f>
        <v>#DIV/0!</v>
      </c>
      <c r="G15" s="3050"/>
      <c r="H15" s="3050"/>
      <c r="I15" s="3053"/>
    </row>
    <row r="16" spans="1:9" ht="15.6">
      <c r="A16" s="3052" t="s">
        <v>2822</v>
      </c>
      <c r="B16" s="3053"/>
      <c r="C16" s="3053"/>
      <c r="D16" s="3053"/>
      <c r="E16" s="3049" t="e">
        <f t="shared" si="2"/>
        <v>#DIV/0!</v>
      </c>
      <c r="F16" s="3049" t="e">
        <f t="shared" si="3"/>
        <v>#DIV/0!</v>
      </c>
      <c r="G16" s="3050"/>
      <c r="H16" s="3050"/>
      <c r="I16" s="3053"/>
    </row>
    <row r="17" spans="1:9" ht="15.6">
      <c r="A17" s="3052" t="s">
        <v>2823</v>
      </c>
      <c r="B17" s="3053"/>
      <c r="C17" s="3053"/>
      <c r="D17" s="3053"/>
      <c r="E17" s="3049" t="e">
        <f t="shared" si="2"/>
        <v>#DIV/0!</v>
      </c>
      <c r="F17" s="3049" t="e">
        <f t="shared" si="3"/>
        <v>#DIV/0!</v>
      </c>
      <c r="G17" s="3050"/>
      <c r="H17" s="3050"/>
      <c r="I17" s="3053"/>
    </row>
    <row r="18" spans="1:9" ht="15.6">
      <c r="A18" s="3052" t="s">
        <v>2824</v>
      </c>
      <c r="B18" s="3053"/>
      <c r="C18" s="3053"/>
      <c r="D18" s="3053"/>
      <c r="E18" s="3049" t="e">
        <f t="shared" si="2"/>
        <v>#DIV/0!</v>
      </c>
      <c r="F18" s="3049" t="e">
        <f t="shared" si="3"/>
        <v>#DIV/0!</v>
      </c>
      <c r="G18" s="3053"/>
      <c r="H18" s="3053"/>
      <c r="I18" s="3053"/>
    </row>
    <row r="19" spans="1:9" ht="15.6">
      <c r="A19" s="3052" t="s">
        <v>2825</v>
      </c>
      <c r="B19" s="3053"/>
      <c r="C19" s="3053"/>
      <c r="D19" s="3053"/>
      <c r="E19" s="3049" t="e">
        <f t="shared" si="2"/>
        <v>#DIV/0!</v>
      </c>
      <c r="F19" s="3049" t="e">
        <f t="shared" si="3"/>
        <v>#DIV/0!</v>
      </c>
      <c r="G19" s="3053"/>
      <c r="H19" s="3053"/>
      <c r="I19" s="3053"/>
    </row>
    <row r="20" spans="1:9" ht="15.6">
      <c r="A20" s="3052" t="s">
        <v>2826</v>
      </c>
      <c r="B20" s="3053"/>
      <c r="C20" s="3053"/>
      <c r="D20" s="3053"/>
      <c r="E20" s="3049" t="e">
        <f t="shared" si="2"/>
        <v>#DIV/0!</v>
      </c>
      <c r="F20" s="3049" t="e">
        <f t="shared" si="3"/>
        <v>#DIV/0!</v>
      </c>
      <c r="G20" s="3053"/>
      <c r="H20" s="3053"/>
      <c r="I20" s="3053"/>
    </row>
    <row r="21" spans="1:9" ht="15.6">
      <c r="A21" s="3052" t="s">
        <v>2827</v>
      </c>
      <c r="B21" s="3053"/>
      <c r="C21" s="3053"/>
      <c r="D21" s="3053"/>
      <c r="E21" s="3049" t="e">
        <f t="shared" si="2"/>
        <v>#DIV/0!</v>
      </c>
      <c r="F21" s="3049" t="e">
        <f t="shared" si="3"/>
        <v>#DIV/0!</v>
      </c>
      <c r="G21" s="3053"/>
      <c r="H21" s="3053"/>
      <c r="I21" s="3053"/>
    </row>
    <row r="22" spans="1:9" ht="15.6">
      <c r="A22" s="3052" t="s">
        <v>2828</v>
      </c>
      <c r="B22" s="3053"/>
      <c r="C22" s="3053"/>
      <c r="D22" s="3053"/>
      <c r="E22" s="3049" t="e">
        <f t="shared" si="2"/>
        <v>#DIV/0!</v>
      </c>
      <c r="F22" s="3049" t="e">
        <f t="shared" si="3"/>
        <v>#DIV/0!</v>
      </c>
      <c r="G22" s="3053"/>
      <c r="H22" s="3053"/>
      <c r="I22" s="3053"/>
    </row>
    <row r="23" spans="1:9" ht="15.6">
      <c r="A23" s="3052" t="s">
        <v>2829</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111" sqref="I111"/>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5" t="s">
        <v>2017</v>
      </c>
      <c r="B1" s="1776"/>
      <c r="C1" s="1804" t="s">
        <v>2018</v>
      </c>
      <c r="D1" s="1805" t="s">
        <v>2957</v>
      </c>
      <c r="E1" s="1804" t="s">
        <v>2019</v>
      </c>
      <c r="F1" s="1806" t="s">
        <v>2958</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深圳市莱茵达路以北、嘉华路以西出让国有建设用地使用权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3.8">
      <c r="A3" s="3323" t="s">
        <v>263</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4">
      <c r="A4" s="258" t="s">
        <v>264</v>
      </c>
      <c r="B4" s="259" t="s">
        <v>265</v>
      </c>
      <c r="C4" s="260" t="s">
        <v>2959</v>
      </c>
      <c r="D4" s="260" t="s">
        <v>2960</v>
      </c>
      <c r="E4" s="3295" t="s">
        <v>266</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294" t="s">
        <v>267</v>
      </c>
      <c r="B5" s="3320">
        <v>25</v>
      </c>
      <c r="C5" s="3318"/>
      <c r="D5" s="3322"/>
      <c r="E5" s="261" t="s">
        <v>268</v>
      </c>
      <c r="F5" s="262"/>
      <c r="G5" s="262"/>
      <c r="H5" s="262"/>
      <c r="I5" s="263"/>
      <c r="J5" s="2029"/>
      <c r="K5" s="2028"/>
      <c r="L5" s="2028"/>
      <c r="M5" s="2028"/>
      <c r="N5" s="2028"/>
      <c r="O5" s="2028"/>
      <c r="P5" s="2028"/>
      <c r="Q5" s="2028"/>
      <c r="R5" s="2028"/>
      <c r="S5" s="2028"/>
      <c r="T5" s="2028"/>
      <c r="U5" s="2028"/>
      <c r="V5" s="2028"/>
    </row>
    <row r="6" spans="1:22" ht="13.8">
      <c r="A6" s="3294"/>
      <c r="B6" s="3320"/>
      <c r="C6" s="3321"/>
      <c r="D6" s="3322"/>
      <c r="E6" s="261" t="s">
        <v>269</v>
      </c>
      <c r="F6" s="262"/>
      <c r="G6" s="262"/>
      <c r="H6" s="262"/>
      <c r="I6" s="263"/>
      <c r="J6" s="2029"/>
      <c r="K6" s="2028"/>
      <c r="L6" s="2028"/>
      <c r="M6" s="2028"/>
      <c r="N6" s="2028"/>
      <c r="O6" s="2028"/>
      <c r="P6" s="2028"/>
      <c r="Q6" s="2028"/>
      <c r="R6" s="2028"/>
      <c r="S6" s="2028"/>
      <c r="T6" s="2028"/>
      <c r="U6" s="2028"/>
      <c r="V6" s="2028"/>
    </row>
    <row r="7" spans="1:22" ht="13.8">
      <c r="A7" s="3294"/>
      <c r="B7" s="3320"/>
      <c r="C7" s="3319"/>
      <c r="D7" s="3322"/>
      <c r="E7" s="261" t="s">
        <v>270</v>
      </c>
      <c r="F7" s="262"/>
      <c r="G7" s="262"/>
      <c r="H7" s="262"/>
      <c r="I7" s="263"/>
      <c r="J7" s="2029"/>
      <c r="K7" s="2028"/>
      <c r="L7" s="2028"/>
      <c r="M7" s="2028"/>
      <c r="N7" s="2028"/>
      <c r="O7" s="2028"/>
      <c r="P7" s="2028"/>
      <c r="Q7" s="2028"/>
      <c r="R7" s="2028"/>
      <c r="S7" s="2028"/>
      <c r="T7" s="2028"/>
      <c r="U7" s="2028"/>
      <c r="V7" s="2028"/>
    </row>
    <row r="8" spans="1:22" ht="13.8">
      <c r="A8" s="3294" t="s">
        <v>271</v>
      </c>
      <c r="B8" s="3320">
        <v>15</v>
      </c>
      <c r="C8" s="3318"/>
      <c r="D8" s="3322"/>
      <c r="E8" s="261" t="s">
        <v>272</v>
      </c>
      <c r="F8" s="262"/>
      <c r="G8" s="262"/>
      <c r="H8" s="262"/>
      <c r="I8" s="263"/>
      <c r="J8" s="2029"/>
      <c r="K8" s="2028"/>
      <c r="L8" s="2028"/>
      <c r="M8" s="2028"/>
      <c r="N8" s="2028"/>
      <c r="O8" s="2028"/>
      <c r="P8" s="2028"/>
      <c r="Q8" s="2028"/>
      <c r="R8" s="2028"/>
      <c r="S8" s="2028"/>
      <c r="T8" s="2028"/>
      <c r="U8" s="2028"/>
      <c r="V8" s="2028"/>
    </row>
    <row r="9" spans="1:22" ht="13.8">
      <c r="A9" s="3294"/>
      <c r="B9" s="3320"/>
      <c r="C9" s="3319"/>
      <c r="D9" s="3322"/>
      <c r="E9" s="261" t="s">
        <v>273</v>
      </c>
      <c r="F9" s="262"/>
      <c r="G9" s="262"/>
      <c r="H9" s="262"/>
      <c r="I9" s="263"/>
      <c r="J9" s="2029"/>
      <c r="K9" s="2028"/>
      <c r="L9" s="2028"/>
      <c r="M9" s="2028"/>
      <c r="N9" s="2028"/>
      <c r="O9" s="2028"/>
      <c r="P9" s="2028"/>
      <c r="Q9" s="2028"/>
      <c r="R9" s="2028"/>
      <c r="S9" s="2028"/>
      <c r="T9" s="2028"/>
      <c r="U9" s="2028"/>
      <c r="V9" s="2028"/>
    </row>
    <row r="10" spans="1:22" ht="13.8">
      <c r="A10" s="3294" t="s">
        <v>274</v>
      </c>
      <c r="B10" s="3320">
        <v>15</v>
      </c>
      <c r="C10" s="3318"/>
      <c r="D10" s="3322"/>
      <c r="E10" s="261" t="s">
        <v>275</v>
      </c>
      <c r="F10" s="262"/>
      <c r="G10" s="262"/>
      <c r="H10" s="262"/>
      <c r="I10" s="263"/>
      <c r="J10" s="2029"/>
      <c r="K10" s="2028"/>
      <c r="L10" s="2028"/>
      <c r="M10" s="2028"/>
      <c r="N10" s="2028"/>
      <c r="O10" s="2028"/>
      <c r="P10" s="2028"/>
      <c r="Q10" s="2028"/>
      <c r="R10" s="2028"/>
      <c r="S10" s="2028"/>
      <c r="T10" s="2028"/>
      <c r="U10" s="2028"/>
      <c r="V10" s="2028"/>
    </row>
    <row r="11" spans="1:22" ht="13.8">
      <c r="A11" s="3294"/>
      <c r="B11" s="3320"/>
      <c r="C11" s="3319"/>
      <c r="D11" s="3322"/>
      <c r="E11" s="261" t="s">
        <v>276</v>
      </c>
      <c r="F11" s="262"/>
      <c r="G11" s="262"/>
      <c r="H11" s="262"/>
      <c r="I11" s="263"/>
      <c r="J11" s="2029"/>
      <c r="K11" s="2028"/>
      <c r="L11" s="2028"/>
      <c r="M11" s="2028"/>
      <c r="N11" s="2028"/>
      <c r="O11" s="2028"/>
      <c r="P11" s="2028"/>
      <c r="Q11" s="2028"/>
      <c r="R11" s="2028"/>
      <c r="S11" s="2028"/>
      <c r="T11" s="2028"/>
      <c r="U11" s="2028"/>
      <c r="V11" s="2028"/>
    </row>
    <row r="12" spans="1:22" ht="13.8">
      <c r="A12" s="3294" t="s">
        <v>277</v>
      </c>
      <c r="B12" s="3320">
        <v>15</v>
      </c>
      <c r="C12" s="3318"/>
      <c r="D12" s="3322"/>
      <c r="E12" s="261" t="s">
        <v>278</v>
      </c>
      <c r="F12" s="262"/>
      <c r="G12" s="262"/>
      <c r="H12" s="262"/>
      <c r="I12" s="263"/>
      <c r="J12" s="2029"/>
      <c r="K12" s="2028"/>
      <c r="L12" s="2028"/>
      <c r="M12" s="2028"/>
      <c r="N12" s="2028"/>
      <c r="O12" s="2028"/>
      <c r="P12" s="2028"/>
      <c r="Q12" s="2028"/>
      <c r="R12" s="2028"/>
      <c r="S12" s="2028"/>
      <c r="T12" s="2028"/>
      <c r="U12" s="2028"/>
      <c r="V12" s="2028"/>
    </row>
    <row r="13" spans="1:22" ht="13.8">
      <c r="A13" s="3294"/>
      <c r="B13" s="3320"/>
      <c r="C13" s="3319"/>
      <c r="D13" s="3322"/>
      <c r="E13" s="261" t="s">
        <v>279</v>
      </c>
      <c r="F13" s="262"/>
      <c r="G13" s="262"/>
      <c r="H13" s="262"/>
      <c r="I13" s="263"/>
      <c r="J13" s="2029"/>
      <c r="K13" s="2028"/>
      <c r="L13" s="2028"/>
      <c r="M13" s="2028"/>
      <c r="N13" s="2028"/>
      <c r="O13" s="2028"/>
      <c r="P13" s="2028"/>
      <c r="Q13" s="2028"/>
      <c r="R13" s="2028"/>
      <c r="S13" s="2028"/>
      <c r="T13" s="2028"/>
      <c r="U13" s="2028"/>
      <c r="V13" s="2028"/>
    </row>
    <row r="14" spans="1:22" ht="13.8">
      <c r="A14" s="3294" t="s">
        <v>280</v>
      </c>
      <c r="B14" s="3320">
        <v>30</v>
      </c>
      <c r="C14" s="3318">
        <v>5</v>
      </c>
      <c r="D14" s="3322">
        <v>5</v>
      </c>
      <c r="E14" s="261" t="s">
        <v>281</v>
      </c>
      <c r="F14" s="262"/>
      <c r="G14" s="262"/>
      <c r="H14" s="262"/>
      <c r="I14" s="263"/>
      <c r="J14" s="2029"/>
      <c r="K14" s="2028"/>
      <c r="L14" s="2028"/>
      <c r="M14" s="2028"/>
      <c r="N14" s="2028"/>
      <c r="O14" s="2028"/>
      <c r="P14" s="2028"/>
      <c r="Q14" s="2028"/>
      <c r="R14" s="2028"/>
      <c r="S14" s="2028"/>
      <c r="T14" s="2028"/>
      <c r="U14" s="2028"/>
      <c r="V14" s="2028"/>
    </row>
    <row r="15" spans="1:22" ht="13.8">
      <c r="A15" s="3294"/>
      <c r="B15" s="3320"/>
      <c r="C15" s="3321"/>
      <c r="D15" s="3322"/>
      <c r="E15" s="261" t="s">
        <v>282</v>
      </c>
      <c r="F15" s="262"/>
      <c r="G15" s="262"/>
      <c r="H15" s="262"/>
      <c r="I15" s="263"/>
      <c r="J15" s="2029"/>
      <c r="K15" s="2028"/>
      <c r="L15" s="2028"/>
      <c r="M15" s="2028"/>
      <c r="N15" s="2028"/>
      <c r="O15" s="2028"/>
      <c r="P15" s="2028"/>
      <c r="Q15" s="2028"/>
      <c r="R15" s="2028"/>
      <c r="S15" s="2028"/>
      <c r="T15" s="2028"/>
      <c r="U15" s="2028"/>
      <c r="V15" s="2028"/>
    </row>
    <row r="16" spans="1:22" ht="13.8">
      <c r="A16" s="3294"/>
      <c r="B16" s="3320"/>
      <c r="C16" s="3319"/>
      <c r="D16" s="3322"/>
      <c r="E16" s="261" t="s">
        <v>283</v>
      </c>
      <c r="F16" s="262"/>
      <c r="G16" s="262"/>
      <c r="H16" s="262"/>
      <c r="I16" s="263"/>
      <c r="J16" s="2029"/>
      <c r="K16" s="2028"/>
      <c r="L16" s="2028"/>
      <c r="M16" s="2028"/>
      <c r="N16" s="2028"/>
      <c r="O16" s="2028"/>
      <c r="P16" s="2028"/>
      <c r="Q16" s="2028"/>
      <c r="R16" s="2028"/>
      <c r="S16" s="2028"/>
      <c r="T16" s="2028"/>
      <c r="U16" s="2028"/>
      <c r="V16" s="2028"/>
    </row>
    <row r="17" spans="1:26" ht="14.4">
      <c r="A17" s="264" t="s">
        <v>284</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285</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286</v>
      </c>
      <c r="B19" s="269" t="s">
        <v>287</v>
      </c>
      <c r="C19" s="270">
        <f ca="1">SUMIF(INDIRECT("'"&amp;C4&amp;"'"&amp;"!A:A"),结果表!B19,INDIRECT("'"&amp;C4&amp;"'"&amp;"!B:B"))</f>
        <v>362784</v>
      </c>
      <c r="D19" s="271">
        <f ca="1">SUMIF(INDIRECT("'"&amp;D4&amp;"'"&amp;"!A:A"),结果表!B19,INDIRECT("'"&amp;D4&amp;"'"&amp;"!B:B"))</f>
        <v>377809</v>
      </c>
      <c r="E19" s="268" t="s">
        <v>288</v>
      </c>
      <c r="F19" s="269" t="s">
        <v>287</v>
      </c>
      <c r="G19" s="272">
        <f ca="1">ROUND(C19*$C$18+D19*$D$18,0)</f>
        <v>370297</v>
      </c>
      <c r="H19" s="273" t="s">
        <v>289</v>
      </c>
      <c r="I19" s="311"/>
      <c r="J19" s="2028"/>
      <c r="K19" s="2028"/>
      <c r="L19" s="2028"/>
      <c r="M19" s="2028"/>
      <c r="N19" s="2028"/>
      <c r="O19" s="2028"/>
      <c r="P19" s="2028"/>
      <c r="Q19" s="2028"/>
      <c r="R19" s="2028"/>
      <c r="S19" s="2028"/>
      <c r="T19" s="2028"/>
      <c r="U19" s="2028"/>
      <c r="V19" s="2028"/>
    </row>
    <row r="20" spans="1:26" ht="14.4">
      <c r="A20" s="274"/>
      <c r="B20" s="275" t="s">
        <v>290</v>
      </c>
      <c r="C20" s="276">
        <f ca="1">SUMIF(INDIRECT("'"&amp;C4&amp;"'"&amp;"!A:A"),结果表!B20,INDIRECT("'"&amp;C4&amp;"'"&amp;"!B:B"))</f>
        <v>29928</v>
      </c>
      <c r="D20" s="277">
        <f ca="1">SUMIF(INDIRECT("'"&amp;D4&amp;"'"&amp;"!A:A"),结果表!B20,INDIRECT("'"&amp;D4&amp;"'"&amp;"!B:B"))</f>
        <v>31167</v>
      </c>
      <c r="E20" s="274"/>
      <c r="F20" s="275" t="s">
        <v>290</v>
      </c>
      <c r="G20" s="278">
        <f ca="1">ROUND(C20*$C$18+D20*$D$18,0)</f>
        <v>30548</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348053</v>
      </c>
      <c r="D21" s="151">
        <f ca="1">SUMIF(INDIRECT("'"&amp;D4&amp;"'"&amp;"!A:A"),结果表!B21,INDIRECT("'"&amp;D4&amp;"'"&amp;"!B:B"))</f>
        <v>362468</v>
      </c>
      <c r="E21" s="274"/>
      <c r="F21" s="280" t="s">
        <v>292</v>
      </c>
      <c r="G21" s="282">
        <f ca="1">ROUND(C21*$C$18+D21*$D$18,0)</f>
        <v>355261</v>
      </c>
      <c r="H21" s="1250" t="s">
        <v>291</v>
      </c>
      <c r="I21" s="311"/>
      <c r="J21" s="2028"/>
      <c r="K21" s="2028"/>
      <c r="L21" s="2028"/>
      <c r="M21" s="2028"/>
      <c r="N21" s="2028"/>
      <c r="O21" s="2028"/>
      <c r="P21" s="2028"/>
      <c r="Q21" s="2028"/>
      <c r="R21" s="2028"/>
      <c r="S21" s="2028"/>
      <c r="T21" s="2028"/>
      <c r="U21" s="2028"/>
      <c r="V21" s="2028"/>
    </row>
    <row r="22" spans="1:26" ht="15" thickBot="1">
      <c r="A22" s="126" t="s">
        <v>293</v>
      </c>
      <c r="B22" s="1251"/>
      <c r="C22" s="1252"/>
      <c r="D22" s="283">
        <f ca="1">IF(C19&lt;D19,D19/C19-1,C19/D19-1)</f>
        <v>4.1415828702478619E-2</v>
      </c>
      <c r="E22" s="284"/>
      <c r="F22" s="285"/>
      <c r="G22" s="286">
        <f ca="1">ROUND(G19/('数据-汇总表'!D3/666.67),0)</f>
        <v>23684</v>
      </c>
      <c r="H22" s="287" t="s">
        <v>294</v>
      </c>
      <c r="I22" s="311"/>
      <c r="J22" s="2028"/>
      <c r="K22" s="2028">
        <f>ROUND(657090127/10000/30%,2)</f>
        <v>219030.04</v>
      </c>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01"/>
      <c r="B25" s="1320" t="s">
        <v>296</v>
      </c>
      <c r="C25" s="290">
        <f>IF(B30=0,0,C30)</f>
        <v>0</v>
      </c>
      <c r="D25" s="291"/>
      <c r="E25" s="311"/>
      <c r="F25" s="311"/>
      <c r="G25" s="311"/>
      <c r="H25" s="311"/>
      <c r="I25" s="311"/>
      <c r="J25" s="2028"/>
      <c r="K25" s="1254" t="str">
        <f ca="1">项目基本情况!B16&amp;"国有建设用地使用权价格："&amp;O38&amp;"万元"</f>
        <v>出让国有建设用地使用权价格：370297万元</v>
      </c>
      <c r="L25" s="1255"/>
      <c r="M25" s="1255"/>
      <c r="N25" s="1255"/>
      <c r="O25" s="1256"/>
      <c r="P25" s="2028"/>
      <c r="Q25" s="2028"/>
      <c r="R25" s="2028"/>
      <c r="S25" s="2028"/>
      <c r="T25" s="2028"/>
      <c r="U25" s="2028"/>
      <c r="V25" s="2028"/>
    </row>
    <row r="26" spans="1:26" s="1253" customFormat="1" ht="17.399999999999999">
      <c r="A26" s="293" t="s">
        <v>297</v>
      </c>
      <c r="B26" s="294" t="s">
        <v>298</v>
      </c>
      <c r="C26" s="294" t="s">
        <v>299</v>
      </c>
      <c r="D26" s="295" t="s">
        <v>300</v>
      </c>
      <c r="E26" s="311"/>
      <c r="F26" s="311"/>
      <c r="G26" s="311"/>
      <c r="H26" s="311"/>
      <c r="I26" s="311"/>
      <c r="J26" s="2028"/>
      <c r="K26" s="1257" t="str">
        <f ca="1">"大写金额：人民币"&amp;NUMBERSTRING(INT(O38*10000),2)&amp;"元整"</f>
        <v>大写金额：人民币叁拾柒亿零贰佰玖拾柒万元整</v>
      </c>
      <c r="L26" s="1251"/>
      <c r="M26" s="1251"/>
      <c r="N26" s="1251"/>
      <c r="O26" s="1250"/>
      <c r="P26" s="2028"/>
      <c r="Q26" s="2028"/>
      <c r="R26" s="2028"/>
      <c r="S26" s="2028"/>
      <c r="T26" s="2028"/>
      <c r="U26" s="2028"/>
      <c r="V26" s="2028"/>
      <c r="W26" s="292"/>
      <c r="X26" s="292"/>
      <c r="Y26" s="292"/>
      <c r="Z26" s="292"/>
    </row>
    <row r="27" spans="1:26" ht="17.399999999999999">
      <c r="A27" s="293"/>
      <c r="B27" s="294"/>
      <c r="C27" s="294"/>
      <c r="D27" s="3184">
        <f ca="1">G19/'数据-汇总表'!F27*10000</f>
        <v>49124.038206420802</v>
      </c>
      <c r="E27" s="311"/>
      <c r="F27" s="311"/>
      <c r="G27" s="311"/>
      <c r="H27" s="311"/>
      <c r="I27" s="311"/>
      <c r="J27" s="2028"/>
      <c r="K27" s="1257" t="str">
        <f ca="1">"单位面积地价："&amp;M38&amp;"元/平方米"</f>
        <v>单位面积地价：355261元/平方米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楼面地价：30548元/平方米</v>
      </c>
      <c r="L28" s="1251"/>
      <c r="M28" s="1251"/>
      <c r="N28" s="1251"/>
      <c r="O28" s="1250"/>
      <c r="P28" s="2028"/>
      <c r="V28" s="2028"/>
    </row>
    <row r="29" spans="1:26" ht="17.399999999999999">
      <c r="A29" s="293"/>
      <c r="B29" s="294"/>
      <c r="C29" s="294"/>
      <c r="D29" s="295"/>
      <c r="E29" s="311"/>
      <c r="F29" s="311"/>
      <c r="G29" s="311"/>
      <c r="H29" s="311"/>
      <c r="I29" s="311"/>
      <c r="J29" s="2028"/>
      <c r="K29" s="1257" t="str">
        <f ca="1">IF(OR(项目基本情况!E8="抵押价格",项目基本情况!E8="已注销及未注销"),"抵押价格："&amp;O39&amp;"万元","——")</f>
        <v>抵押价格：370297万元</v>
      </c>
      <c r="L29" s="1251"/>
      <c r="M29" s="1251"/>
      <c r="N29" s="1251"/>
      <c r="O29" s="1250"/>
      <c r="P29" s="2028"/>
      <c r="V29" s="2028"/>
    </row>
    <row r="30" spans="1:26" ht="18" thickBot="1">
      <c r="A30" s="3128" t="s">
        <v>301</v>
      </c>
      <c r="B30" s="309"/>
      <c r="C30" s="309"/>
      <c r="D30" s="310"/>
      <c r="E30" s="3129" t="s">
        <v>2917</v>
      </c>
      <c r="F30" s="311"/>
      <c r="G30" s="311"/>
      <c r="H30" s="311"/>
      <c r="I30" s="311"/>
      <c r="J30" s="2028"/>
      <c r="K30" s="1257" t="str">
        <f ca="1">IF(K29="——","——","大写金额：人民币"&amp;NUMBERSTRING(INT(O39*10000),2)&amp;"元整")</f>
        <v>大写金额：人民币叁拾柒亿零贰佰玖拾柒万元整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302</v>
      </c>
      <c r="B32" s="1380" t="s">
        <v>1650</v>
      </c>
      <c r="C32" s="1381">
        <f ca="1">G19-C24</f>
        <v>370297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305</v>
      </c>
      <c r="B33" s="1383" t="s">
        <v>1652</v>
      </c>
      <c r="C33" s="264">
        <f ca="1">ROUND(C32*10000/'数据-汇总表'!E3,0)</f>
        <v>30548</v>
      </c>
      <c r="D33" s="1384" t="s">
        <v>1653</v>
      </c>
      <c r="E33" s="3300"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 thickBot="1">
      <c r="A34" s="300"/>
      <c r="B34" s="1385" t="s">
        <v>1654</v>
      </c>
      <c r="C34" s="264">
        <f ca="1">ROUND(C32*10000/'数据-汇总表'!D3,0)</f>
        <v>355261</v>
      </c>
      <c r="D34" s="1386" t="s">
        <v>1653</v>
      </c>
      <c r="E34" s="3341"/>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 thickBot="1">
      <c r="A35" s="284"/>
      <c r="B35" s="1387"/>
      <c r="C35" s="1388">
        <f ca="1">ROUND(C32/('数据-汇总表'!D3/666.67),0)</f>
        <v>23684</v>
      </c>
      <c r="D35" s="1389" t="s">
        <v>1655</v>
      </c>
      <c r="E35" s="3342"/>
      <c r="F35" s="301" t="s">
        <v>307</v>
      </c>
      <c r="G35" s="982"/>
      <c r="H35" s="981" t="s">
        <v>308</v>
      </c>
      <c r="I35" s="311"/>
      <c r="J35" s="2028"/>
      <c r="K35" s="3315" t="s">
        <v>315</v>
      </c>
      <c r="L35" s="3315" t="s">
        <v>316</v>
      </c>
      <c r="M35" s="1263" t="s">
        <v>317</v>
      </c>
      <c r="N35" s="3315" t="s">
        <v>318</v>
      </c>
      <c r="O35" s="3315" t="s">
        <v>319</v>
      </c>
      <c r="P35" s="2028"/>
      <c r="V35" s="2028"/>
    </row>
    <row r="36" spans="1:26" ht="16.5" customHeight="1">
      <c r="A36" s="303" t="s">
        <v>309</v>
      </c>
      <c r="B36" s="304" t="s">
        <v>298</v>
      </c>
      <c r="C36" s="305" t="s">
        <v>310</v>
      </c>
      <c r="D36" s="305" t="s">
        <v>311</v>
      </c>
      <c r="E36" s="306" t="s">
        <v>312</v>
      </c>
      <c r="F36" s="311"/>
      <c r="G36" s="311"/>
      <c r="H36" s="311"/>
      <c r="I36" s="311"/>
      <c r="J36" s="2030"/>
      <c r="K36" s="3316"/>
      <c r="L36" s="3316"/>
      <c r="M36" s="1265" t="s">
        <v>320</v>
      </c>
      <c r="N36" s="3316"/>
      <c r="O36" s="3316"/>
      <c r="P36" s="2028"/>
      <c r="V36" s="2028"/>
    </row>
    <row r="37" spans="1:26" ht="16.5" customHeight="1" thickBot="1">
      <c r="A37" s="1259" t="s">
        <v>313</v>
      </c>
      <c r="B37" s="307"/>
      <c r="C37" s="294"/>
      <c r="D37" s="294"/>
      <c r="E37" s="295"/>
      <c r="F37" s="311"/>
      <c r="G37" s="311"/>
      <c r="H37" s="311"/>
      <c r="I37" s="311"/>
      <c r="J37" s="2030"/>
      <c r="K37" s="3317"/>
      <c r="L37" s="3317"/>
      <c r="M37" s="1266"/>
      <c r="N37" s="3317"/>
      <c r="O37" s="3317"/>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121219</v>
      </c>
      <c r="M38" s="1268">
        <f ca="1">C34</f>
        <v>355261</v>
      </c>
      <c r="N38" s="1268">
        <f ca="1">C33</f>
        <v>30548</v>
      </c>
      <c r="O38" s="1269">
        <f ca="1">C32</f>
        <v>370297</v>
      </c>
      <c r="P38" s="2028"/>
      <c r="V38" s="2028"/>
    </row>
    <row r="39" spans="1:26" ht="16.5" customHeight="1" thickBot="1">
      <c r="A39" s="1264"/>
      <c r="B39" s="308"/>
      <c r="C39" s="309"/>
      <c r="D39" s="309"/>
      <c r="E39" s="310"/>
      <c r="F39" s="311"/>
      <c r="G39" s="311"/>
      <c r="H39" s="311"/>
      <c r="I39" s="311"/>
      <c r="J39" s="2030"/>
      <c r="K39" s="3360" t="str">
        <f>MID(A44,3,LEN(A44)-2)</f>
        <v>抵押价格</v>
      </c>
      <c r="L39" s="3361"/>
      <c r="M39" s="3361"/>
      <c r="N39" s="3362"/>
      <c r="O39" s="1391">
        <f ca="1">C44</f>
        <v>370297</v>
      </c>
      <c r="P39" s="2028"/>
      <c r="V39" s="2028"/>
    </row>
    <row r="40" spans="1:26" ht="18" thickBot="1">
      <c r="A40" s="104" t="s">
        <v>838</v>
      </c>
      <c r="B40" s="311"/>
      <c r="C40" s="311"/>
      <c r="D40" s="311"/>
      <c r="E40" s="311"/>
      <c r="F40" s="311"/>
      <c r="G40" s="311"/>
      <c r="H40" s="311"/>
      <c r="I40" s="311"/>
      <c r="J40" s="2030"/>
      <c r="K40" s="3360" t="str">
        <f t="shared" ref="K40:K41" si="0">MID(A45,3,LEN(A45)-2)</f>
        <v/>
      </c>
      <c r="L40" s="3361"/>
      <c r="M40" s="3361"/>
      <c r="N40" s="3362"/>
      <c r="O40" s="1391" t="str">
        <f>C45</f>
        <v>——</v>
      </c>
      <c r="P40" s="2028"/>
      <c r="V40" s="2028"/>
    </row>
    <row r="41" spans="1:26" ht="16.2" thickBot="1">
      <c r="A41" s="312" t="s">
        <v>321</v>
      </c>
      <c r="B41" s="313"/>
      <c r="C41" s="314" t="s">
        <v>322</v>
      </c>
      <c r="D41" s="315" t="s">
        <v>323</v>
      </c>
      <c r="E41" s="315" t="s">
        <v>324</v>
      </c>
      <c r="F41" s="316" t="s">
        <v>325</v>
      </c>
      <c r="G41" s="311"/>
      <c r="H41" s="311"/>
      <c r="I41" s="311"/>
      <c r="J41" s="2030"/>
      <c r="K41" s="3360" t="str">
        <f t="shared" si="0"/>
        <v/>
      </c>
      <c r="L41" s="3361"/>
      <c r="M41" s="3361"/>
      <c r="N41" s="3362"/>
      <c r="O41" s="1391" t="str">
        <f>C46</f>
        <v>——</v>
      </c>
      <c r="P41" s="2028"/>
      <c r="V41" s="2028"/>
    </row>
    <row r="42" spans="1:26" ht="31.2">
      <c r="A42" s="3302" t="s">
        <v>2029</v>
      </c>
      <c r="B42" s="3303"/>
      <c r="C42" s="264">
        <f ca="1">C32</f>
        <v>370297</v>
      </c>
      <c r="D42" s="317">
        <f ca="1">C33</f>
        <v>30548</v>
      </c>
      <c r="E42" s="317">
        <f ca="1">C34</f>
        <v>355261</v>
      </c>
      <c r="F42" s="318">
        <f ca="1">C35</f>
        <v>23684</v>
      </c>
      <c r="G42" s="311"/>
      <c r="H42" s="311"/>
      <c r="I42" s="319"/>
      <c r="J42" s="2030"/>
      <c r="K42" s="1270" t="s">
        <v>326</v>
      </c>
      <c r="L42" s="2047" t="s">
        <v>327</v>
      </c>
      <c r="M42" s="1271" t="s">
        <v>328</v>
      </c>
      <c r="N42" s="2048" t="s">
        <v>329</v>
      </c>
      <c r="O42" s="2049" t="s">
        <v>330</v>
      </c>
      <c r="P42" s="2028"/>
      <c r="V42" s="2028"/>
    </row>
    <row r="43" spans="1:26" ht="30">
      <c r="A43" s="3313" t="s">
        <v>2690</v>
      </c>
      <c r="B43" s="3314"/>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362784</v>
      </c>
      <c r="M43" s="1274">
        <f>C18</f>
        <v>0.5</v>
      </c>
      <c r="N43" s="1275">
        <f ca="1">IF(N42="测算结果/万元",G19,G20)</f>
        <v>370297</v>
      </c>
      <c r="O43" s="1276">
        <f ca="1">IF(O42="最终结果/万元",C32,C33)</f>
        <v>370297</v>
      </c>
      <c r="P43" s="2028"/>
      <c r="V43" s="2028"/>
    </row>
    <row r="44" spans="1:26" ht="30.6" thickBot="1">
      <c r="A44" s="3302" t="str">
        <f>IF(OR(项目基本情况!E8="抵押价格",项目基本情况!E8="已注销及未注销"),"3.抵押价格","——")</f>
        <v>3.抵押价格</v>
      </c>
      <c r="B44" s="3303"/>
      <c r="C44" s="264">
        <f ca="1">IF(A44="——","——",C42-C43)</f>
        <v>370297</v>
      </c>
      <c r="D44" s="317">
        <f ca="1">ROUND(C44*10000/'数据-汇总表'!E3,0)</f>
        <v>30548</v>
      </c>
      <c r="E44" s="317">
        <f ca="1">ROUND(C44*10000/'数据-汇总表'!D3,0)</f>
        <v>355261</v>
      </c>
      <c r="F44" s="318">
        <f ca="1">ROUND(C44/('数据-汇总表'!D3/666.67),0)</f>
        <v>23684</v>
      </c>
      <c r="G44" s="311"/>
      <c r="H44" s="311"/>
      <c r="I44" s="319"/>
      <c r="J44" s="2030"/>
      <c r="K44" s="1277" t="str">
        <f>D4</f>
        <v>剩余法-待开发</v>
      </c>
      <c r="L44" s="1278">
        <f ca="1">IF(L42="估价结果/万元",D19,D20)</f>
        <v>377809</v>
      </c>
      <c r="M44" s="1279">
        <f>D18</f>
        <v>0.5</v>
      </c>
      <c r="N44" s="1280"/>
      <c r="O44" s="1281"/>
      <c r="P44" s="2028"/>
      <c r="V44" s="2028"/>
    </row>
    <row r="45" spans="1:26" ht="13.8">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3.2">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3.2">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339</v>
      </c>
      <c r="B63" s="3350"/>
      <c r="C63" s="3351"/>
      <c r="D63" s="341">
        <f ca="1">ROUND(C42*F63,0)</f>
        <v>370297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10" t="s">
        <v>343</v>
      </c>
      <c r="B64" s="3311"/>
      <c r="C64" s="3311"/>
      <c r="D64" s="3311"/>
      <c r="E64" s="3311"/>
      <c r="F64" s="3311"/>
      <c r="G64" s="3312"/>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6.4">
      <c r="A66" s="3306" t="s">
        <v>351</v>
      </c>
      <c r="B66" s="3307"/>
      <c r="C66" s="3307"/>
      <c r="D66" s="261">
        <f ca="1">IF(H66="情况1",0,IF(H66="情况2",D70,IF(H66="情况3",D71,IF(H66="情况4",D72))))</f>
        <v>19749</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64" t="s">
        <v>350</v>
      </c>
      <c r="M66" s="3365"/>
      <c r="N66" s="2458"/>
      <c r="O66" s="2459"/>
      <c r="P66" s="2460"/>
      <c r="Q66" s="2028"/>
      <c r="R66" s="2028"/>
      <c r="S66" s="2028"/>
      <c r="T66" s="2028"/>
      <c r="U66" s="2028"/>
      <c r="V66" s="2028"/>
    </row>
    <row r="67" spans="1:22" ht="25.5" customHeight="1">
      <c r="A67" s="352" t="s">
        <v>355</v>
      </c>
      <c r="B67" s="3297" t="s">
        <v>356</v>
      </c>
      <c r="C67" s="3297"/>
      <c r="D67" s="353">
        <v>0</v>
      </c>
      <c r="E67" s="41" t="s">
        <v>357</v>
      </c>
      <c r="F67" s="62" t="s">
        <v>20</v>
      </c>
      <c r="G67" s="3352"/>
      <c r="H67" s="311"/>
      <c r="I67" s="1291"/>
      <c r="J67" s="2035"/>
      <c r="K67" s="1976">
        <v>2</v>
      </c>
      <c r="L67" s="3363" t="s">
        <v>354</v>
      </c>
      <c r="M67" s="3363"/>
      <c r="N67" s="1324">
        <f>'数据-取费表'!B2</f>
        <v>43343</v>
      </c>
      <c r="O67" s="1324"/>
      <c r="P67" s="1324"/>
      <c r="Q67" s="2028"/>
      <c r="R67" s="2028"/>
      <c r="S67" s="2028"/>
      <c r="T67" s="2028"/>
      <c r="U67" s="2028"/>
      <c r="V67" s="2028"/>
    </row>
    <row r="68" spans="1:22" ht="25.5" customHeight="1">
      <c r="A68" s="354"/>
      <c r="B68" s="3297" t="s">
        <v>359</v>
      </c>
      <c r="C68" s="3297"/>
      <c r="D68" s="355"/>
      <c r="E68" s="77"/>
      <c r="F68" s="356"/>
      <c r="G68" s="3353"/>
      <c r="H68" s="311"/>
      <c r="I68" s="1291"/>
      <c r="J68" s="2035"/>
      <c r="K68" s="1976">
        <v>3</v>
      </c>
      <c r="L68" s="3363" t="s">
        <v>358</v>
      </c>
      <c r="M68" s="3363"/>
      <c r="N68" s="1292">
        <f ca="1">C42</f>
        <v>370297</v>
      </c>
      <c r="O68" s="1292"/>
      <c r="P68" s="1292"/>
      <c r="Q68" s="2028"/>
      <c r="R68" s="2028"/>
      <c r="S68" s="2028"/>
      <c r="T68" s="2028"/>
      <c r="U68" s="2028"/>
      <c r="V68" s="2028"/>
    </row>
    <row r="69" spans="1:22" ht="12" customHeight="1">
      <c r="A69" s="357"/>
      <c r="B69" s="3297" t="s">
        <v>360</v>
      </c>
      <c r="C69" s="3297"/>
      <c r="D69" s="358"/>
      <c r="E69" s="73"/>
      <c r="F69" s="356"/>
      <c r="G69" s="3354"/>
      <c r="H69" s="311"/>
      <c r="I69" s="1291"/>
      <c r="J69" s="2035"/>
      <c r="K69" s="1293">
        <v>4</v>
      </c>
      <c r="L69" s="3368" t="s">
        <v>2843</v>
      </c>
      <c r="M69" s="3369"/>
      <c r="N69" s="1294">
        <f ca="1">C44</f>
        <v>370297</v>
      </c>
      <c r="O69" s="1294"/>
      <c r="P69" s="1294"/>
      <c r="Q69" s="2028"/>
      <c r="R69" s="2028"/>
      <c r="S69" s="2028"/>
      <c r="T69" s="2028"/>
      <c r="U69" s="2028"/>
      <c r="V69" s="2028"/>
    </row>
    <row r="70" spans="1:22" ht="24" customHeight="1">
      <c r="A70" s="359" t="s">
        <v>361</v>
      </c>
      <c r="B70" s="3297" t="s">
        <v>362</v>
      </c>
      <c r="C70" s="3297"/>
      <c r="D70" s="358">
        <f ca="1">ROUND(D63*'数据-取费表'!B41/(1+'数据-取费表'!C42),0)</f>
        <v>19749</v>
      </c>
      <c r="E70" s="17" t="s">
        <v>363</v>
      </c>
      <c r="F70" s="360">
        <f>'数据-取费表'!B41</f>
        <v>5.6000000000000001E-2</v>
      </c>
      <c r="G70" s="361"/>
      <c r="H70" s="311"/>
      <c r="I70" s="1291"/>
      <c r="J70" s="2035"/>
      <c r="K70" s="3062"/>
      <c r="L70" s="3063"/>
      <c r="M70" s="3063"/>
      <c r="N70" s="3064" t="s">
        <v>2848</v>
      </c>
      <c r="O70" s="3063"/>
      <c r="P70" s="3065"/>
      <c r="Q70" s="2028"/>
      <c r="R70" s="2028"/>
      <c r="S70" s="2028"/>
      <c r="T70" s="2028"/>
      <c r="U70" s="2028"/>
      <c r="V70" s="2028"/>
    </row>
    <row r="71" spans="1:22" ht="12" customHeight="1">
      <c r="A71" s="359" t="s">
        <v>369</v>
      </c>
      <c r="B71" s="3298" t="s">
        <v>370</v>
      </c>
      <c r="C71" s="3299"/>
      <c r="D71" s="358">
        <f ca="1">ROUND(D63*'数据-取费表'!B41/(1+'数据-取费表'!C42),0)</f>
        <v>19749</v>
      </c>
      <c r="E71" s="17" t="s">
        <v>363</v>
      </c>
      <c r="F71" s="360">
        <f>'数据-取费表'!B41</f>
        <v>5.6000000000000001E-2</v>
      </c>
      <c r="G71" s="361"/>
      <c r="H71" s="311"/>
      <c r="I71" s="1291"/>
      <c r="J71" s="2035"/>
      <c r="K71" s="3061" t="s">
        <v>364</v>
      </c>
      <c r="L71" s="3370" t="s">
        <v>365</v>
      </c>
      <c r="M71" s="3370"/>
      <c r="N71" s="3061" t="s">
        <v>366</v>
      </c>
      <c r="O71" s="3061" t="s">
        <v>367</v>
      </c>
      <c r="P71" s="3061" t="s">
        <v>368</v>
      </c>
      <c r="Q71" s="2028"/>
      <c r="R71" s="2028"/>
      <c r="S71" s="2028"/>
      <c r="T71" s="2028"/>
      <c r="U71" s="2028"/>
      <c r="V71" s="2028"/>
    </row>
    <row r="72" spans="1:22" ht="12" customHeight="1">
      <c r="A72" s="359" t="s">
        <v>372</v>
      </c>
      <c r="B72" s="3298" t="s">
        <v>373</v>
      </c>
      <c r="C72" s="3299"/>
      <c r="D72" s="358">
        <f ca="1">C86</f>
        <v>19637</v>
      </c>
      <c r="E72" s="73" t="s">
        <v>374</v>
      </c>
      <c r="F72" s="360">
        <f>'数据-取费表'!B41</f>
        <v>5.6000000000000001E-2</v>
      </c>
      <c r="G72" s="361"/>
      <c r="H72" s="1297"/>
      <c r="I72" s="1291"/>
      <c r="J72" s="2035"/>
      <c r="K72" s="1976">
        <v>1</v>
      </c>
      <c r="L72" s="3345" t="s">
        <v>371</v>
      </c>
      <c r="M72" s="3345"/>
      <c r="N72" s="1295">
        <f ca="1">D66</f>
        <v>19749</v>
      </c>
      <c r="O72" s="1859" t="str">
        <f>E66</f>
        <v>销售额×税（费）率</v>
      </c>
      <c r="P72" s="1296">
        <f>F66</f>
        <v>5.6000000000000001E-2</v>
      </c>
      <c r="Q72" s="2028"/>
      <c r="R72" s="2028"/>
      <c r="S72" s="2028"/>
      <c r="T72" s="2028"/>
      <c r="U72" s="2028"/>
      <c r="V72" s="2028"/>
    </row>
    <row r="73" spans="1:22" ht="24" customHeight="1">
      <c r="A73" s="3339" t="s">
        <v>376</v>
      </c>
      <c r="B73" s="3307"/>
      <c r="C73" s="3307"/>
      <c r="D73" s="362">
        <f>IF(H73="个人住宅",0,ROUND(D63*I73,0))</f>
        <v>0</v>
      </c>
      <c r="E73" s="17" t="s">
        <v>377</v>
      </c>
      <c r="F73" s="360" t="str">
        <f>IF(H73="正常",I73,"免征")</f>
        <v>免征</v>
      </c>
      <c r="G73" s="361"/>
      <c r="H73" s="191" t="s">
        <v>2415</v>
      </c>
      <c r="I73" s="360">
        <f>'数据-取费表'!B49</f>
        <v>5.0000000000000001E-4</v>
      </c>
      <c r="J73" s="2035"/>
      <c r="K73" s="1976">
        <v>2</v>
      </c>
      <c r="L73" s="3345" t="s">
        <v>375</v>
      </c>
      <c r="M73" s="3345"/>
      <c r="N73" s="1295">
        <f t="shared" ref="N73:P74" si="1">D73</f>
        <v>0</v>
      </c>
      <c r="O73" s="1859" t="str">
        <f t="shared" si="1"/>
        <v>销售额×税（费）率</v>
      </c>
      <c r="P73" s="1296" t="str">
        <f t="shared" si="1"/>
        <v>免征</v>
      </c>
      <c r="Q73" s="2028"/>
      <c r="R73" s="2028"/>
      <c r="S73" s="2028"/>
      <c r="T73" s="2028"/>
      <c r="U73" s="2028"/>
      <c r="V73" s="2028"/>
    </row>
    <row r="74" spans="1:22" ht="25.2">
      <c r="A74" s="3339" t="s">
        <v>380</v>
      </c>
      <c r="B74" s="3307"/>
      <c r="C74" s="3307"/>
      <c r="D74" s="362">
        <f ca="1">IF(H74="个人住宅",D75,D76)</f>
        <v>0</v>
      </c>
      <c r="E74" s="17" t="s">
        <v>381</v>
      </c>
      <c r="F74" s="360" t="str">
        <f>IF(H74="正常",F76,"免征")</f>
        <v>——</v>
      </c>
      <c r="G74" s="983" t="s">
        <v>382</v>
      </c>
      <c r="H74" s="363" t="s">
        <v>378</v>
      </c>
      <c r="I74" s="42"/>
      <c r="J74" s="2035"/>
      <c r="K74" s="1976">
        <v>3</v>
      </c>
      <c r="L74" s="3345" t="s">
        <v>379</v>
      </c>
      <c r="M74" s="3345"/>
      <c r="N74" s="1295">
        <f t="shared" ca="1" si="1"/>
        <v>0</v>
      </c>
      <c r="O74" s="1859" t="str">
        <f t="shared" si="1"/>
        <v>增值额×税（费）率</v>
      </c>
      <c r="P74" s="1298" t="str">
        <f t="shared" si="1"/>
        <v>——</v>
      </c>
      <c r="Q74" s="2028"/>
      <c r="R74" s="2028"/>
      <c r="S74" s="2028"/>
      <c r="T74" s="2028"/>
      <c r="U74" s="2028"/>
      <c r="V74" s="2028"/>
    </row>
    <row r="75" spans="1:22" ht="24">
      <c r="A75" s="359" t="s">
        <v>383</v>
      </c>
      <c r="B75" s="3295" t="s">
        <v>384</v>
      </c>
      <c r="C75" s="3325"/>
      <c r="D75" s="364">
        <v>0</v>
      </c>
      <c r="E75" s="41" t="s">
        <v>385</v>
      </c>
      <c r="F75" s="365"/>
      <c r="G75" s="361"/>
      <c r="H75" s="42"/>
      <c r="I75" s="42"/>
      <c r="J75" s="2035"/>
      <c r="K75" s="3054">
        <f>IF(H77="非个人房产","",4)</f>
        <v>4</v>
      </c>
      <c r="L75" s="3345" t="str">
        <f>IF(H77="非个人房产","——","个人所得税")</f>
        <v>个人所得税</v>
      </c>
      <c r="M75" s="3345"/>
      <c r="N75" s="1299">
        <f ca="1">D77</f>
        <v>3703</v>
      </c>
      <c r="O75" s="1872" t="str">
        <f>E77</f>
        <v>销售额×税（费）率</v>
      </c>
      <c r="P75" s="1300">
        <f>F77</f>
        <v>0.01</v>
      </c>
      <c r="Q75" s="2028"/>
      <c r="R75" s="2028"/>
      <c r="S75" s="2028"/>
      <c r="T75" s="2028"/>
      <c r="U75" s="2028"/>
      <c r="V75" s="2028"/>
    </row>
    <row r="76" spans="1:22" ht="25.2">
      <c r="A76" s="359" t="s">
        <v>361</v>
      </c>
      <c r="B76" s="3295" t="s">
        <v>387</v>
      </c>
      <c r="C76" s="3296"/>
      <c r="D76" s="362">
        <f ca="1">IF(H76="转让取得",C99,C115)</f>
        <v>0</v>
      </c>
      <c r="E76" s="17" t="s">
        <v>388</v>
      </c>
      <c r="F76" s="53" t="s">
        <v>20</v>
      </c>
      <c r="G76" s="361"/>
      <c r="H76" s="363" t="s">
        <v>389</v>
      </c>
      <c r="I76" s="42"/>
      <c r="J76" s="2035"/>
      <c r="K76" s="3054"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7" thickBot="1">
      <c r="A77" s="3347" t="s">
        <v>391</v>
      </c>
      <c r="B77" s="3348"/>
      <c r="C77" s="3348"/>
      <c r="D77" s="366">
        <f ca="1">IF(H77="非个人房产","——",IF(H77="个人住宅",0,ROUND(D63*I77,0)))</f>
        <v>3703</v>
      </c>
      <c r="E77" s="367" t="str">
        <f>IF(H77="非个人房产","——","销售额×税（费）率")</f>
        <v>销售额×税（费）率</v>
      </c>
      <c r="F77" s="368">
        <f>IF(H77="非个人房产","——",IF(H77="个人住宅","免征",I77))</f>
        <v>0.01</v>
      </c>
      <c r="G77" s="984" t="s">
        <v>382</v>
      </c>
      <c r="H77" s="363" t="s">
        <v>2844</v>
      </c>
      <c r="I77" s="369">
        <v>0.01</v>
      </c>
      <c r="J77" s="2035"/>
      <c r="K77" s="3346">
        <f>IF(AND(K75="",K76=""),4,IF(项目基本情况!K6="上海银行",K76+1,K75+1))</f>
        <v>5</v>
      </c>
      <c r="L77" s="3345" t="s">
        <v>2845</v>
      </c>
      <c r="M77" s="3060" t="s">
        <v>386</v>
      </c>
      <c r="N77" s="1301"/>
      <c r="O77" s="1302">
        <f ca="1">SUMIF(N72:N76,"&lt;9e307")</f>
        <v>23452</v>
      </c>
      <c r="P77" s="1303"/>
      <c r="Q77" s="3058">
        <f ca="1">O77/N69</f>
        <v>6.333294625665345E-2</v>
      </c>
      <c r="R77" s="2028"/>
      <c r="S77" s="2028"/>
      <c r="T77" s="2028"/>
      <c r="U77" s="2028"/>
      <c r="V77" s="2028"/>
    </row>
    <row r="78" spans="1:22" ht="12" customHeight="1">
      <c r="A78" s="1304"/>
      <c r="B78" s="311"/>
      <c r="C78" s="311"/>
      <c r="D78" s="311"/>
      <c r="E78" s="42"/>
      <c r="F78" s="42"/>
      <c r="G78" s="42"/>
      <c r="H78" s="1003"/>
      <c r="I78" s="311"/>
      <c r="J78" s="2035"/>
      <c r="K78" s="3346"/>
      <c r="L78" s="3345"/>
      <c r="M78" s="3060" t="s">
        <v>390</v>
      </c>
      <c r="N78" s="1301"/>
      <c r="O78" s="1302" t="str">
        <f ca="1">NUMBERSTRING(INT(O77*10000),2)&amp;"元整"</f>
        <v>贰亿叁仟肆佰伍拾贰万元整</v>
      </c>
      <c r="P78" s="1303"/>
      <c r="Q78" s="2028"/>
      <c r="R78" s="2028"/>
      <c r="S78" s="2028"/>
      <c r="T78" s="2028"/>
      <c r="U78" s="2028"/>
      <c r="V78" s="2028"/>
    </row>
    <row r="79" spans="1:22" ht="13.8" thickBot="1">
      <c r="A79" s="3340" t="s">
        <v>392</v>
      </c>
      <c r="B79" s="3340"/>
      <c r="C79" s="3340"/>
      <c r="D79" s="3340"/>
      <c r="E79" s="3340"/>
      <c r="F79" s="42"/>
      <c r="G79" s="42"/>
      <c r="H79" s="1003"/>
      <c r="I79" s="311"/>
      <c r="J79" s="2035"/>
      <c r="K79" s="3366">
        <f>K77+1</f>
        <v>6</v>
      </c>
      <c r="L79" s="3345" t="s">
        <v>2846</v>
      </c>
      <c r="M79" s="3060" t="s">
        <v>386</v>
      </c>
      <c r="N79" s="1301"/>
      <c r="O79" s="1302">
        <f ca="1">N69-O77</f>
        <v>346845</v>
      </c>
      <c r="P79" s="1303"/>
      <c r="Q79" s="2028"/>
      <c r="R79" s="2028"/>
      <c r="S79" s="2028"/>
      <c r="T79" s="2028"/>
      <c r="U79" s="2028"/>
      <c r="V79" s="2028"/>
    </row>
    <row r="80" spans="1:22" ht="39.6">
      <c r="A80" s="3335" t="s">
        <v>393</v>
      </c>
      <c r="B80" s="3336"/>
      <c r="C80" s="994"/>
      <c r="D80" s="994" t="s">
        <v>394</v>
      </c>
      <c r="E80" s="370" t="s">
        <v>395</v>
      </c>
      <c r="F80" s="42"/>
      <c r="G80" s="42"/>
      <c r="H80" s="1003"/>
      <c r="I80" s="311"/>
      <c r="J80" s="2028"/>
      <c r="K80" s="3367"/>
      <c r="L80" s="3345"/>
      <c r="M80" s="3060" t="s">
        <v>390</v>
      </c>
      <c r="N80" s="1301"/>
      <c r="O80" s="1302" t="str">
        <f ca="1">NUMBERSTRING(INT(O79*10000),2)&amp;"元整"</f>
        <v>叁拾肆亿陆仟捌佰肆拾伍万元整</v>
      </c>
      <c r="P80" s="1303"/>
      <c r="Q80" s="2028"/>
      <c r="R80" s="2028"/>
      <c r="S80" s="2028"/>
      <c r="T80" s="2028"/>
      <c r="U80" s="2028"/>
      <c r="V80" s="2028"/>
    </row>
    <row r="81" spans="1:26" ht="13.8" thickBot="1">
      <c r="A81" s="381" t="s">
        <v>1785</v>
      </c>
      <c r="B81" s="371" t="s">
        <v>396</v>
      </c>
      <c r="C81" s="372">
        <f ca="1">ROUND((C82+C83)/(1+'数据-取费表'!C42),0)</f>
        <v>352664</v>
      </c>
      <c r="D81" s="373"/>
      <c r="E81" s="374"/>
      <c r="F81" s="42"/>
      <c r="G81" s="42"/>
      <c r="H81" s="1003"/>
      <c r="I81" s="311"/>
      <c r="J81" s="2028"/>
      <c r="K81" s="3054">
        <f>K79+1</f>
        <v>7</v>
      </c>
      <c r="L81" s="3343" t="s">
        <v>2847</v>
      </c>
      <c r="M81" s="3344"/>
      <c r="N81" s="1305"/>
      <c r="O81" s="1306">
        <f ca="1">ROUND(O79*10000/'数据-汇总表'!E3,0)</f>
        <v>28613</v>
      </c>
      <c r="P81" s="1307"/>
      <c r="Q81" s="2028"/>
      <c r="R81" s="2028"/>
      <c r="S81" s="2028"/>
      <c r="T81" s="2028"/>
      <c r="U81" s="2028"/>
      <c r="V81" s="2028"/>
    </row>
    <row r="82" spans="1:26" ht="13.8" thickTop="1">
      <c r="A82" s="375" t="s">
        <v>1786</v>
      </c>
      <c r="B82" s="376" t="s">
        <v>397</v>
      </c>
      <c r="C82" s="377">
        <f ca="1">D63</f>
        <v>370297</v>
      </c>
      <c r="D82" s="378" t="s">
        <v>18</v>
      </c>
      <c r="E82" s="379"/>
      <c r="F82" s="42"/>
      <c r="G82" s="42"/>
      <c r="H82" s="1003"/>
      <c r="I82" s="311"/>
      <c r="J82" s="2028"/>
      <c r="K82" s="2028"/>
      <c r="L82" s="2028"/>
      <c r="M82" s="2028"/>
      <c r="N82" s="2028"/>
      <c r="O82" s="2028"/>
      <c r="P82" s="2028"/>
      <c r="Q82" s="2028"/>
      <c r="R82" s="2028"/>
      <c r="S82" s="2028"/>
      <c r="T82" s="2028"/>
      <c r="U82" s="2028"/>
      <c r="V82" s="2028"/>
    </row>
    <row r="83" spans="1:26" ht="13.2">
      <c r="A83" s="375" t="s">
        <v>1787</v>
      </c>
      <c r="B83" s="376" t="s">
        <v>398</v>
      </c>
      <c r="C83" s="380">
        <v>0</v>
      </c>
      <c r="D83" s="378"/>
      <c r="E83" s="379"/>
      <c r="F83" s="42"/>
      <c r="G83" s="42"/>
      <c r="H83" s="1003"/>
      <c r="I83" s="311"/>
      <c r="J83" s="2028"/>
      <c r="K83" s="3355" t="s">
        <v>2834</v>
      </c>
      <c r="L83" s="3066" t="s">
        <v>2835</v>
      </c>
      <c r="M83" s="3056">
        <f ca="1">IF(N69&gt;10000,N69*0.5%,IF(AND(N69&gt;1000,N69&lt;=10000),N69*1%,IF(AND(N69&gt;100,N69&lt;=1000),N69*3%,IF(AND(N69&gt;10,N69&lt;=100),N69*5%,N69*8%))))</f>
        <v>1851.4850000000001</v>
      </c>
      <c r="N83" s="53">
        <f ca="1">ROUND(M83,1)</f>
        <v>1851.5</v>
      </c>
      <c r="O83" s="3059"/>
      <c r="P83" s="2028"/>
      <c r="Q83" s="2028"/>
      <c r="R83" s="2028"/>
      <c r="S83" s="2028"/>
      <c r="T83" s="2028"/>
      <c r="U83" s="2028"/>
      <c r="V83" s="2028"/>
    </row>
    <row r="84" spans="1:26" ht="25.2">
      <c r="A84" s="381" t="s">
        <v>1788</v>
      </c>
      <c r="B84" s="382" t="s">
        <v>399</v>
      </c>
      <c r="C84" s="383">
        <v>2000</v>
      </c>
      <c r="D84" s="384" t="s">
        <v>18</v>
      </c>
      <c r="E84" s="3099" t="s">
        <v>2891</v>
      </c>
      <c r="F84" s="42"/>
      <c r="G84" s="42"/>
      <c r="H84" s="1003"/>
      <c r="I84" s="311"/>
      <c r="J84" s="2028"/>
      <c r="K84" s="3355"/>
      <c r="L84" s="3066" t="s">
        <v>2836</v>
      </c>
      <c r="M84" s="3056">
        <f ca="1">IF(N69&gt;2000,N69*0.5%,IF(AND(N69&gt;1000,N69&lt;=2000),N69*0.6%,IF(AND(N69&gt;500,N69&lt;=1000),N69*0.7%,IF(AND(N69&gt;200,N69&lt;=500),N69*0.8%,IF(AND(N69&gt;100,N69&lt;=200),N69*0.9%,IF(AND(N69&gt;50,N69&lt;=100),N69*1%,IF(AND(N69&gt;20,N69&lt;=50),N69*1.5%,IF(AND(N69&gt;10,N69&lt;=20),N69*2%,IF(AND(N69&gt;1,N69&lt;=10),N69*2.5%)))))))))</f>
        <v>1851.4850000000001</v>
      </c>
      <c r="N84" s="53">
        <f t="shared" ref="N84:N85" ca="1" si="2">ROUND(M84,1)</f>
        <v>1851.5</v>
      </c>
      <c r="O84" s="2028" t="s">
        <v>2837</v>
      </c>
      <c r="P84" s="2028"/>
      <c r="Q84" s="2028"/>
      <c r="R84" s="2028"/>
      <c r="S84" s="2028"/>
      <c r="T84" s="2028"/>
      <c r="U84" s="2028"/>
      <c r="V84" s="2028"/>
    </row>
    <row r="85" spans="1:26" ht="13.2">
      <c r="A85" s="381" t="s">
        <v>1789</v>
      </c>
      <c r="B85" s="382" t="s">
        <v>400</v>
      </c>
      <c r="C85" s="385">
        <f ca="1">C81-C84</f>
        <v>350664</v>
      </c>
      <c r="D85" s="378" t="s">
        <v>18</v>
      </c>
      <c r="E85" s="379"/>
      <c r="F85" s="42"/>
      <c r="G85" s="42"/>
      <c r="H85" s="1003"/>
      <c r="I85" s="311"/>
      <c r="J85" s="2028"/>
      <c r="K85" s="3355"/>
      <c r="L85" s="3066" t="s">
        <v>2838</v>
      </c>
      <c r="M85" s="3056">
        <f ca="1">IF(N69&gt;1000,N69*0.1%,IF(AND(N69&gt;500,N69&lt;=1000),N69*0.5%,IF(AND(N69&gt;50,N69&lt;=500),N69*1%,IF(AND(N69&gt;1,N69&lt;=50),N69*1.5%))))</f>
        <v>370.29700000000003</v>
      </c>
      <c r="N85" s="53">
        <f t="shared" ca="1" si="2"/>
        <v>370.3</v>
      </c>
      <c r="O85" s="2028" t="s">
        <v>2837</v>
      </c>
      <c r="P85" s="2028"/>
      <c r="Q85" s="2028"/>
      <c r="R85" s="2028"/>
      <c r="S85" s="2028"/>
      <c r="T85" s="2028"/>
      <c r="U85" s="2028"/>
      <c r="V85" s="2028"/>
    </row>
    <row r="86" spans="1:26" ht="13.8" thickBot="1">
      <c r="A86" s="386" t="s">
        <v>1790</v>
      </c>
      <c r="B86" s="387" t="s">
        <v>401</v>
      </c>
      <c r="C86" s="388">
        <f ca="1">IF(C85&lt;=0,0,ROUND(C85*D86,0))</f>
        <v>19637</v>
      </c>
      <c r="D86" s="389">
        <f>'数据-取费表'!B41</f>
        <v>5.6000000000000001E-2</v>
      </c>
      <c r="E86" s="390"/>
      <c r="F86" s="42"/>
      <c r="G86" s="42"/>
      <c r="H86" s="1003"/>
      <c r="I86" s="311"/>
      <c r="J86" s="2028"/>
      <c r="K86" s="3355"/>
      <c r="L86" s="3066" t="s">
        <v>2839</v>
      </c>
      <c r="M86" s="3056">
        <f ca="1">N69*0.5%</f>
        <v>1851.4850000000001</v>
      </c>
      <c r="N86" s="53">
        <f ca="1">IF(M86&gt;0.5,0.5,ROUND(M86,0))</f>
        <v>0.5</v>
      </c>
      <c r="O86" s="2028" t="s">
        <v>2840</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55"/>
      <c r="L87" s="3066" t="s">
        <v>2841</v>
      </c>
      <c r="M87" s="3056">
        <f ca="1">IF(N69&gt;=10000,(8.25+(N69-10000)*0.01%),IF(AND(N69&gt;=8000,N69&lt;10000),(7.85+(N69-8000)*0.02%),IF(AND(N69&gt;=5000,N69&lt;8000),(6.65+(N69-5000)*0.04%),IF(AND(N69&gt;=2000,N69&lt;5000),(4.25+(PN69-2000)*0.08%),IF(AND(N69&gt;=1000,N69&lt;2000),(2.75+(N69-1000)*0.15%),IF(AND(N69&gt;=100,N69&lt;1000),(0.5+(N69-100)*0.25%),IF(AND(N69&gt;0,N69&lt;100),N69*0.5%)))))))</f>
        <v>44.279699999999998</v>
      </c>
      <c r="N87" s="53">
        <f ca="1">ROUND(M87*0.9,1)</f>
        <v>39.9</v>
      </c>
      <c r="O87" s="3059"/>
      <c r="P87" s="311"/>
      <c r="Q87" s="2028"/>
      <c r="R87" s="2028"/>
      <c r="S87" s="2028"/>
      <c r="T87" s="2028"/>
      <c r="U87" s="2028"/>
      <c r="V87" s="2028"/>
      <c r="W87" s="292"/>
      <c r="X87" s="292"/>
      <c r="Y87" s="292"/>
      <c r="Z87" s="292"/>
    </row>
    <row r="88" spans="1:26" s="1313" customFormat="1" ht="14.4" thickBot="1">
      <c r="A88" s="3337" t="s">
        <v>402</v>
      </c>
      <c r="B88" s="3338"/>
      <c r="C88" s="3338"/>
      <c r="D88" s="3338"/>
      <c r="E88" s="3338"/>
      <c r="F88" s="3338"/>
      <c r="G88" s="3338"/>
      <c r="H88" s="3338"/>
      <c r="I88" s="1314"/>
      <c r="J88" s="2036"/>
      <c r="K88" s="3355"/>
      <c r="L88" s="3066" t="s">
        <v>2842</v>
      </c>
      <c r="M88" s="3056">
        <f ca="1">IF(N69&gt;10000,N69*0.5%,IF(AND(N69&gt;5000,N69&lt;=10000),N69*1%,IF(AND(N69&gt;1000,N69&lt;=5000),N69*2%,IF(AND(N69&gt;200,N69&lt;=1000),N69*3%,N69*5%))))</f>
        <v>1851.4850000000001</v>
      </c>
      <c r="N88" s="53">
        <f ca="1">ROUND(M88,1)</f>
        <v>1851.5</v>
      </c>
      <c r="O88" s="3059"/>
      <c r="P88" s="11"/>
      <c r="Q88" s="2033"/>
      <c r="R88" s="2033"/>
      <c r="S88" s="2033"/>
      <c r="T88" s="2033"/>
      <c r="U88" s="2033"/>
      <c r="V88" s="2033"/>
      <c r="W88" s="2037"/>
      <c r="X88" s="2037"/>
      <c r="Y88" s="2037"/>
      <c r="Z88" s="2037"/>
    </row>
    <row r="89" spans="1:26" s="1313" customFormat="1" ht="13.8">
      <c r="A89" s="3335" t="s">
        <v>393</v>
      </c>
      <c r="B89" s="3336"/>
      <c r="C89" s="994"/>
      <c r="D89" s="994" t="s">
        <v>394</v>
      </c>
      <c r="E89" s="391" t="s">
        <v>403</v>
      </c>
      <c r="F89" s="392"/>
      <c r="G89" s="392"/>
      <c r="H89" s="393"/>
      <c r="I89" s="1315"/>
      <c r="J89" s="2038"/>
      <c r="K89" s="3355"/>
      <c r="L89" s="3066" t="s">
        <v>26</v>
      </c>
      <c r="M89" s="3057"/>
      <c r="N89" s="53">
        <f ca="1">ROUND(SUM(N83:N88),0)</f>
        <v>5965</v>
      </c>
      <c r="O89" s="3067">
        <f ca="1">N89/N69</f>
        <v>1.6108691131713194E-2</v>
      </c>
      <c r="P89" s="2033"/>
      <c r="Q89" s="2033"/>
      <c r="R89" s="2033"/>
      <c r="S89" s="2033"/>
      <c r="T89" s="2033"/>
      <c r="U89" s="2033"/>
      <c r="V89" s="2033"/>
      <c r="W89" s="2037"/>
      <c r="X89" s="2037"/>
      <c r="Y89" s="2037"/>
      <c r="Z89" s="2037"/>
    </row>
    <row r="90" spans="1:26" s="1313" customFormat="1" ht="13.8">
      <c r="A90" s="381" t="s">
        <v>1785</v>
      </c>
      <c r="B90" s="382" t="s">
        <v>404</v>
      </c>
      <c r="C90" s="385">
        <f ca="1">ROUND(D63/(1+'数据-取费表'!C42),0)</f>
        <v>352664</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1" t="s">
        <v>1791</v>
      </c>
      <c r="B91" s="348" t="s">
        <v>405</v>
      </c>
      <c r="C91" s="385">
        <f ca="1">C92+C96</f>
        <v>4677</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298" t="s">
        <v>412</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2116</v>
      </c>
      <c r="D96" s="406">
        <f>'数据-取费表'!B43</f>
        <v>6.000000000000001E-3</v>
      </c>
      <c r="E96" s="3326" t="s">
        <v>2389</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1797</v>
      </c>
      <c r="B97" s="382" t="s">
        <v>416</v>
      </c>
      <c r="C97" s="385">
        <f ca="1">C90-C91</f>
        <v>347987</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74.403891383365405</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1799</v>
      </c>
      <c r="B99" s="387" t="s">
        <v>418</v>
      </c>
      <c r="C99" s="408">
        <f ca="1">ROUND(IF(C97&lt;=0,0,IF(C98&gt;=200%,C97*60%-C91*35%,IF(C98&gt;=100%,C97*50%-C91*15%,IF(C98&gt;=50%,C97*40%-C91*5%,IF(C98&lt;50%,C97*30%,0))))),0)</f>
        <v>207155</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37" t="s">
        <v>419</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35" t="s">
        <v>393</v>
      </c>
      <c r="B102" s="3336"/>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1" t="s">
        <v>1785</v>
      </c>
      <c r="B103" s="382" t="s">
        <v>404</v>
      </c>
      <c r="C103" s="385">
        <f ca="1">ROUND(D63/(1+'数据-取费表'!C42),0)</f>
        <v>352664</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1" t="s">
        <v>1791</v>
      </c>
      <c r="B104" s="348" t="s">
        <v>405</v>
      </c>
      <c r="C104" s="385">
        <f ca="1">IF(H106="仅含出让金",C105+C108+C109+C110+C111+C112,C105+C109+C110+C111+C112)</f>
        <v>438897.04000000004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5" t="s">
        <v>1792</v>
      </c>
      <c r="B105" s="376" t="s">
        <v>420</v>
      </c>
      <c r="C105" s="405">
        <f>C106+C107</f>
        <v>225710.04</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3.8">
      <c r="A106" s="395" t="s">
        <v>1793</v>
      </c>
      <c r="B106" s="376" t="s">
        <v>421</v>
      </c>
      <c r="C106" s="416">
        <f>K22</f>
        <v>219030.04</v>
      </c>
      <c r="D106" s="406"/>
      <c r="E106" s="417" t="s">
        <v>422</v>
      </c>
      <c r="F106" s="986"/>
      <c r="G106" s="418" t="s">
        <v>423</v>
      </c>
      <c r="H106" s="419" t="s">
        <v>3176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5" t="s">
        <v>1796</v>
      </c>
      <c r="B108" s="376" t="s">
        <v>425</v>
      </c>
      <c r="C108" s="416">
        <v>145000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29" t="s">
        <v>427</v>
      </c>
      <c r="F109" s="3327"/>
      <c r="G109" s="3327"/>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37071</v>
      </c>
      <c r="D110" s="406">
        <v>0.1</v>
      </c>
      <c r="E110" s="3329" t="s">
        <v>429</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2116</v>
      </c>
      <c r="D111" s="406">
        <f>'数据-取费表'!B43</f>
        <v>6.000000000000001E-3</v>
      </c>
      <c r="E111" s="3326" t="s">
        <v>2389</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29000</v>
      </c>
      <c r="D112" s="406">
        <v>0.2</v>
      </c>
      <c r="E112" s="3329" t="s">
        <v>2413</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1797</v>
      </c>
      <c r="B113" s="382" t="s">
        <v>416</v>
      </c>
      <c r="C113" s="385">
        <f ca="1">ROUND(C103-C104,0)</f>
        <v>-86233</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70" zoomScaleNormal="95" zoomScaleSheetLayoutView="70" workbookViewId="0">
      <selection activeCell="M46" sqref="M46"/>
    </sheetView>
  </sheetViews>
  <sheetFormatPr defaultColWidth="9" defaultRowHeight="13.8"/>
  <cols>
    <col min="1" max="1" width="15.6640625" style="1336" customWidth="1"/>
    <col min="2" max="2" width="15.77734375" style="1336" customWidth="1"/>
    <col min="3" max="3" width="16.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362784</v>
      </c>
      <c r="C2" s="2127"/>
      <c r="D2" s="3201" t="s">
        <v>3147</v>
      </c>
      <c r="E2" s="3202">
        <v>145000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29928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348053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23204</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486</v>
      </c>
      <c r="B6" s="513"/>
      <c r="C6" s="3380" t="s">
        <v>487</v>
      </c>
      <c r="D6" s="3381"/>
      <c r="E6" s="3380" t="s">
        <v>488</v>
      </c>
      <c r="F6" s="3381"/>
      <c r="G6" s="3380" t="s">
        <v>489</v>
      </c>
      <c r="H6" s="3381"/>
      <c r="I6" s="3380" t="s">
        <v>490</v>
      </c>
      <c r="J6" s="3381"/>
      <c r="K6" s="514" t="s">
        <v>491</v>
      </c>
      <c r="L6" s="2133"/>
      <c r="M6" s="2132"/>
      <c r="N6" s="2132"/>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30" ht="21">
      <c r="A7" s="515"/>
      <c r="B7" s="516"/>
      <c r="C7" s="3398" t="str">
        <f>项目基本情况!F10</f>
        <v>莱茵达路以北、嘉华路以西</v>
      </c>
      <c r="D7" s="3399"/>
      <c r="E7" s="3396" t="str">
        <f>土地案例!C26</f>
        <v>桂湾片区四单元04街坊</v>
      </c>
      <c r="F7" s="3397"/>
      <c r="G7" s="3396" t="str">
        <f>土地案例!C27</f>
        <v>桂湾片区二单元01街坊</v>
      </c>
      <c r="H7" s="3397"/>
      <c r="I7" s="3396" t="str">
        <f>土地案例!C28</f>
        <v>桂湾片区四单元04街坊</v>
      </c>
      <c r="J7" s="3397"/>
      <c r="K7" s="514"/>
      <c r="L7" s="2133"/>
      <c r="M7" s="2132"/>
      <c r="N7" s="2132"/>
      <c r="O7" s="2134"/>
      <c r="P7" s="3384"/>
      <c r="Q7" s="3385"/>
      <c r="R7" s="3390"/>
      <c r="S7" s="3391"/>
      <c r="T7" s="3390"/>
      <c r="U7" s="3391"/>
      <c r="V7" s="3375"/>
      <c r="W7" s="3375"/>
      <c r="X7" s="1566"/>
      <c r="Y7" s="3390"/>
      <c r="Z7" s="3391"/>
      <c r="AA7" s="3378"/>
      <c r="AB7" s="3378"/>
      <c r="AC7" s="3378"/>
    </row>
    <row r="8" spans="1:30" ht="21.6" thickBot="1">
      <c r="A8" s="515"/>
      <c r="B8" s="516"/>
      <c r="C8" s="3400" t="s">
        <v>2882</v>
      </c>
      <c r="D8" s="3401"/>
      <c r="E8" s="3400" t="s">
        <v>2882</v>
      </c>
      <c r="F8" s="3401"/>
      <c r="G8" s="3394" t="s">
        <v>2882</v>
      </c>
      <c r="H8" s="3395"/>
      <c r="I8" s="3394" t="s">
        <v>2882</v>
      </c>
      <c r="J8" s="3395"/>
      <c r="K8" s="514" t="s">
        <v>493</v>
      </c>
      <c r="L8" s="2133"/>
      <c r="M8" s="2132"/>
      <c r="N8" s="2132"/>
      <c r="O8" s="2134"/>
      <c r="P8" s="3386"/>
      <c r="Q8" s="3387"/>
      <c r="R8" s="3390"/>
      <c r="S8" s="3391"/>
      <c r="T8" s="3392"/>
      <c r="U8" s="3393"/>
      <c r="V8" s="3375"/>
      <c r="W8" s="3375"/>
      <c r="X8" s="1566"/>
      <c r="Y8" s="3392"/>
      <c r="Z8" s="3393"/>
      <c r="AA8" s="3379"/>
      <c r="AB8" s="3379"/>
      <c r="AC8" s="3379"/>
    </row>
    <row r="9" spans="1:30" s="1219" customFormat="1" ht="21.6" thickBot="1">
      <c r="A9" s="2912"/>
      <c r="B9" s="2919" t="s">
        <v>494</v>
      </c>
      <c r="C9" s="2911">
        <f>'数据-取费表'!B2</f>
        <v>43343</v>
      </c>
      <c r="D9" s="520">
        <v>100</v>
      </c>
      <c r="E9" s="521" t="str">
        <f>土地案例!I26</f>
        <v>2016-12-05</v>
      </c>
      <c r="F9" s="522">
        <f>SUMIF(72:72,YEAR(E9)&amp;"-"&amp;INT((MONTH(E9)+2)/3),73:73)</f>
        <v>96.5</v>
      </c>
      <c r="G9" s="523" t="str">
        <f>土地案例!I27</f>
        <v>2016-08-18</v>
      </c>
      <c r="H9" s="520">
        <f>SUMIF(72:72,YEAR(G9)&amp;"-"&amp;INT((MONTH(G9)+2)/3),73:73)</f>
        <v>96</v>
      </c>
      <c r="I9" s="523" t="str">
        <f>土地案例!I28</f>
        <v>2016-08-10</v>
      </c>
      <c r="J9" s="520">
        <f>SUMIF(72:72,YEAR(I9)&amp;"-"&amp;INT((MONTH(I9)+2)/3),73:73)</f>
        <v>96</v>
      </c>
      <c r="K9" s="524"/>
      <c r="L9" s="2135"/>
      <c r="M9" s="2132"/>
      <c r="N9" s="2132"/>
      <c r="O9" s="2136"/>
      <c r="P9" s="3407" t="s">
        <v>495</v>
      </c>
      <c r="Q9" s="3409"/>
      <c r="R9" s="1567" t="s">
        <v>8</v>
      </c>
      <c r="S9" s="1568">
        <f t="shared" ref="S9:S17" si="0">F9</f>
        <v>96.5</v>
      </c>
      <c r="T9" s="1567" t="s">
        <v>8</v>
      </c>
      <c r="U9" s="1568">
        <f t="shared" ref="U9:U17" si="1">H9</f>
        <v>96</v>
      </c>
      <c r="V9" s="1567" t="s">
        <v>8</v>
      </c>
      <c r="W9" s="1568">
        <f t="shared" ref="W9:W17" si="2">J9</f>
        <v>96</v>
      </c>
      <c r="X9" s="1569"/>
      <c r="Y9" s="3407" t="s">
        <v>495</v>
      </c>
      <c r="Z9" s="3408"/>
      <c r="AA9" s="1570">
        <f>D9/F9</f>
        <v>1.0362694300518134</v>
      </c>
      <c r="AB9" s="1570">
        <f>D9/H9</f>
        <v>1.0416666666666667</v>
      </c>
      <c r="AC9" s="1570">
        <f>D9/J9</f>
        <v>1.0416666666666667</v>
      </c>
    </row>
    <row r="10" spans="1:30" s="1219" customFormat="1" ht="21.6" thickBot="1">
      <c r="A10" s="2913"/>
      <c r="B10" s="2920" t="s">
        <v>496</v>
      </c>
      <c r="C10" s="856" t="s">
        <v>497</v>
      </c>
      <c r="D10" s="520">
        <v>100</v>
      </c>
      <c r="E10" s="525" t="s">
        <v>2956</v>
      </c>
      <c r="F10" s="522">
        <f>SUMIF(75:75,E10,76:76)-SUMIF(75:75,C10,76:76)+100</f>
        <v>100</v>
      </c>
      <c r="G10" s="525" t="s">
        <v>2956</v>
      </c>
      <c r="H10" s="520">
        <f>SUMIF(75:75,G10,76:76)-SUMIF(75:75,C10,76:76)+100</f>
        <v>100</v>
      </c>
      <c r="I10" s="525" t="s">
        <v>2956</v>
      </c>
      <c r="J10" s="520">
        <f>SUMIF(75:75,I10,76:76)-SUMIF(75:75,C10,76:76)+100</f>
        <v>100</v>
      </c>
      <c r="K10" s="524"/>
      <c r="L10" s="2135"/>
      <c r="M10" s="2132"/>
      <c r="N10" s="2132"/>
      <c r="O10" s="2136"/>
      <c r="P10" s="3407" t="s">
        <v>498</v>
      </c>
      <c r="Q10" s="3408"/>
      <c r="R10" s="1567" t="s">
        <v>8</v>
      </c>
      <c r="S10" s="1568">
        <f t="shared" si="0"/>
        <v>100</v>
      </c>
      <c r="T10" s="1567" t="s">
        <v>8</v>
      </c>
      <c r="U10" s="1568">
        <f t="shared" si="1"/>
        <v>100</v>
      </c>
      <c r="V10" s="1567" t="s">
        <v>8</v>
      </c>
      <c r="W10" s="1568">
        <f t="shared" si="2"/>
        <v>100</v>
      </c>
      <c r="X10" s="1569"/>
      <c r="Y10" s="3407" t="s">
        <v>498</v>
      </c>
      <c r="Z10" s="3408"/>
      <c r="AA10" s="1570">
        <f t="shared" ref="AA10:AA47" si="3">D10/F10</f>
        <v>1</v>
      </c>
      <c r="AB10" s="1570">
        <f t="shared" ref="AB10:AB47" si="4">D10/H10</f>
        <v>1</v>
      </c>
      <c r="AC10" s="1570">
        <f t="shared" ref="AC10:AC47" si="5">D10/J10</f>
        <v>1</v>
      </c>
    </row>
    <row r="11" spans="1:30" s="1219" customFormat="1" ht="21">
      <c r="A11" s="2914"/>
      <c r="B11" s="2921" t="s">
        <v>2716</v>
      </c>
      <c r="C11" s="2908" t="s">
        <v>2934</v>
      </c>
      <c r="D11" s="254">
        <v>100</v>
      </c>
      <c r="E11" s="2908" t="s">
        <v>2934</v>
      </c>
      <c r="F11" s="254">
        <f>SUMIF(77:77,E11,78:78)-SUMIF(77:77,C11,78:78)+100</f>
        <v>100</v>
      </c>
      <c r="G11" s="2908" t="s">
        <v>2934</v>
      </c>
      <c r="H11" s="254">
        <f>SUMIF(77:77,G11,78:78)-SUMIF(77:77,C11,78:78)+100</f>
        <v>100</v>
      </c>
      <c r="I11" s="2908" t="s">
        <v>2934</v>
      </c>
      <c r="J11" s="254">
        <f>SUMIF(77:77,I11,78:78)-SUMIF(77:77,C11,78:78)+100</f>
        <v>100</v>
      </c>
      <c r="K11" s="524"/>
      <c r="L11" s="2135"/>
      <c r="M11" s="2132"/>
      <c r="N11" s="2132"/>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30" s="1337" customFormat="1" ht="28.8">
      <c r="A12" s="2915"/>
      <c r="B12" s="2920" t="s">
        <v>2717</v>
      </c>
      <c r="C12" s="910">
        <f>项目基本情况!E19</f>
        <v>39.76</v>
      </c>
      <c r="D12" s="255">
        <v>100</v>
      </c>
      <c r="E12" s="529" t="s">
        <v>3112</v>
      </c>
      <c r="F12" s="255">
        <f>ROUND(100/'数据-取费表'!G16,0)</f>
        <v>100</v>
      </c>
      <c r="G12" s="530" t="s">
        <v>3112</v>
      </c>
      <c r="H12" s="255">
        <f>ROUND(100/'数据-取费表'!G16,0)</f>
        <v>100</v>
      </c>
      <c r="I12" s="530" t="s">
        <v>3112</v>
      </c>
      <c r="J12" s="255">
        <f>ROUND(100/'数据-取费表'!G16,0)</f>
        <v>100</v>
      </c>
      <c r="K12" s="531"/>
      <c r="L12" s="2138"/>
      <c r="M12" s="2132"/>
      <c r="N12" s="2132"/>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30" ht="21">
      <c r="A13" s="2916"/>
      <c r="B13" s="2920" t="s">
        <v>2718</v>
      </c>
      <c r="C13" s="534">
        <f>'数据-汇总表'!I4</f>
        <v>8.3000000000000007</v>
      </c>
      <c r="D13" s="255">
        <v>100</v>
      </c>
      <c r="E13" s="533">
        <v>9.9</v>
      </c>
      <c r="F13" s="255">
        <f>LOOKUP(E13,82:82,83:83)-LOOKUP(C13,82:82,83:83)+100</f>
        <v>98</v>
      </c>
      <c r="G13" s="534">
        <v>9.3000000000000007</v>
      </c>
      <c r="H13" s="255">
        <f>LOOKUP(G13,82:82,83:83)-LOOKUP(C13,82:82,83:83)+100</f>
        <v>98</v>
      </c>
      <c r="I13" s="533">
        <v>9.6999999999999993</v>
      </c>
      <c r="J13" s="255">
        <f>LOOKUP(I13,82:82,83:83)-LOOKUP(C13,82:82,83:83)+100</f>
        <v>98</v>
      </c>
      <c r="K13" s="535">
        <v>2</v>
      </c>
      <c r="L13" s="2140"/>
      <c r="M13" s="2132"/>
      <c r="N13" s="2132"/>
      <c r="O13" s="2141"/>
      <c r="P13" s="3374"/>
      <c r="Q13" s="1150" t="str">
        <f t="shared" si="6"/>
        <v>容积率</v>
      </c>
      <c r="R13" s="1567" t="s">
        <v>8</v>
      </c>
      <c r="S13" s="1568">
        <f t="shared" si="0"/>
        <v>98</v>
      </c>
      <c r="T13" s="1567" t="s">
        <v>8</v>
      </c>
      <c r="U13" s="1568">
        <f t="shared" si="1"/>
        <v>98</v>
      </c>
      <c r="V13" s="1567" t="s">
        <v>8</v>
      </c>
      <c r="W13" s="1568">
        <f t="shared" si="2"/>
        <v>98</v>
      </c>
      <c r="X13" s="1569"/>
      <c r="Y13" s="3320"/>
      <c r="Z13" s="1149" t="str">
        <f t="shared" si="7"/>
        <v>容积率</v>
      </c>
      <c r="AA13" s="1570">
        <f t="shared" si="3"/>
        <v>1.0204081632653061</v>
      </c>
      <c r="AB13" s="1570">
        <f t="shared" si="4"/>
        <v>1.0204081632653061</v>
      </c>
      <c r="AC13" s="1570">
        <f t="shared" si="5"/>
        <v>1.0204081632653061</v>
      </c>
    </row>
    <row r="14" spans="1:30" s="1219" customFormat="1" ht="21">
      <c r="A14" s="2913"/>
      <c r="B14" s="2922" t="s">
        <v>2719</v>
      </c>
      <c r="C14" s="2909" t="s">
        <v>3104</v>
      </c>
      <c r="D14" s="538">
        <v>100</v>
      </c>
      <c r="E14" s="2909" t="s">
        <v>3104</v>
      </c>
      <c r="F14" s="255">
        <f>SUMIF(84:84,E14,85:85)-SUMIF(84:84,C14,85:85)+100</f>
        <v>100</v>
      </c>
      <c r="G14" s="2909" t="s">
        <v>3104</v>
      </c>
      <c r="H14" s="255">
        <f>SUMIF(84:84,G14,85:85)-SUMIF(84:84,C14,85:85)+100</f>
        <v>100</v>
      </c>
      <c r="I14" s="2909" t="s">
        <v>3104</v>
      </c>
      <c r="J14" s="255">
        <f>SUMIF(84:84,I14,85:85)-SUMIF(84:84,C14,85:85)+100</f>
        <v>100</v>
      </c>
      <c r="K14" s="531"/>
      <c r="L14" s="2135"/>
      <c r="M14" s="2132"/>
      <c r="N14" s="2132"/>
      <c r="O14" s="2137"/>
      <c r="P14" s="3374"/>
      <c r="Q14" s="1150" t="str">
        <f t="shared" si="6"/>
        <v>配建</v>
      </c>
      <c r="R14" s="1567" t="s">
        <v>8</v>
      </c>
      <c r="S14" s="1568">
        <f t="shared" si="0"/>
        <v>100</v>
      </c>
      <c r="T14" s="1567" t="s">
        <v>8</v>
      </c>
      <c r="U14" s="1568">
        <f t="shared" si="1"/>
        <v>100</v>
      </c>
      <c r="V14" s="1567" t="s">
        <v>8</v>
      </c>
      <c r="W14" s="1568">
        <f t="shared" si="2"/>
        <v>100</v>
      </c>
      <c r="X14" s="1569"/>
      <c r="Y14" s="3320"/>
      <c r="Z14" s="1149" t="str">
        <f t="shared" si="7"/>
        <v>配建</v>
      </c>
      <c r="AA14" s="1570">
        <f>D14/F14</f>
        <v>1</v>
      </c>
      <c r="AB14" s="1570">
        <f>D14/H14</f>
        <v>1</v>
      </c>
      <c r="AC14" s="1570">
        <f>D14/J14</f>
        <v>1</v>
      </c>
    </row>
    <row r="15" spans="1:30" ht="21">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0</v>
      </c>
      <c r="R15" s="1567" t="s">
        <v>8</v>
      </c>
      <c r="S15" s="1568">
        <f t="shared" si="0"/>
        <v>100</v>
      </c>
      <c r="T15" s="1567" t="s">
        <v>8</v>
      </c>
      <c r="U15" s="1568">
        <f t="shared" si="1"/>
        <v>100</v>
      </c>
      <c r="V15" s="1567" t="s">
        <v>8</v>
      </c>
      <c r="W15" s="1568">
        <f t="shared" si="2"/>
        <v>100</v>
      </c>
      <c r="X15" s="1569"/>
      <c r="Y15" s="3320"/>
      <c r="Z15" s="1149">
        <f t="shared" si="7"/>
        <v>0</v>
      </c>
      <c r="AA15" s="1570">
        <f>D15/F15</f>
        <v>1</v>
      </c>
      <c r="AB15" s="1570">
        <f>D15/H15</f>
        <v>1</v>
      </c>
      <c r="AC15" s="1570">
        <f>D15/J15</f>
        <v>1</v>
      </c>
    </row>
    <row r="16" spans="1:30" ht="21.6"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0</v>
      </c>
      <c r="R16" s="1567" t="s">
        <v>8</v>
      </c>
      <c r="S16" s="1568">
        <f t="shared" si="0"/>
        <v>100</v>
      </c>
      <c r="T16" s="1567" t="s">
        <v>8</v>
      </c>
      <c r="U16" s="1568">
        <f t="shared" si="1"/>
        <v>100</v>
      </c>
      <c r="V16" s="1567" t="s">
        <v>8</v>
      </c>
      <c r="W16" s="1568">
        <f t="shared" si="2"/>
        <v>100</v>
      </c>
      <c r="X16" s="1569"/>
      <c r="Y16" s="3320"/>
      <c r="Z16" s="1149">
        <f t="shared" si="7"/>
        <v>0</v>
      </c>
      <c r="AA16" s="1570">
        <f>D16/F16</f>
        <v>1</v>
      </c>
      <c r="AB16" s="1570">
        <f>D16/H16</f>
        <v>1</v>
      </c>
      <c r="AC16" s="1570">
        <f>D16/J16</f>
        <v>1</v>
      </c>
    </row>
    <row r="17" spans="1:29" ht="27.6">
      <c r="A17" s="2910" t="s">
        <v>2714</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410" t="s">
        <v>505</v>
      </c>
      <c r="Q17" s="1571" t="str">
        <f t="shared" si="6"/>
        <v>居住社区成熟度</v>
      </c>
      <c r="R17" s="1572" t="s">
        <v>8</v>
      </c>
      <c r="S17" s="1573">
        <f t="shared" si="0"/>
        <v>100</v>
      </c>
      <c r="T17" s="1572" t="s">
        <v>8</v>
      </c>
      <c r="U17" s="1573">
        <f t="shared" si="1"/>
        <v>100</v>
      </c>
      <c r="V17" s="1572" t="s">
        <v>8</v>
      </c>
      <c r="W17" s="1573">
        <f t="shared" si="2"/>
        <v>100</v>
      </c>
      <c r="X17" s="1566"/>
      <c r="Y17" s="3410" t="s">
        <v>505</v>
      </c>
      <c r="Z17" s="1574" t="str">
        <f t="shared" si="7"/>
        <v>居住社区成熟度</v>
      </c>
      <c r="AA17" s="1575">
        <f t="shared" si="3"/>
        <v>1</v>
      </c>
      <c r="AB17" s="1575">
        <f t="shared" si="4"/>
        <v>1</v>
      </c>
      <c r="AC17" s="1575">
        <f t="shared" si="5"/>
        <v>1</v>
      </c>
    </row>
    <row r="18" spans="1:29" ht="21">
      <c r="A18" s="532"/>
      <c r="B18" s="553"/>
      <c r="C18" s="554" t="s">
        <v>1618</v>
      </c>
      <c r="D18" s="557"/>
      <c r="E18" s="558" t="s">
        <v>1618</v>
      </c>
      <c r="F18" s="555"/>
      <c r="G18" s="558" t="s">
        <v>1618</v>
      </c>
      <c r="H18" s="559"/>
      <c r="I18" s="558" t="s">
        <v>1618</v>
      </c>
      <c r="J18" s="555"/>
      <c r="K18" s="531"/>
      <c r="L18" s="2142"/>
      <c r="M18" s="2132"/>
      <c r="N18" s="2132"/>
      <c r="O18" s="2141"/>
      <c r="P18" s="3411"/>
      <c r="Q18" s="1571"/>
      <c r="R18" s="1572"/>
      <c r="S18" s="1573"/>
      <c r="T18" s="1572"/>
      <c r="U18" s="1573"/>
      <c r="V18" s="1572"/>
      <c r="W18" s="1573"/>
      <c r="X18" s="1566"/>
      <c r="Y18" s="3411"/>
      <c r="Z18" s="1574"/>
      <c r="AA18" s="1575">
        <v>1</v>
      </c>
      <c r="AB18" s="1575">
        <v>1</v>
      </c>
      <c r="AC18" s="1575">
        <v>1</v>
      </c>
    </row>
    <row r="19" spans="1:29" ht="100.8">
      <c r="A19" s="532"/>
      <c r="B19" s="560" t="s">
        <v>506</v>
      </c>
      <c r="C19" s="561" t="str">
        <f>估价对象房地状况!C16</f>
        <v>估价对象位于华强北，周边有乐淘里地下商业街等，周边商业氛围成熟度高，人流量大，商业繁华度好</v>
      </c>
      <c r="D19" s="563">
        <v>100</v>
      </c>
      <c r="E19" s="3197" t="s">
        <v>3124</v>
      </c>
      <c r="F19" s="559">
        <f>SUMIF(92:92,E20,93:93)-SUMIF(92:92,C20,93:93)+100</f>
        <v>98</v>
      </c>
      <c r="G19" s="3197" t="s">
        <v>3124</v>
      </c>
      <c r="H19" s="565">
        <f>SUMIF(92:92,G20,93:93)-SUMIF(92:92,C20,93:93)+100</f>
        <v>98</v>
      </c>
      <c r="I19" s="3197" t="s">
        <v>3124</v>
      </c>
      <c r="J19" s="565">
        <f>SUMIF(92:92,I20,93:93)-SUMIF(92:92,C20,93:93)+100</f>
        <v>98</v>
      </c>
      <c r="K19" s="535">
        <v>2</v>
      </c>
      <c r="L19" s="2142"/>
      <c r="M19" s="2132"/>
      <c r="N19" s="2132"/>
      <c r="O19" s="2141"/>
      <c r="P19" s="3411"/>
      <c r="Q19" s="1571" t="str">
        <f>B19</f>
        <v>商业繁华度</v>
      </c>
      <c r="R19" s="1572" t="s">
        <v>8</v>
      </c>
      <c r="S19" s="1573">
        <f>F19</f>
        <v>98</v>
      </c>
      <c r="T19" s="1572" t="s">
        <v>8</v>
      </c>
      <c r="U19" s="1573">
        <f>H19</f>
        <v>98</v>
      </c>
      <c r="V19" s="1572" t="s">
        <v>8</v>
      </c>
      <c r="W19" s="1573">
        <f>J19</f>
        <v>98</v>
      </c>
      <c r="X19" s="1566"/>
      <c r="Y19" s="3411"/>
      <c r="Z19" s="1574" t="str">
        <f>Q19</f>
        <v>商业繁华度</v>
      </c>
      <c r="AA19" s="1575">
        <f t="shared" si="3"/>
        <v>1.0204081632653061</v>
      </c>
      <c r="AB19" s="1575">
        <f t="shared" si="4"/>
        <v>1.0204081632653061</v>
      </c>
      <c r="AC19" s="1575">
        <f t="shared" si="5"/>
        <v>1.0204081632653061</v>
      </c>
    </row>
    <row r="20" spans="1:29" ht="21">
      <c r="A20" s="532"/>
      <c r="B20" s="566"/>
      <c r="C20" s="567" t="s">
        <v>3113</v>
      </c>
      <c r="D20" s="563"/>
      <c r="E20" s="569" t="s">
        <v>2937</v>
      </c>
      <c r="F20" s="559"/>
      <c r="G20" s="569" t="s">
        <v>2937</v>
      </c>
      <c r="H20" s="555"/>
      <c r="I20" s="569" t="s">
        <v>2937</v>
      </c>
      <c r="J20" s="555"/>
      <c r="K20" s="531"/>
      <c r="L20" s="2142"/>
      <c r="M20" s="2132"/>
      <c r="N20" s="2132"/>
      <c r="O20" s="2141"/>
      <c r="P20" s="3411"/>
      <c r="Q20" s="1571"/>
      <c r="R20" s="1572"/>
      <c r="S20" s="1573"/>
      <c r="T20" s="1572"/>
      <c r="U20" s="1573"/>
      <c r="V20" s="1572"/>
      <c r="W20" s="1573"/>
      <c r="X20" s="1566"/>
      <c r="Y20" s="3411"/>
      <c r="Z20" s="1574"/>
      <c r="AA20" s="1575">
        <v>1</v>
      </c>
      <c r="AB20" s="1575">
        <v>1</v>
      </c>
      <c r="AC20" s="1575">
        <v>1</v>
      </c>
    </row>
    <row r="21" spans="1:29" ht="86.4">
      <c r="A21" s="532"/>
      <c r="B21" s="560" t="s">
        <v>507</v>
      </c>
      <c r="C21" s="561" t="str">
        <f>估价对象房地状况!C17</f>
        <v>估价对象位于华强北，周边办公楼项目多，有华美大厦等，入驻率高，办公集聚程度好</v>
      </c>
      <c r="D21" s="571">
        <v>100</v>
      </c>
      <c r="E21" s="3198" t="s">
        <v>3125</v>
      </c>
      <c r="F21" s="565">
        <f>SUMIF(94:94,E22,95:95)-SUMIF(94:94,C22,95:95)+100</f>
        <v>98</v>
      </c>
      <c r="G21" s="3198" t="s">
        <v>3125</v>
      </c>
      <c r="H21" s="559">
        <f>SUMIF(94:94,G22,95:95)-SUMIF(94:94,C22,95:95)+100</f>
        <v>98</v>
      </c>
      <c r="I21" s="3198" t="s">
        <v>3125</v>
      </c>
      <c r="J21" s="559">
        <f>SUMIF(94:94,I22,95:95)-SUMIF(94:94,C22,95:95)+100</f>
        <v>98</v>
      </c>
      <c r="K21" s="535">
        <v>2</v>
      </c>
      <c r="L21" s="2142"/>
      <c r="M21" s="2132"/>
      <c r="N21" s="2132"/>
      <c r="O21" s="2141"/>
      <c r="P21" s="3411"/>
      <c r="Q21" s="1571" t="str">
        <f>B21</f>
        <v>办公集聚程度</v>
      </c>
      <c r="R21" s="1572" t="s">
        <v>8</v>
      </c>
      <c r="S21" s="1573">
        <f>F21</f>
        <v>98</v>
      </c>
      <c r="T21" s="1572" t="s">
        <v>8</v>
      </c>
      <c r="U21" s="1573">
        <f>H21</f>
        <v>98</v>
      </c>
      <c r="V21" s="1572" t="s">
        <v>8</v>
      </c>
      <c r="W21" s="1573">
        <f>J21</f>
        <v>98</v>
      </c>
      <c r="X21" s="1566"/>
      <c r="Y21" s="3411"/>
      <c r="Z21" s="1574" t="str">
        <f>Q21</f>
        <v>办公集聚程度</v>
      </c>
      <c r="AA21" s="1575">
        <f t="shared" si="3"/>
        <v>1.0204081632653061</v>
      </c>
      <c r="AB21" s="1575">
        <f t="shared" si="4"/>
        <v>1.0204081632653061</v>
      </c>
      <c r="AC21" s="1575">
        <f t="shared" si="5"/>
        <v>1.0204081632653061</v>
      </c>
    </row>
    <row r="22" spans="1:29" ht="21">
      <c r="A22" s="532"/>
      <c r="B22" s="566"/>
      <c r="C22" s="554" t="s">
        <v>3113</v>
      </c>
      <c r="D22" s="557"/>
      <c r="E22" s="569" t="s">
        <v>2937</v>
      </c>
      <c r="F22" s="555"/>
      <c r="G22" s="569" t="s">
        <v>2937</v>
      </c>
      <c r="H22" s="555"/>
      <c r="I22" s="569" t="s">
        <v>2937</v>
      </c>
      <c r="J22" s="555"/>
      <c r="K22" s="531"/>
      <c r="L22" s="2142"/>
      <c r="M22" s="2132"/>
      <c r="N22" s="2132"/>
      <c r="O22" s="2141"/>
      <c r="P22" s="3411"/>
      <c r="Q22" s="1571"/>
      <c r="R22" s="1572"/>
      <c r="S22" s="1573"/>
      <c r="T22" s="1572"/>
      <c r="U22" s="1573"/>
      <c r="V22" s="1572"/>
      <c r="W22" s="1573"/>
      <c r="X22" s="1566"/>
      <c r="Y22" s="3411"/>
      <c r="Z22" s="1574"/>
      <c r="AA22" s="1575">
        <v>1</v>
      </c>
      <c r="AB22" s="1575">
        <v>1</v>
      </c>
      <c r="AC22" s="1575">
        <v>1</v>
      </c>
    </row>
    <row r="23" spans="1:29" ht="129.6">
      <c r="A23" s="532"/>
      <c r="B23" s="560" t="s">
        <v>508</v>
      </c>
      <c r="C23" s="573" t="str">
        <f>估价对象房地状况!C18</f>
        <v>估价对象周边道路状况好、公共交通通达情况好、停车便捷程度好，周边有2号线、7号线华强北站，综合评价交通便捷度好</v>
      </c>
      <c r="D23" s="563">
        <v>100</v>
      </c>
      <c r="E23" s="564" t="s">
        <v>3121</v>
      </c>
      <c r="F23" s="565">
        <f>SUMIF(96:96,E24,97:97)-SUMIF(96:96,C24,97:97)+100</f>
        <v>100</v>
      </c>
      <c r="G23" s="564" t="s">
        <v>3120</v>
      </c>
      <c r="H23" s="559">
        <f>SUMIF(96:96,G24,97:97)-SUMIF(96:96,C24,97:97)+100</f>
        <v>100</v>
      </c>
      <c r="I23" s="564" t="s">
        <v>3121</v>
      </c>
      <c r="J23" s="559">
        <f>SUMIF(96:96,I24,97:97)-SUMIF(96:96,C24,97:97)+100</f>
        <v>100</v>
      </c>
      <c r="K23" s="535">
        <v>1</v>
      </c>
      <c r="L23" s="2142"/>
      <c r="M23" s="2132"/>
      <c r="N23" s="2132"/>
      <c r="O23" s="2141"/>
      <c r="P23" s="3411"/>
      <c r="Q23" s="1571" t="str">
        <f>B23</f>
        <v>交通便捷度</v>
      </c>
      <c r="R23" s="1572" t="s">
        <v>8</v>
      </c>
      <c r="S23" s="1573">
        <f>F23</f>
        <v>100</v>
      </c>
      <c r="T23" s="1572" t="s">
        <v>8</v>
      </c>
      <c r="U23" s="1573">
        <f>H23</f>
        <v>100</v>
      </c>
      <c r="V23" s="1572" t="s">
        <v>8</v>
      </c>
      <c r="W23" s="1573">
        <f>J23</f>
        <v>100</v>
      </c>
      <c r="X23" s="1566"/>
      <c r="Y23" s="3411"/>
      <c r="Z23" s="1574" t="str">
        <f>Q23</f>
        <v>交通便捷度</v>
      </c>
      <c r="AA23" s="1575">
        <f t="shared" si="3"/>
        <v>1</v>
      </c>
      <c r="AB23" s="1575">
        <f t="shared" si="4"/>
        <v>1</v>
      </c>
      <c r="AC23" s="1575">
        <f t="shared" si="5"/>
        <v>1</v>
      </c>
    </row>
    <row r="24" spans="1:29" ht="21">
      <c r="A24" s="532"/>
      <c r="B24" s="578"/>
      <c r="C24" s="554" t="s">
        <v>3113</v>
      </c>
      <c r="D24" s="557"/>
      <c r="E24" s="558" t="s">
        <v>3113</v>
      </c>
      <c r="F24" s="555"/>
      <c r="G24" s="558" t="s">
        <v>3113</v>
      </c>
      <c r="H24" s="555"/>
      <c r="I24" s="558" t="s">
        <v>3113</v>
      </c>
      <c r="J24" s="555"/>
      <c r="K24" s="531"/>
      <c r="L24" s="2142"/>
      <c r="M24" s="2132"/>
      <c r="N24" s="2132"/>
      <c r="O24" s="2141"/>
      <c r="P24" s="3411"/>
      <c r="Q24" s="1571"/>
      <c r="R24" s="1572"/>
      <c r="S24" s="1573"/>
      <c r="T24" s="1572"/>
      <c r="U24" s="1573"/>
      <c r="V24" s="1572"/>
      <c r="W24" s="1573"/>
      <c r="X24" s="1566"/>
      <c r="Y24" s="3411"/>
      <c r="Z24" s="1574"/>
      <c r="AA24" s="1575">
        <v>1</v>
      </c>
      <c r="AB24" s="1575">
        <v>1</v>
      </c>
      <c r="AC24" s="1575">
        <v>1</v>
      </c>
    </row>
    <row r="25" spans="1:29" ht="28.8">
      <c r="A25" s="515"/>
      <c r="B25" s="259" t="s">
        <v>509</v>
      </c>
      <c r="C25" s="573" t="str">
        <f>估价对象房地状况!C19</f>
        <v>较一致</v>
      </c>
      <c r="D25" s="563">
        <v>100</v>
      </c>
      <c r="E25" s="564" t="s">
        <v>2996</v>
      </c>
      <c r="F25" s="565">
        <f>SUMIF(98:98,E26,99:99)-SUMIF(98:98,C26,99:99)+100</f>
        <v>100</v>
      </c>
      <c r="G25" s="564" t="s">
        <v>2996</v>
      </c>
      <c r="H25" s="559">
        <f>SUMIF(98:98,G26,99:99)-SUMIF(98:98,C26,99:99)+100</f>
        <v>100</v>
      </c>
      <c r="I25" s="564" t="s">
        <v>2996</v>
      </c>
      <c r="J25" s="559">
        <f>SUMIF(98:98,I26,99:99)-SUMIF(98:98,C26,99:99)+100</f>
        <v>100</v>
      </c>
      <c r="K25" s="535">
        <v>1</v>
      </c>
      <c r="L25" s="2142"/>
      <c r="M25" s="2132"/>
      <c r="N25" s="2132"/>
      <c r="O25" s="2141"/>
      <c r="P25" s="3411"/>
      <c r="Q25" s="1571" t="str">
        <f t="shared" ref="Q25:Q39" si="8">B25</f>
        <v>区域土地利用方向</v>
      </c>
      <c r="R25" s="1572" t="s">
        <v>8</v>
      </c>
      <c r="S25" s="1573">
        <f>F25</f>
        <v>100</v>
      </c>
      <c r="T25" s="1572" t="s">
        <v>8</v>
      </c>
      <c r="U25" s="1573">
        <f>H25</f>
        <v>100</v>
      </c>
      <c r="V25" s="1572" t="s">
        <v>8</v>
      </c>
      <c r="W25" s="1573">
        <f>J25</f>
        <v>100</v>
      </c>
      <c r="X25" s="1566"/>
      <c r="Y25" s="3411"/>
      <c r="Z25" s="1574" t="str">
        <f>Q25</f>
        <v>区域土地利用方向</v>
      </c>
      <c r="AA25" s="1575">
        <f t="shared" si="3"/>
        <v>1</v>
      </c>
      <c r="AB25" s="1575">
        <f t="shared" si="4"/>
        <v>1</v>
      </c>
      <c r="AC25" s="1575">
        <f t="shared" si="5"/>
        <v>1</v>
      </c>
    </row>
    <row r="26" spans="1:29" ht="21">
      <c r="A26" s="515"/>
      <c r="B26" s="1007"/>
      <c r="C26" s="554" t="s">
        <v>2937</v>
      </c>
      <c r="D26" s="557"/>
      <c r="E26" s="558" t="s">
        <v>2937</v>
      </c>
      <c r="F26" s="555"/>
      <c r="G26" s="558" t="s">
        <v>2937</v>
      </c>
      <c r="H26" s="555"/>
      <c r="I26" s="558" t="s">
        <v>2937</v>
      </c>
      <c r="J26" s="555"/>
      <c r="K26" s="531"/>
      <c r="L26" s="2142"/>
      <c r="M26" s="2132"/>
      <c r="N26" s="2132"/>
      <c r="O26" s="2141"/>
      <c r="P26" s="3411"/>
      <c r="Q26" s="1571"/>
      <c r="R26" s="1572"/>
      <c r="S26" s="1573"/>
      <c r="T26" s="1572"/>
      <c r="U26" s="1573"/>
      <c r="V26" s="1572"/>
      <c r="W26" s="1573"/>
      <c r="X26" s="1566"/>
      <c r="Y26" s="3411"/>
      <c r="Z26" s="1574"/>
      <c r="AA26" s="1575"/>
      <c r="AB26" s="1575"/>
      <c r="AC26" s="1575"/>
    </row>
    <row r="27" spans="1:29" ht="82.8">
      <c r="A27" s="515"/>
      <c r="B27" s="578" t="s">
        <v>510</v>
      </c>
      <c r="C27" s="561" t="str">
        <f>估价对象房地状况!C20</f>
        <v>区域自然环境及人文环境好，周边有深圳城市学院、深圳中心公园；综合评价环境状况好</v>
      </c>
      <c r="D27" s="563">
        <v>100</v>
      </c>
      <c r="E27" s="3197" t="s">
        <v>3123</v>
      </c>
      <c r="F27" s="559">
        <f>SUMIF(100:100,E28,101:101)-SUMIF(100:100,C28,101:101)+100</f>
        <v>100</v>
      </c>
      <c r="G27" s="564" t="s">
        <v>3122</v>
      </c>
      <c r="H27" s="559">
        <f>SUMIF(100:100,G28,101:101)-SUMIF(100:100,C28,101:101)+100</f>
        <v>100</v>
      </c>
      <c r="I27" s="564" t="s">
        <v>3122</v>
      </c>
      <c r="J27" s="559">
        <f>SUMIF(100:100,I28,101:101)-SUMIF(100:100,C28,101:101)+100</f>
        <v>100</v>
      </c>
      <c r="K27" s="535">
        <v>1</v>
      </c>
      <c r="L27" s="2142"/>
      <c r="M27" s="2132"/>
      <c r="N27" s="2132"/>
      <c r="O27" s="2141"/>
      <c r="P27" s="3411"/>
      <c r="Q27" s="1571" t="str">
        <f t="shared" si="8"/>
        <v>自然及人文环境状况</v>
      </c>
      <c r="R27" s="1572" t="s">
        <v>8</v>
      </c>
      <c r="S27" s="1573">
        <f>F27</f>
        <v>100</v>
      </c>
      <c r="T27" s="1572" t="s">
        <v>8</v>
      </c>
      <c r="U27" s="1573">
        <f>H27</f>
        <v>100</v>
      </c>
      <c r="V27" s="1572" t="s">
        <v>8</v>
      </c>
      <c r="W27" s="1573">
        <f>J27</f>
        <v>100</v>
      </c>
      <c r="X27" s="1566"/>
      <c r="Y27" s="3411"/>
      <c r="Z27" s="1574" t="str">
        <f>Q27</f>
        <v>自然及人文环境状况</v>
      </c>
      <c r="AA27" s="1575">
        <f t="shared" si="3"/>
        <v>1</v>
      </c>
      <c r="AB27" s="1575">
        <f t="shared" si="4"/>
        <v>1</v>
      </c>
      <c r="AC27" s="1575">
        <f t="shared" si="5"/>
        <v>1</v>
      </c>
    </row>
    <row r="28" spans="1:29" ht="21">
      <c r="A28" s="515"/>
      <c r="B28" s="566"/>
      <c r="C28" s="554" t="s">
        <v>3113</v>
      </c>
      <c r="D28" s="557"/>
      <c r="E28" s="576" t="s">
        <v>3113</v>
      </c>
      <c r="F28" s="555"/>
      <c r="G28" s="576" t="s">
        <v>3113</v>
      </c>
      <c r="H28" s="555"/>
      <c r="I28" s="576" t="s">
        <v>3113</v>
      </c>
      <c r="J28" s="555"/>
      <c r="K28" s="531"/>
      <c r="L28" s="2142"/>
      <c r="M28" s="2132"/>
      <c r="N28" s="2132"/>
      <c r="O28" s="2141"/>
      <c r="P28" s="3411"/>
      <c r="Q28" s="1571"/>
      <c r="R28" s="1572"/>
      <c r="S28" s="1573"/>
      <c r="T28" s="1572"/>
      <c r="U28" s="1573"/>
      <c r="V28" s="1572"/>
      <c r="W28" s="1573"/>
      <c r="X28" s="1566"/>
      <c r="Y28" s="3411"/>
      <c r="Z28" s="1574"/>
      <c r="AA28" s="1575">
        <v>1</v>
      </c>
      <c r="AB28" s="1575">
        <v>1</v>
      </c>
      <c r="AC28" s="1575">
        <v>1</v>
      </c>
    </row>
    <row r="29" spans="1:29" s="1219" customFormat="1" ht="41.4">
      <c r="A29" s="577"/>
      <c r="B29" s="2591" t="s">
        <v>2508</v>
      </c>
      <c r="C29" s="573" t="str">
        <f>估价对象房地状况!C21</f>
        <v>估价对象所在区域公共配套设施齐备情况好</v>
      </c>
      <c r="D29" s="563">
        <v>100</v>
      </c>
      <c r="E29" s="564" t="s">
        <v>2991</v>
      </c>
      <c r="F29" s="559">
        <f>SUMIF(102:102,E30,103:103)-SUMIF(102:102,C30,103:103)+100</f>
        <v>99</v>
      </c>
      <c r="G29" s="564" t="s">
        <v>2991</v>
      </c>
      <c r="H29" s="559">
        <f>SUMIF(102:102,G30,103:103)-SUMIF(102:102,C30,103:103)+100</f>
        <v>99</v>
      </c>
      <c r="I29" s="564" t="s">
        <v>2991</v>
      </c>
      <c r="J29" s="559">
        <f>SUMIF(102:102,I30,103:103)-SUMIF(102:102,C30,103:103)+100</f>
        <v>99</v>
      </c>
      <c r="K29" s="535">
        <v>1</v>
      </c>
      <c r="L29" s="2135"/>
      <c r="M29" s="2132"/>
      <c r="N29" s="2132"/>
      <c r="O29" s="2137"/>
      <c r="P29" s="3411"/>
      <c r="Q29" s="1150" t="str">
        <f t="shared" si="8"/>
        <v>公共配套设施</v>
      </c>
      <c r="R29" s="1567" t="s">
        <v>8</v>
      </c>
      <c r="S29" s="1568">
        <f>F29</f>
        <v>99</v>
      </c>
      <c r="T29" s="1567" t="s">
        <v>8</v>
      </c>
      <c r="U29" s="1568">
        <f>H29</f>
        <v>99</v>
      </c>
      <c r="V29" s="1567" t="s">
        <v>8</v>
      </c>
      <c r="W29" s="1568">
        <f>J29</f>
        <v>99</v>
      </c>
      <c r="X29" s="1569"/>
      <c r="Y29" s="3411"/>
      <c r="Z29" s="1149" t="str">
        <f>Q29</f>
        <v>公共配套设施</v>
      </c>
      <c r="AA29" s="1575">
        <f>D29/F29</f>
        <v>1.0101010101010102</v>
      </c>
      <c r="AB29" s="1575">
        <f>D29/H29</f>
        <v>1.0101010101010102</v>
      </c>
      <c r="AC29" s="1575">
        <f>D29/J29</f>
        <v>1.0101010101010102</v>
      </c>
    </row>
    <row r="30" spans="1:29" s="1219" customFormat="1" ht="21">
      <c r="A30" s="577"/>
      <c r="B30" s="566"/>
      <c r="C30" s="579" t="s">
        <v>3113</v>
      </c>
      <c r="D30" s="557"/>
      <c r="E30" s="576" t="s">
        <v>2937</v>
      </c>
      <c r="F30" s="555"/>
      <c r="G30" s="576" t="s">
        <v>2937</v>
      </c>
      <c r="H30" s="555"/>
      <c r="I30" s="576" t="s">
        <v>2937</v>
      </c>
      <c r="J30" s="555"/>
      <c r="K30" s="531"/>
      <c r="L30" s="2135"/>
      <c r="M30" s="2132"/>
      <c r="N30" s="2132"/>
      <c r="O30" s="2137"/>
      <c r="P30" s="3411"/>
      <c r="Q30" s="1150"/>
      <c r="R30" s="1567"/>
      <c r="S30" s="1568"/>
      <c r="T30" s="1567"/>
      <c r="U30" s="1568"/>
      <c r="V30" s="1567"/>
      <c r="W30" s="1568"/>
      <c r="X30" s="1569"/>
      <c r="Y30" s="3411"/>
      <c r="Z30" s="1149"/>
      <c r="AA30" s="1575">
        <v>1</v>
      </c>
      <c r="AB30" s="1575">
        <v>1</v>
      </c>
      <c r="AC30" s="1575">
        <v>1</v>
      </c>
    </row>
    <row r="31" spans="1:29" s="1219" customFormat="1" ht="41.4">
      <c r="A31" s="577"/>
      <c r="B31" s="2591" t="s">
        <v>2509</v>
      </c>
      <c r="C31" s="573" t="str">
        <f>估价对象房地状况!C22</f>
        <v>估价对象所在区域基础设施水平高</v>
      </c>
      <c r="D31" s="563">
        <v>100</v>
      </c>
      <c r="E31" s="564" t="s">
        <v>2993</v>
      </c>
      <c r="F31" s="559">
        <f>SUMIF(104:104,E32,105:105)-SUMIF(104:104,C32,105:105)+100</f>
        <v>100</v>
      </c>
      <c r="G31" s="564" t="s">
        <v>2993</v>
      </c>
      <c r="H31" s="559">
        <f>SUMIF(104:104,G32,105:105)-SUMIF(104:104,C32,105:105)+100</f>
        <v>100</v>
      </c>
      <c r="I31" s="564" t="s">
        <v>2993</v>
      </c>
      <c r="J31" s="559">
        <f>SUMIF(104:104,I32,105:105)-SUMIF(104:104,C32,105:105)+100</f>
        <v>100</v>
      </c>
      <c r="K31" s="535">
        <v>1</v>
      </c>
      <c r="L31" s="2135"/>
      <c r="M31" s="2132"/>
      <c r="N31" s="2132"/>
      <c r="O31" s="2137"/>
      <c r="P31" s="3411"/>
      <c r="Q31" s="2578" t="str">
        <f t="shared" ref="Q31" si="9">B31</f>
        <v>基础设施水平</v>
      </c>
      <c r="R31" s="1567" t="s">
        <v>8</v>
      </c>
      <c r="S31" s="1568">
        <f>F31</f>
        <v>100</v>
      </c>
      <c r="T31" s="1567" t="s">
        <v>8</v>
      </c>
      <c r="U31" s="1568">
        <f>H31</f>
        <v>100</v>
      </c>
      <c r="V31" s="1567" t="s">
        <v>8</v>
      </c>
      <c r="W31" s="1568">
        <f>J31</f>
        <v>100</v>
      </c>
      <c r="X31" s="1569"/>
      <c r="Y31" s="3411"/>
      <c r="Z31" s="2575" t="str">
        <f>Q31</f>
        <v>基础设施水平</v>
      </c>
      <c r="AA31" s="1575">
        <f>D31/F31</f>
        <v>1</v>
      </c>
      <c r="AB31" s="1575">
        <f>D31/H31</f>
        <v>1</v>
      </c>
      <c r="AC31" s="1575">
        <f>D31/J31</f>
        <v>1</v>
      </c>
    </row>
    <row r="32" spans="1:29" s="1219" customFormat="1" ht="21">
      <c r="A32" s="577"/>
      <c r="B32" s="566"/>
      <c r="C32" s="579" t="s">
        <v>2938</v>
      </c>
      <c r="D32" s="557"/>
      <c r="E32" s="2592" t="s">
        <v>2938</v>
      </c>
      <c r="F32" s="555"/>
      <c r="G32" s="2592" t="s">
        <v>2938</v>
      </c>
      <c r="H32" s="555"/>
      <c r="I32" s="2592" t="s">
        <v>2938</v>
      </c>
      <c r="J32" s="555"/>
      <c r="K32" s="531"/>
      <c r="L32" s="2135"/>
      <c r="M32" s="2132"/>
      <c r="N32" s="2132"/>
      <c r="O32" s="2137"/>
      <c r="P32" s="3411"/>
      <c r="Q32" s="2578"/>
      <c r="R32" s="1567"/>
      <c r="S32" s="1568"/>
      <c r="T32" s="1567"/>
      <c r="U32" s="1568"/>
      <c r="V32" s="1567"/>
      <c r="W32" s="1568"/>
      <c r="X32" s="1569"/>
      <c r="Y32" s="3411"/>
      <c r="Z32" s="2575"/>
      <c r="AA32" s="1575">
        <v>1</v>
      </c>
      <c r="AB32" s="1575">
        <v>1</v>
      </c>
      <c r="AC32" s="1575">
        <v>1</v>
      </c>
    </row>
    <row r="33" spans="1:29" ht="21">
      <c r="A33" s="532"/>
      <c r="B33" s="566" t="s">
        <v>512</v>
      </c>
      <c r="C33" s="580" t="s">
        <v>2998</v>
      </c>
      <c r="D33" s="575">
        <v>100</v>
      </c>
      <c r="E33" s="583" t="s">
        <v>2998</v>
      </c>
      <c r="F33" s="540">
        <f>SUMIF(106:106,E33,107:107)-SUMIF(106:106,C33,107:107)+100</f>
        <v>100</v>
      </c>
      <c r="G33" s="583" t="s">
        <v>2998</v>
      </c>
      <c r="H33" s="540">
        <f>SUMIF(106:106,G33,107:107)-SUMIF(106:106,C33,107:107)+100</f>
        <v>100</v>
      </c>
      <c r="I33" s="583" t="s">
        <v>2998</v>
      </c>
      <c r="J33" s="540">
        <f>SUMIF(106:106,I33,107:107)-SUMIF(106:106,C33,107:107)+100</f>
        <v>100</v>
      </c>
      <c r="K33" s="535">
        <v>1</v>
      </c>
      <c r="L33" s="2142"/>
      <c r="M33" s="2132"/>
      <c r="N33" s="2132"/>
      <c r="O33" s="2141"/>
      <c r="P33" s="341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1"/>
      <c r="Z33" s="1574" t="str">
        <f t="shared" ref="Z33:Z47" si="13">Q33</f>
        <v>临街状况</v>
      </c>
      <c r="AA33" s="1575">
        <f t="shared" si="3"/>
        <v>1</v>
      </c>
      <c r="AB33" s="1575">
        <f t="shared" si="4"/>
        <v>1</v>
      </c>
      <c r="AC33" s="1575">
        <f t="shared" si="5"/>
        <v>1</v>
      </c>
    </row>
    <row r="34" spans="1:29" ht="28.8">
      <c r="A34" s="532"/>
      <c r="B34" s="578" t="s">
        <v>513</v>
      </c>
      <c r="C34" s="3196" t="str">
        <f>估价对象房地状况!C10</f>
        <v>城市主干道-振华路</v>
      </c>
      <c r="D34" s="563">
        <v>100</v>
      </c>
      <c r="E34" s="564" t="s">
        <v>3118</v>
      </c>
      <c r="F34" s="559">
        <f>SUMIF(108:108,E35,109:109)-SUMIF(108:108,C35,109:109)+100</f>
        <v>102</v>
      </c>
      <c r="G34" s="564" t="s">
        <v>3114</v>
      </c>
      <c r="H34" s="559">
        <f>SUMIF(108:108,G35,109:109)-SUMIF(108:108,C35,109:109)+100</f>
        <v>98</v>
      </c>
      <c r="I34" s="564" t="s">
        <v>3119</v>
      </c>
      <c r="J34" s="559">
        <f>SUMIF(108:108,I35,109:109)-SUMIF(108:108,C35,109:109)+100</f>
        <v>102</v>
      </c>
      <c r="K34" s="535">
        <v>1</v>
      </c>
      <c r="L34" s="2142"/>
      <c r="M34" s="2132"/>
      <c r="N34" s="2132"/>
      <c r="O34" s="2141"/>
      <c r="P34" s="3411"/>
      <c r="Q34" s="1571" t="str">
        <f t="shared" si="8"/>
        <v>毗邻道路的类型与等级</v>
      </c>
      <c r="R34" s="1572" t="s">
        <v>8</v>
      </c>
      <c r="S34" s="1573">
        <f t="shared" si="10"/>
        <v>102</v>
      </c>
      <c r="T34" s="1572" t="s">
        <v>8</v>
      </c>
      <c r="U34" s="1573">
        <f t="shared" si="11"/>
        <v>98</v>
      </c>
      <c r="V34" s="1572" t="s">
        <v>8</v>
      </c>
      <c r="W34" s="1573">
        <f t="shared" si="12"/>
        <v>102</v>
      </c>
      <c r="X34" s="1566"/>
      <c r="Y34" s="3411"/>
      <c r="Z34" s="1574" t="str">
        <f t="shared" si="13"/>
        <v>毗邻道路的类型与等级</v>
      </c>
      <c r="AA34" s="1575">
        <f t="shared" si="3"/>
        <v>0.98039215686274506</v>
      </c>
      <c r="AB34" s="1575">
        <f t="shared" si="4"/>
        <v>1.0204081632653061</v>
      </c>
      <c r="AC34" s="1575">
        <f t="shared" si="5"/>
        <v>0.98039215686274506</v>
      </c>
    </row>
    <row r="35" spans="1:29" ht="21">
      <c r="A35" s="532"/>
      <c r="B35" s="566"/>
      <c r="C35" s="554" t="s">
        <v>3100</v>
      </c>
      <c r="D35" s="557"/>
      <c r="E35" s="576" t="s">
        <v>3115</v>
      </c>
      <c r="F35" s="555"/>
      <c r="G35" s="576" t="s">
        <v>3102</v>
      </c>
      <c r="H35" s="555"/>
      <c r="I35" s="576" t="s">
        <v>3115</v>
      </c>
      <c r="J35" s="555"/>
      <c r="K35" s="581"/>
      <c r="L35" s="2142"/>
      <c r="M35" s="2132"/>
      <c r="N35" s="2132"/>
      <c r="O35" s="2141"/>
      <c r="P35" s="3411"/>
      <c r="Q35" s="1571"/>
      <c r="R35" s="1572"/>
      <c r="S35" s="1573"/>
      <c r="T35" s="1572"/>
      <c r="U35" s="1573"/>
      <c r="V35" s="1572"/>
      <c r="W35" s="1573"/>
      <c r="X35" s="1566"/>
      <c r="Y35" s="3411"/>
      <c r="Z35" s="1574"/>
      <c r="AA35" s="1575">
        <v>1</v>
      </c>
      <c r="AB35" s="1575">
        <v>1</v>
      </c>
      <c r="AC35" s="1575">
        <v>1</v>
      </c>
    </row>
    <row r="36" spans="1:29" ht="21">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411"/>
      <c r="Q36" s="1571" t="str">
        <f t="shared" si="8"/>
        <v>土地级别</v>
      </c>
      <c r="R36" s="1572" t="s">
        <v>8</v>
      </c>
      <c r="S36" s="1573">
        <f t="shared" si="10"/>
        <v>100</v>
      </c>
      <c r="T36" s="1572" t="s">
        <v>8</v>
      </c>
      <c r="U36" s="1573">
        <f t="shared" si="11"/>
        <v>100</v>
      </c>
      <c r="V36" s="1572" t="s">
        <v>8</v>
      </c>
      <c r="W36" s="1573">
        <f t="shared" si="12"/>
        <v>100</v>
      </c>
      <c r="X36" s="1566"/>
      <c r="Y36" s="3411"/>
      <c r="Z36" s="1574" t="str">
        <f t="shared" si="13"/>
        <v>土地级别</v>
      </c>
      <c r="AA36" s="1575">
        <f t="shared" si="3"/>
        <v>1</v>
      </c>
      <c r="AB36" s="1575">
        <f t="shared" si="4"/>
        <v>1</v>
      </c>
      <c r="AC36" s="1575">
        <f t="shared" si="5"/>
        <v>1</v>
      </c>
    </row>
    <row r="37" spans="1:29" ht="2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1">
        <f t="shared" si="8"/>
        <v>0</v>
      </c>
      <c r="R37" s="1572" t="s">
        <v>8</v>
      </c>
      <c r="S37" s="1573">
        <f t="shared" si="10"/>
        <v>100</v>
      </c>
      <c r="T37" s="1572" t="s">
        <v>8</v>
      </c>
      <c r="U37" s="1573">
        <f t="shared" si="11"/>
        <v>100</v>
      </c>
      <c r="V37" s="1572" t="s">
        <v>8</v>
      </c>
      <c r="W37" s="1573">
        <f t="shared" si="12"/>
        <v>100</v>
      </c>
      <c r="X37" s="1566"/>
      <c r="Y37" s="3411"/>
      <c r="Z37" s="1574">
        <f t="shared" si="13"/>
        <v>0</v>
      </c>
      <c r="AA37" s="1575">
        <f t="shared" si="3"/>
        <v>1</v>
      </c>
      <c r="AB37" s="1575">
        <f t="shared" si="4"/>
        <v>1</v>
      </c>
      <c r="AC37" s="1575">
        <f t="shared" si="5"/>
        <v>1</v>
      </c>
    </row>
    <row r="38" spans="1:29" ht="2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515</v>
      </c>
      <c r="Q38" s="1571">
        <f t="shared" si="8"/>
        <v>0</v>
      </c>
      <c r="R38" s="1572" t="s">
        <v>8</v>
      </c>
      <c r="S38" s="1573">
        <f t="shared" si="10"/>
        <v>100</v>
      </c>
      <c r="T38" s="1572" t="s">
        <v>8</v>
      </c>
      <c r="U38" s="1573">
        <f t="shared" si="11"/>
        <v>100</v>
      </c>
      <c r="V38" s="1572" t="s">
        <v>8</v>
      </c>
      <c r="W38" s="1573">
        <f t="shared" si="12"/>
        <v>100</v>
      </c>
      <c r="X38" s="1566"/>
      <c r="Y38" s="3413" t="s">
        <v>515</v>
      </c>
      <c r="Z38" s="1574">
        <f t="shared" si="13"/>
        <v>0</v>
      </c>
      <c r="AA38" s="1575">
        <f t="shared" si="3"/>
        <v>1</v>
      </c>
      <c r="AB38" s="1575">
        <f t="shared" si="4"/>
        <v>1</v>
      </c>
      <c r="AC38" s="1575">
        <f t="shared" si="5"/>
        <v>1</v>
      </c>
    </row>
    <row r="39" spans="1:29" s="1338" customFormat="1" ht="21.6"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1">
        <f t="shared" si="8"/>
        <v>0</v>
      </c>
      <c r="R39" s="1576" t="s">
        <v>8</v>
      </c>
      <c r="S39" s="1577">
        <f t="shared" si="10"/>
        <v>100</v>
      </c>
      <c r="T39" s="1576" t="s">
        <v>8</v>
      </c>
      <c r="U39" s="1577">
        <f t="shared" si="11"/>
        <v>100</v>
      </c>
      <c r="V39" s="1576" t="s">
        <v>8</v>
      </c>
      <c r="W39" s="1577">
        <f t="shared" si="12"/>
        <v>100</v>
      </c>
      <c r="X39" s="1578"/>
      <c r="Y39" s="3413"/>
      <c r="Z39" s="1579">
        <f t="shared" si="13"/>
        <v>0</v>
      </c>
      <c r="AA39" s="1575">
        <f t="shared" si="3"/>
        <v>1</v>
      </c>
      <c r="AB39" s="1575">
        <f t="shared" si="4"/>
        <v>1</v>
      </c>
      <c r="AC39" s="1575">
        <f t="shared" si="5"/>
        <v>1</v>
      </c>
    </row>
    <row r="40" spans="1:29" ht="21">
      <c r="A40" s="2907" t="s">
        <v>2715</v>
      </c>
      <c r="B40" s="595" t="s">
        <v>517</v>
      </c>
      <c r="C40" s="596">
        <f>'数据-基础表'!A3</f>
        <v>10423.25</v>
      </c>
      <c r="D40" s="597">
        <v>100</v>
      </c>
      <c r="E40" s="596">
        <f>土地案例!G26</f>
        <v>6571.61</v>
      </c>
      <c r="F40" s="597">
        <f>LOOKUP(E40,119:119,120:120)-LOOKUP(C40,119:119,120:120)+100</f>
        <v>99</v>
      </c>
      <c r="G40" s="596">
        <f>土地案例!G27</f>
        <v>18218.36</v>
      </c>
      <c r="H40" s="597">
        <f>LOOKUP(G40,119:119,120:120)-LOOKUP(C40,119:119,120:120)+100</f>
        <v>100</v>
      </c>
      <c r="I40" s="598">
        <f>土地案例!G28</f>
        <v>6262.81</v>
      </c>
      <c r="J40" s="597">
        <f>LOOKUP(I40,119:119,120:120)-LOOKUP(C40,119:119,120:120)+100</f>
        <v>99</v>
      </c>
      <c r="K40" s="581"/>
      <c r="L40" s="2142"/>
      <c r="M40" s="2132"/>
      <c r="N40" s="2132"/>
      <c r="O40" s="2141"/>
      <c r="P40" s="3413"/>
      <c r="Q40" s="1571" t="str">
        <f>B40</f>
        <v>宗地面积</v>
      </c>
      <c r="R40" s="1572" t="s">
        <v>8</v>
      </c>
      <c r="S40" s="1573">
        <f t="shared" si="10"/>
        <v>99</v>
      </c>
      <c r="T40" s="1572" t="s">
        <v>8</v>
      </c>
      <c r="U40" s="1573">
        <f t="shared" si="11"/>
        <v>100</v>
      </c>
      <c r="V40" s="1572" t="s">
        <v>8</v>
      </c>
      <c r="W40" s="1573">
        <f t="shared" si="12"/>
        <v>99</v>
      </c>
      <c r="X40" s="1566"/>
      <c r="Y40" s="3413"/>
      <c r="Z40" s="1574" t="str">
        <f t="shared" si="13"/>
        <v>宗地面积</v>
      </c>
      <c r="AA40" s="1575">
        <f t="shared" si="3"/>
        <v>1.0101010101010102</v>
      </c>
      <c r="AB40" s="1575">
        <f t="shared" si="4"/>
        <v>1</v>
      </c>
      <c r="AC40" s="1575">
        <f t="shared" si="5"/>
        <v>1.0101010101010102</v>
      </c>
    </row>
    <row r="41" spans="1:29" ht="21">
      <c r="A41" s="594"/>
      <c r="B41" s="527" t="s">
        <v>518</v>
      </c>
      <c r="C41" s="599" t="s">
        <v>3105</v>
      </c>
      <c r="D41" s="540">
        <v>100</v>
      </c>
      <c r="E41" s="599" t="s">
        <v>3105</v>
      </c>
      <c r="F41" s="540">
        <f>SUMIF(121:121,E41,122:122)-SUMIF(121:121,C41,122:122)+100</f>
        <v>100</v>
      </c>
      <c r="G41" s="599" t="s">
        <v>3105</v>
      </c>
      <c r="H41" s="540">
        <f>SUMIF(121:121,G41,122:122)-SUMIF(121:121,C41,122:122)+100</f>
        <v>100</v>
      </c>
      <c r="I41" s="599" t="s">
        <v>3105</v>
      </c>
      <c r="J41" s="540">
        <f>SUMIF(121:121,I41,122:122)-SUMIF(121:121,C41,122:122)+100</f>
        <v>100</v>
      </c>
      <c r="K41" s="584">
        <v>1</v>
      </c>
      <c r="L41" s="2142"/>
      <c r="M41" s="2132"/>
      <c r="N41" s="2132"/>
      <c r="O41" s="2141"/>
      <c r="P41" s="3413"/>
      <c r="Q41" s="1571" t="str">
        <f t="shared" ref="Q41:Q47" si="14">B41</f>
        <v>宗地形状</v>
      </c>
      <c r="R41" s="1572" t="s">
        <v>8</v>
      </c>
      <c r="S41" s="1573">
        <f t="shared" si="10"/>
        <v>100</v>
      </c>
      <c r="T41" s="1572" t="s">
        <v>8</v>
      </c>
      <c r="U41" s="1573">
        <f t="shared" si="11"/>
        <v>100</v>
      </c>
      <c r="V41" s="1572" t="s">
        <v>8</v>
      </c>
      <c r="W41" s="1573">
        <f t="shared" si="12"/>
        <v>100</v>
      </c>
      <c r="X41" s="1566"/>
      <c r="Y41" s="3413"/>
      <c r="Z41" s="1574" t="str">
        <f t="shared" si="13"/>
        <v>宗地形状</v>
      </c>
      <c r="AA41" s="1575">
        <f t="shared" si="3"/>
        <v>1</v>
      </c>
      <c r="AB41" s="1575">
        <f t="shared" si="4"/>
        <v>1</v>
      </c>
      <c r="AC41" s="1575">
        <f t="shared" si="5"/>
        <v>1</v>
      </c>
    </row>
    <row r="42" spans="1:29" ht="21">
      <c r="A42" s="594"/>
      <c r="B42" s="527" t="s">
        <v>519</v>
      </c>
      <c r="C42" s="599" t="s">
        <v>2937</v>
      </c>
      <c r="D42" s="540">
        <v>100</v>
      </c>
      <c r="E42" s="599" t="s">
        <v>2937</v>
      </c>
      <c r="F42" s="540">
        <f>SUMIF(123:123,E42,124:124)-SUMIF(123:123,C42,124:124)+100</f>
        <v>100</v>
      </c>
      <c r="G42" s="599" t="s">
        <v>2937</v>
      </c>
      <c r="H42" s="540">
        <f>SUMIF(123:123,G42,124:124)-SUMIF(123:123,C42,124:124)+100</f>
        <v>100</v>
      </c>
      <c r="I42" s="599" t="s">
        <v>2937</v>
      </c>
      <c r="J42" s="540">
        <f>SUMIF(123:123,I42,124:124)-SUMIF(123:123,C42,124:124)+100</f>
        <v>100</v>
      </c>
      <c r="K42" s="584">
        <v>1</v>
      </c>
      <c r="L42" s="2142"/>
      <c r="M42" s="2132"/>
      <c r="N42" s="2132"/>
      <c r="O42" s="2141"/>
      <c r="P42" s="3413"/>
      <c r="Q42" s="1571" t="str">
        <f t="shared" si="14"/>
        <v>临街宽度及深度</v>
      </c>
      <c r="R42" s="1572" t="s">
        <v>8</v>
      </c>
      <c r="S42" s="1573">
        <f t="shared" si="10"/>
        <v>100</v>
      </c>
      <c r="T42" s="1572" t="s">
        <v>8</v>
      </c>
      <c r="U42" s="1573">
        <f t="shared" si="11"/>
        <v>100</v>
      </c>
      <c r="V42" s="1572" t="s">
        <v>8</v>
      </c>
      <c r="W42" s="1573">
        <f t="shared" si="12"/>
        <v>100</v>
      </c>
      <c r="X42" s="1566"/>
      <c r="Y42" s="3413"/>
      <c r="Z42" s="1574" t="str">
        <f t="shared" si="13"/>
        <v>临街宽度及深度</v>
      </c>
      <c r="AA42" s="1575">
        <f t="shared" si="3"/>
        <v>1</v>
      </c>
      <c r="AB42" s="1575">
        <f t="shared" si="4"/>
        <v>1</v>
      </c>
      <c r="AC42" s="1575">
        <f t="shared" si="5"/>
        <v>1</v>
      </c>
    </row>
    <row r="43" spans="1:29" s="1219" customFormat="1" ht="21">
      <c r="A43" s="600"/>
      <c r="B43" s="1895" t="s">
        <v>2385</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1</v>
      </c>
      <c r="L43" s="2135"/>
      <c r="M43" s="2132"/>
      <c r="N43" s="2132"/>
      <c r="O43" s="2137"/>
      <c r="P43" s="3413"/>
      <c r="Q43" s="1571" t="str">
        <f t="shared" si="14"/>
        <v>宗地开发程度</v>
      </c>
      <c r="R43" s="1567" t="s">
        <v>8</v>
      </c>
      <c r="S43" s="1568">
        <f t="shared" si="10"/>
        <v>100</v>
      </c>
      <c r="T43" s="1567" t="s">
        <v>8</v>
      </c>
      <c r="U43" s="1568">
        <f t="shared" si="11"/>
        <v>100</v>
      </c>
      <c r="V43" s="1567" t="s">
        <v>8</v>
      </c>
      <c r="W43" s="1568">
        <f t="shared" si="12"/>
        <v>100</v>
      </c>
      <c r="X43" s="1569"/>
      <c r="Y43" s="3413"/>
      <c r="Z43" s="1149" t="str">
        <f t="shared" si="13"/>
        <v>宗地开发程度</v>
      </c>
      <c r="AA43" s="1570">
        <f t="shared" si="3"/>
        <v>1</v>
      </c>
      <c r="AB43" s="1570">
        <f t="shared" si="4"/>
        <v>1</v>
      </c>
      <c r="AC43" s="1570">
        <f t="shared" si="5"/>
        <v>1</v>
      </c>
    </row>
    <row r="44" spans="1:29" ht="21">
      <c r="A44" s="594"/>
      <c r="B44" s="527" t="s">
        <v>520</v>
      </c>
      <c r="C44" s="599" t="s">
        <v>2937</v>
      </c>
      <c r="D44" s="540">
        <v>100</v>
      </c>
      <c r="E44" s="599" t="s">
        <v>2937</v>
      </c>
      <c r="F44" s="540">
        <f>SUMIF(127:127,E44,128:128)-SUMIF(127:127,C44,128:128)+100</f>
        <v>100</v>
      </c>
      <c r="G44" s="599" t="s">
        <v>2937</v>
      </c>
      <c r="H44" s="540">
        <f>SUMIF(127:127,G44,128:128)-SUMIF(127:127,C44,128:128)+100</f>
        <v>100</v>
      </c>
      <c r="I44" s="599" t="s">
        <v>2937</v>
      </c>
      <c r="J44" s="540">
        <f>SUMIF(127:127,I44,128:128)-SUMIF(127:127,C44,128:128)+100</f>
        <v>100</v>
      </c>
      <c r="K44" s="584">
        <v>1</v>
      </c>
      <c r="L44" s="2142"/>
      <c r="M44" s="2132"/>
      <c r="N44" s="2132"/>
      <c r="O44" s="2141"/>
      <c r="P44" s="3413" t="s">
        <v>515</v>
      </c>
      <c r="Q44" s="1571" t="str">
        <f t="shared" si="14"/>
        <v>工程地质条件</v>
      </c>
      <c r="R44" s="1572" t="s">
        <v>8</v>
      </c>
      <c r="S44" s="1573">
        <f t="shared" si="10"/>
        <v>100</v>
      </c>
      <c r="T44" s="1572" t="s">
        <v>8</v>
      </c>
      <c r="U44" s="1573">
        <f t="shared" si="11"/>
        <v>100</v>
      </c>
      <c r="V44" s="1572" t="s">
        <v>8</v>
      </c>
      <c r="W44" s="1573">
        <f t="shared" si="12"/>
        <v>100</v>
      </c>
      <c r="X44" s="1566"/>
      <c r="Y44" s="3413" t="s">
        <v>515</v>
      </c>
      <c r="Z44" s="1574" t="str">
        <f t="shared" si="13"/>
        <v>工程地质条件</v>
      </c>
      <c r="AA44" s="1575">
        <f t="shared" si="3"/>
        <v>1</v>
      </c>
      <c r="AB44" s="1575">
        <f t="shared" si="4"/>
        <v>1</v>
      </c>
      <c r="AC44" s="1575">
        <f t="shared" si="5"/>
        <v>1</v>
      </c>
    </row>
    <row r="45" spans="1:29" ht="2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3"/>
      <c r="Q45" s="1571">
        <f t="shared" si="14"/>
        <v>0</v>
      </c>
      <c r="R45" s="1572" t="s">
        <v>8</v>
      </c>
      <c r="S45" s="1573">
        <f t="shared" si="10"/>
        <v>100</v>
      </c>
      <c r="T45" s="1572" t="s">
        <v>8</v>
      </c>
      <c r="U45" s="1573">
        <f t="shared" si="11"/>
        <v>100</v>
      </c>
      <c r="V45" s="1572" t="s">
        <v>8</v>
      </c>
      <c r="W45" s="1573">
        <f t="shared" si="12"/>
        <v>100</v>
      </c>
      <c r="X45" s="1566"/>
      <c r="Y45" s="3413"/>
      <c r="Z45" s="1574">
        <f t="shared" si="13"/>
        <v>0</v>
      </c>
      <c r="AA45" s="1575">
        <f t="shared" si="3"/>
        <v>1</v>
      </c>
      <c r="AB45" s="1575">
        <f t="shared" si="4"/>
        <v>1</v>
      </c>
      <c r="AC45" s="1575">
        <f t="shared" si="5"/>
        <v>1</v>
      </c>
    </row>
    <row r="46" spans="1:29" ht="2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1">
        <f t="shared" si="14"/>
        <v>0</v>
      </c>
      <c r="R46" s="1572" t="s">
        <v>8</v>
      </c>
      <c r="S46" s="1573">
        <f t="shared" si="10"/>
        <v>100</v>
      </c>
      <c r="T46" s="1572" t="s">
        <v>8</v>
      </c>
      <c r="U46" s="1573">
        <f t="shared" si="11"/>
        <v>100</v>
      </c>
      <c r="V46" s="1572" t="s">
        <v>8</v>
      </c>
      <c r="W46" s="1573">
        <f t="shared" si="12"/>
        <v>100</v>
      </c>
      <c r="X46" s="1566"/>
      <c r="Y46" s="3413"/>
      <c r="Z46" s="1574">
        <f t="shared" si="13"/>
        <v>0</v>
      </c>
      <c r="AA46" s="1575">
        <f t="shared" si="3"/>
        <v>1</v>
      </c>
      <c r="AB46" s="1575">
        <f t="shared" si="4"/>
        <v>1</v>
      </c>
      <c r="AC46" s="1575">
        <f t="shared" si="5"/>
        <v>1</v>
      </c>
    </row>
    <row r="47" spans="1:29" s="1338" customFormat="1" ht="21.6"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1">
        <f t="shared" si="14"/>
        <v>0</v>
      </c>
      <c r="R47" s="1576" t="s">
        <v>8</v>
      </c>
      <c r="S47" s="1577">
        <f t="shared" si="10"/>
        <v>100</v>
      </c>
      <c r="T47" s="1576" t="s">
        <v>8</v>
      </c>
      <c r="U47" s="1577">
        <f t="shared" si="11"/>
        <v>100</v>
      </c>
      <c r="V47" s="1576" t="s">
        <v>8</v>
      </c>
      <c r="W47" s="1577">
        <f t="shared" si="12"/>
        <v>100</v>
      </c>
      <c r="X47" s="1578"/>
      <c r="Y47" s="3413"/>
      <c r="Z47" s="1579">
        <f t="shared" si="13"/>
        <v>0</v>
      </c>
      <c r="AA47" s="1575">
        <f t="shared" si="3"/>
        <v>1</v>
      </c>
      <c r="AB47" s="1575">
        <f t="shared" si="4"/>
        <v>1</v>
      </c>
      <c r="AC47" s="1575">
        <f t="shared" si="5"/>
        <v>1</v>
      </c>
    </row>
    <row r="48" spans="1:29" ht="21">
      <c r="A48" s="607" t="s">
        <v>521</v>
      </c>
      <c r="B48" s="608" t="s">
        <v>2936</v>
      </c>
      <c r="C48" s="609" t="s">
        <v>1</v>
      </c>
      <c r="D48" s="610"/>
      <c r="E48" s="611">
        <v>26625</v>
      </c>
      <c r="F48" s="612"/>
      <c r="G48" s="613">
        <v>24748</v>
      </c>
      <c r="H48" s="614"/>
      <c r="I48" s="611">
        <v>26045</v>
      </c>
      <c r="J48" s="614"/>
      <c r="K48" s="1339"/>
      <c r="L48" s="2144"/>
      <c r="M48" s="2132"/>
      <c r="N48" s="2132"/>
      <c r="O48" s="2145"/>
      <c r="P48" s="3374" t="str">
        <f>A48</f>
        <v>成交单价</v>
      </c>
      <c r="Q48" s="3374"/>
      <c r="R48" s="3375">
        <f>E48</f>
        <v>26625</v>
      </c>
      <c r="S48" s="3375"/>
      <c r="T48" s="3375">
        <f>G48</f>
        <v>24748</v>
      </c>
      <c r="U48" s="3375"/>
      <c r="V48" s="3375">
        <f>I48</f>
        <v>26045</v>
      </c>
      <c r="W48" s="3375"/>
      <c r="X48" s="1558"/>
      <c r="Y48" s="1580"/>
      <c r="Z48" s="1558"/>
      <c r="AA48" s="1558"/>
      <c r="AB48" s="1558"/>
      <c r="AC48" s="1558"/>
    </row>
    <row r="49" spans="1:29" ht="21.6" thickBot="1">
      <c r="A49" s="615" t="s">
        <v>2653</v>
      </c>
      <c r="B49" s="616"/>
      <c r="C49" s="617">
        <f>R50</f>
        <v>28796</v>
      </c>
      <c r="D49" s="618"/>
      <c r="E49" s="617">
        <f>R49</f>
        <v>29323</v>
      </c>
      <c r="F49" s="619"/>
      <c r="G49" s="620">
        <f>T49</f>
        <v>28231</v>
      </c>
      <c r="H49" s="618"/>
      <c r="I49" s="617">
        <f>V49</f>
        <v>28834</v>
      </c>
      <c r="J49" s="618"/>
      <c r="K49" s="1340"/>
      <c r="L49" s="2144"/>
      <c r="M49" s="2132"/>
      <c r="N49" s="2132"/>
      <c r="O49" s="2145"/>
      <c r="P49" s="3374" t="str">
        <f>A49</f>
        <v>比较价格（元/平方米）</v>
      </c>
      <c r="Q49" s="3374"/>
      <c r="R49" s="3376">
        <f>ROUND(PRODUCT(R48,AA9:AA47),0)</f>
        <v>29323</v>
      </c>
      <c r="S49" s="3376"/>
      <c r="T49" s="3376">
        <f>ROUND(PRODUCT(T48,AB9:AB47),0)</f>
        <v>28231</v>
      </c>
      <c r="U49" s="3376"/>
      <c r="V49" s="3376">
        <f>ROUND(PRODUCT(V48,AC9:AC47),0)</f>
        <v>28834</v>
      </c>
      <c r="W49" s="3376"/>
      <c r="X49" s="1558"/>
      <c r="Y49" s="1558"/>
      <c r="Z49" s="1558"/>
      <c r="AA49" s="1558"/>
      <c r="AB49" s="1558"/>
      <c r="AC49" s="1558"/>
    </row>
    <row r="50" spans="1:29" ht="21.6" thickBot="1">
      <c r="A50" s="621" t="s">
        <v>2884</v>
      </c>
      <c r="B50" s="622"/>
      <c r="C50" s="623">
        <f>R50</f>
        <v>28796</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28796</v>
      </c>
      <c r="S50" s="3373"/>
      <c r="T50" s="3373"/>
      <c r="U50" s="3373"/>
      <c r="V50" s="3373"/>
      <c r="W50" s="3373"/>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0.10133333333333328</v>
      </c>
      <c r="F53" s="627" t="str">
        <f>IF(OR(E53&gt;=0.3,E53&lt;=-0.3),"超过30%","")</f>
        <v/>
      </c>
      <c r="G53" s="626">
        <f>IF(G48&lt;G49,G49/G48-1,G48/G49-1)</f>
        <v>0.1407386455471149</v>
      </c>
      <c r="H53" s="627" t="str">
        <f>IF(OR(G53&gt;=0.3,G53&lt;=-0.3),"超过30%","")</f>
        <v/>
      </c>
      <c r="I53" s="626">
        <f>IF(I48&lt;I49,I49/I48-1,I48/I49-1)</f>
        <v>0.10708389326166246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3.8680882717579967E-2</v>
      </c>
      <c r="F54" s="627" t="str">
        <f>IF(OR(E54&gt;=0.2,E54&lt;=-0.2),"超过20%","")</f>
        <v/>
      </c>
      <c r="G54" s="626">
        <f>IF(G49&lt;I49,I49/G49-1,G49/I49-1)</f>
        <v>2.1359498423718648E-2</v>
      </c>
      <c r="H54" s="627" t="str">
        <f>IF(OR(G54&gt;=0.2,G54&lt;=-0.2),"超过20%","")</f>
        <v/>
      </c>
      <c r="I54" s="626">
        <f>IF(I49&lt;E49,E49/I49-1,I49/E49-1)</f>
        <v>1.6959145453284252E-2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7.5844512687893939E-2</v>
      </c>
      <c r="F55" s="627" t="str">
        <f>IF(OR(E55&gt;=0.3,E55&lt;=-0.3),"超过30%","")</f>
        <v/>
      </c>
      <c r="G55" s="626">
        <f>IF(G48&lt;I48,I48/G48-1,G48/I48-1)</f>
        <v>5.2408275416195194E-2</v>
      </c>
      <c r="H55" s="627" t="str">
        <f>IF(OR(G55&gt;=0.3,G55&lt;=-0.3),"超过30%","")</f>
        <v/>
      </c>
      <c r="I55" s="626">
        <f>IF(I48&lt;E48,E48/I48-1,I48/E48-1)</f>
        <v>2.2269149548857836E-2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402" t="s">
        <v>2243</v>
      </c>
      <c r="H57" s="3403"/>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3" t="s">
        <v>529</v>
      </c>
      <c r="B58" s="634">
        <f>C50</f>
        <v>28796</v>
      </c>
      <c r="C58" s="635">
        <v>1</v>
      </c>
      <c r="D58" s="2228">
        <v>1</v>
      </c>
      <c r="E58" s="635">
        <f>'数据-汇总表'!E8+'数据-汇总表'!E9</f>
        <v>75630</v>
      </c>
      <c r="F58" s="636">
        <f t="shared" ref="F58:F67" si="15">ROUND(B58*E58/10000,0)</f>
        <v>217784</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530</v>
      </c>
      <c r="B59" s="638">
        <f>ROUND($C$50*C59*D59,0)</f>
        <v>0</v>
      </c>
      <c r="C59" s="378">
        <f t="shared" ref="C59:C67" si="16">IF($C$57="北京市系数",I59,J59)</f>
        <v>0</v>
      </c>
      <c r="D59" s="2229">
        <v>0.25</v>
      </c>
      <c r="E59" s="639">
        <v>0</v>
      </c>
      <c r="F59" s="636">
        <f t="shared" si="15"/>
        <v>0</v>
      </c>
      <c r="G59" s="3406"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531</v>
      </c>
      <c r="B60" s="638">
        <f t="shared" ref="B60:B67" si="17">ROUND($C$50*C60*D60,0)</f>
        <v>0</v>
      </c>
      <c r="C60" s="378">
        <f t="shared" si="16"/>
        <v>0</v>
      </c>
      <c r="D60" s="2229">
        <v>0.25</v>
      </c>
      <c r="E60" s="639">
        <v>0</v>
      </c>
      <c r="F60" s="636">
        <f t="shared" si="15"/>
        <v>0</v>
      </c>
      <c r="G60" s="340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532</v>
      </c>
      <c r="B61" s="638">
        <f t="shared" si="17"/>
        <v>0</v>
      </c>
      <c r="C61" s="378">
        <f t="shared" si="16"/>
        <v>0</v>
      </c>
      <c r="D61" s="2229">
        <v>0.25</v>
      </c>
      <c r="E61" s="639">
        <v>0</v>
      </c>
      <c r="F61" s="636">
        <f t="shared" si="15"/>
        <v>0</v>
      </c>
      <c r="G61" s="340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7" t="s">
        <v>533</v>
      </c>
      <c r="B62" s="638">
        <f t="shared" si="17"/>
        <v>0</v>
      </c>
      <c r="C62" s="378">
        <f t="shared" si="16"/>
        <v>0</v>
      </c>
      <c r="D62" s="2229">
        <v>0.25</v>
      </c>
      <c r="E62" s="639">
        <v>0</v>
      </c>
      <c r="F62" s="636">
        <f t="shared" si="15"/>
        <v>0</v>
      </c>
      <c r="G62" s="340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7" t="s">
        <v>535</v>
      </c>
      <c r="B65" s="638">
        <f t="shared" si="17"/>
        <v>0</v>
      </c>
      <c r="C65" s="378">
        <f t="shared" si="16"/>
        <v>0</v>
      </c>
      <c r="D65" s="2229">
        <v>0.25</v>
      </c>
      <c r="E65" s="641">
        <f>'数据-汇总表'!E13</f>
        <v>0</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538</v>
      </c>
      <c r="B68" s="643" t="s">
        <v>16</v>
      </c>
      <c r="C68" s="643" t="s">
        <v>17</v>
      </c>
      <c r="D68" s="643" t="s">
        <v>2256</v>
      </c>
      <c r="E68" s="643">
        <f>IF(B48="楼面地价",SUM(E58:E67),'数据-汇总表'!D3)</f>
        <v>75630</v>
      </c>
      <c r="F68" s="644">
        <f>IF(B48="楼面地价",SUM(F58:F67),ROUND(C50*E68/10000,0))</f>
        <v>217784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2.2"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2492</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2607</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2606</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542</v>
      </c>
      <c r="B77" s="665" t="s">
        <v>499</v>
      </c>
      <c r="C77" s="3183" t="s">
        <v>2988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7"/>
      <c r="B84" s="673" t="str">
        <f>B14</f>
        <v>配建</v>
      </c>
      <c r="C84" s="3194" t="s">
        <v>3104</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4"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4"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9.4"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7"/>
      <c r="B102" s="1896" t="s">
        <v>2508</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7"/>
      <c r="B104" s="2597" t="s">
        <v>2510</v>
      </c>
      <c r="C104" s="2598" t="s">
        <v>2511</v>
      </c>
      <c r="D104" s="2598" t="s">
        <v>2512</v>
      </c>
      <c r="E104" s="2598" t="s">
        <v>2513</v>
      </c>
      <c r="F104" s="2598" t="s">
        <v>2514</v>
      </c>
      <c r="G104" s="2598" t="s">
        <v>2515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513</v>
      </c>
      <c r="C108" s="3194" t="s">
        <v>3116</v>
      </c>
      <c r="D108" s="3194" t="s">
        <v>3117</v>
      </c>
      <c r="E108" s="3194" t="s">
        <v>3100</v>
      </c>
      <c r="F108" s="688" t="s">
        <v>3101</v>
      </c>
      <c r="G108" s="688" t="s">
        <v>3102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514</v>
      </c>
      <c r="C110" s="718" t="s">
        <v>3103</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5" t="s">
        <v>3106</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94" t="s">
        <v>3107</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3108</v>
      </c>
      <c r="D125" s="1374" t="s">
        <v>2938</v>
      </c>
      <c r="E125" s="1374" t="s">
        <v>3109</v>
      </c>
      <c r="F125" s="1374" t="s">
        <v>3110</v>
      </c>
      <c r="G125" s="1374" t="s">
        <v>3111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94" t="s">
        <v>3107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13" sqref="E13"/>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12.44140625" style="2124" customWidth="1"/>
    <col min="6" max="6" width="12" style="2114" customWidth="1"/>
    <col min="7" max="7" width="11.6640625" style="2114" customWidth="1"/>
    <col min="8" max="8" width="11.77734375"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377809</v>
      </c>
      <c r="C2" s="2104"/>
      <c r="D2" s="2104"/>
      <c r="E2" s="2104"/>
      <c r="F2" s="2104"/>
      <c r="G2" s="2104"/>
      <c r="H2" s="2104"/>
      <c r="I2" s="2104"/>
      <c r="J2" s="2104"/>
      <c r="K2" s="2104"/>
    </row>
    <row r="3" spans="1:31" s="2041" customFormat="1" ht="18" customHeight="1">
      <c r="A3" s="2106" t="s">
        <v>1646</v>
      </c>
      <c r="B3" s="2107">
        <f ca="1">ROUND(B2*10000/IF(B1="",'数据-汇总表'!E3,INDIRECT("'数据-取费表'!K"&amp;$K$1)),0)</f>
        <v>31167</v>
      </c>
      <c r="C3" s="2104"/>
      <c r="D3" s="2104"/>
      <c r="E3" s="2104"/>
      <c r="F3" s="2104"/>
      <c r="G3" s="2104"/>
      <c r="H3" s="2104"/>
      <c r="I3" s="2104"/>
      <c r="J3" s="2104"/>
      <c r="K3" s="2104"/>
    </row>
    <row r="4" spans="1:31" s="2041" customFormat="1" ht="18" customHeight="1">
      <c r="A4" s="426" t="s">
        <v>433</v>
      </c>
      <c r="B4" s="427">
        <f ca="1">ROUND(B2*10000/IF(B1="",'数据-汇总表'!D3,INDIRECT("'数据-取费表'!R"&amp;$K$1)),0)</f>
        <v>362468</v>
      </c>
      <c r="C4" s="428"/>
      <c r="D4" s="422"/>
      <c r="E4" s="422"/>
      <c r="F4" s="422"/>
      <c r="G4" s="422"/>
      <c r="H4" s="422"/>
      <c r="I4" s="422"/>
      <c r="J4" s="422"/>
      <c r="K4" s="422"/>
    </row>
    <row r="5" spans="1:31" s="2041" customFormat="1" ht="18" customHeight="1" thickBot="1">
      <c r="A5" s="429"/>
      <c r="B5" s="430">
        <f ca="1">ROUND(B2/(IF(B1="",'数据-汇总表'!D3,INDIRECT("'数据-取费表'!R"&amp;$K$1))/666.67),0)</f>
        <v>24165</v>
      </c>
      <c r="C5" s="431" t="s">
        <v>434</v>
      </c>
      <c r="D5" s="422"/>
      <c r="E5" s="422"/>
      <c r="F5" s="422"/>
      <c r="G5" s="422"/>
      <c r="H5" s="422"/>
      <c r="I5" s="422"/>
      <c r="J5" s="422"/>
      <c r="K5" s="422"/>
    </row>
    <row r="6" spans="1:31" s="2111" customFormat="1" ht="16.5" customHeight="1">
      <c r="A6" s="2828" t="s">
        <v>1804</v>
      </c>
      <c r="B6" s="2829"/>
      <c r="C6" s="2830">
        <f ca="1">SUM(C10:K10)</f>
        <v>634190</v>
      </c>
      <c r="D6" s="2829"/>
      <c r="E6" s="2829"/>
      <c r="F6" s="2829"/>
      <c r="G6" s="2829"/>
      <c r="H6" s="2829"/>
      <c r="I6" s="2829"/>
      <c r="J6" s="2829"/>
      <c r="K6" s="2831"/>
    </row>
    <row r="7" spans="1:31" s="2113" customFormat="1" ht="27" customHeight="1">
      <c r="A7" s="2832" t="s">
        <v>435</v>
      </c>
      <c r="B7" s="2833" t="s">
        <v>436</v>
      </c>
      <c r="C7" s="436" t="s">
        <v>2961</v>
      </c>
      <c r="D7" s="436" t="s">
        <v>2963</v>
      </c>
      <c r="E7" s="436" t="s">
        <v>2965</v>
      </c>
      <c r="F7" s="436" t="s">
        <v>2967</v>
      </c>
      <c r="G7" s="436" t="s">
        <v>2969</v>
      </c>
      <c r="H7" s="436" t="s">
        <v>2931</v>
      </c>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34">
        <f ca="1">'收益法-地上商业'!B3</f>
        <v>86802</v>
      </c>
      <c r="D8" s="2834">
        <f ca="1">'收益法-办公'!B3</f>
        <v>61660</v>
      </c>
      <c r="E8" s="2834">
        <f>'不动产比较法-住宅'!B3</f>
        <v>81712</v>
      </c>
      <c r="F8" s="2834">
        <v>5000</v>
      </c>
      <c r="G8" s="2834">
        <f ca="1">'收益法-地下商业'!B3</f>
        <v>77538</v>
      </c>
      <c r="H8" s="2834">
        <f ca="1">'收益法-地下车库'!B3</f>
        <v>0</v>
      </c>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35180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 ca="1">'收益法-地上商业'!B2</f>
        <v>305368</v>
      </c>
      <c r="D10" s="3029">
        <f ca="1">'收益法-办公'!B2</f>
        <v>81391</v>
      </c>
      <c r="E10" s="3029">
        <f>'不动产比较法-住宅'!B2</f>
        <v>176498</v>
      </c>
      <c r="F10" s="2837">
        <f>ROUND(F8*F9/10000,0)</f>
        <v>2700</v>
      </c>
      <c r="G10" s="2837">
        <f ca="1">'收益法-地下商业'!B2</f>
        <v>68233</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50">
        <f ca="1">IF(B1="",'数据-取费表'!P16,INDIRECT("'数据-取费表'!p"&amp;$K$1)+INDIRECT("'数据-取费表'!t"&amp;$K$1))</f>
        <v>49912</v>
      </c>
      <c r="D13" s="2844"/>
      <c r="E13" s="2845"/>
      <c r="F13" s="2846"/>
      <c r="G13" s="2812"/>
      <c r="H13" s="2813"/>
      <c r="I13" s="2813"/>
      <c r="J13" s="2813"/>
      <c r="K13" s="2814"/>
    </row>
    <row r="14" spans="1:31" s="2116" customFormat="1" ht="13.5" customHeight="1">
      <c r="A14" s="2842" t="s">
        <v>1811</v>
      </c>
      <c r="B14" s="2843" t="s">
        <v>445</v>
      </c>
      <c r="C14" s="53">
        <f ca="1">ROUND(C13*F14,0)</f>
        <v>2496</v>
      </c>
      <c r="D14" s="2844"/>
      <c r="E14" s="2845"/>
      <c r="F14" s="2847">
        <f>'数据-取费表'!B33</f>
        <v>0.05</v>
      </c>
      <c r="G14" s="2812" t="s">
        <v>446</v>
      </c>
      <c r="H14" s="2813"/>
      <c r="I14" s="2813"/>
      <c r="J14" s="2813"/>
      <c r="K14" s="2814"/>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row>
    <row r="16" spans="1:31" s="2117" customFormat="1" ht="13.5" customHeight="1">
      <c r="A16" s="2842" t="s">
        <v>1813</v>
      </c>
      <c r="B16" s="2843" t="s">
        <v>449</v>
      </c>
      <c r="C16" s="53">
        <f ca="1">ROUND(D16*E16/10000,0)</f>
        <v>2424</v>
      </c>
      <c r="D16" s="2844">
        <f ca="1">IF(B1="",'数据-汇总表'!E3,INDIRECT("'数据-取费表'!K"&amp;$K$1)+INDIRECT("'数据-取费表'!S"&amp;$K$1))</f>
        <v>121219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749</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55581</v>
      </c>
      <c r="D18" s="2853"/>
      <c r="E18" s="468"/>
      <c r="F18" s="468"/>
      <c r="G18" s="2816" t="s">
        <v>2391</v>
      </c>
      <c r="H18" s="2817"/>
      <c r="I18" s="2817"/>
      <c r="J18" s="2817"/>
      <c r="K18" s="2818"/>
    </row>
    <row r="19" spans="1:14" s="2116" customFormat="1" ht="13.5" customHeight="1">
      <c r="A19" s="2850" t="s">
        <v>1816</v>
      </c>
      <c r="B19" s="2851" t="s">
        <v>453</v>
      </c>
      <c r="C19" s="2808">
        <f ca="1">ROUND(D19*E19/10000,0)</f>
        <v>1212</v>
      </c>
      <c r="D19" s="2854">
        <f ca="1">D16</f>
        <v>121219</v>
      </c>
      <c r="E19" s="2808">
        <f>'数据-取费表'!B32</f>
        <v>100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2606</v>
      </c>
      <c r="D20" s="2854"/>
      <c r="E20" s="2808"/>
      <c r="F20" s="2855"/>
      <c r="G20" s="3087" t="s">
        <v>3132</v>
      </c>
      <c r="H20" s="2810"/>
      <c r="I20" s="2811" t="s">
        <v>2611</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2606</v>
      </c>
      <c r="D22" s="2844">
        <f ca="1">IF(B1="",'数据-汇总表'!E6,IF(INDIRECT("'数据-取费表'!c"&amp;$K$1)="住宅",INDIRECT("'数据-取费表'!s"&amp;$K$1),INDIRECT("'数据-取费表'!k"&amp;$K$1)+INDIRECT("'数据-取费表'!s"&amp;$K$1)))</f>
        <v>121219</v>
      </c>
      <c r="E22" s="53">
        <f>'数据-取费表'!B28</f>
        <v>215</v>
      </c>
      <c r="F22" s="2847"/>
      <c r="G22" s="26"/>
      <c r="H22" s="51"/>
      <c r="I22" s="51"/>
      <c r="J22" s="51"/>
      <c r="K22" s="2819"/>
    </row>
    <row r="23" spans="1:14" s="2116" customFormat="1" ht="13.5" customHeight="1">
      <c r="A23" s="2850" t="s">
        <v>1820</v>
      </c>
      <c r="B23" s="3035" t="s">
        <v>2794</v>
      </c>
      <c r="C23" s="2852">
        <f ca="1">ROUND((C18+C19+C20)*F23,0)</f>
        <v>1188</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5" t="s">
        <v>2797</v>
      </c>
      <c r="C24" s="2852">
        <f ca="1">ROUND(C6*F24,0)</f>
        <v>12684</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5" t="s">
        <v>2795</v>
      </c>
      <c r="C25" s="467">
        <f>ROUND(F25/(1+'数据-取费表'!C42),4)</f>
        <v>2.9000000000000001E-2</v>
      </c>
      <c r="D25" s="462" t="s">
        <v>2789</v>
      </c>
      <c r="E25" s="469"/>
      <c r="F25" s="2856">
        <f>'数据-取费表'!B48+'数据-取费表'!B49</f>
        <v>3.0499999999999999E-2</v>
      </c>
      <c r="G25" s="2820" t="s">
        <v>2251</v>
      </c>
      <c r="H25" s="2813"/>
      <c r="I25" s="2813"/>
      <c r="J25" s="2813"/>
      <c r="K25" s="2814"/>
    </row>
    <row r="26" spans="1:14" s="2118" customFormat="1" ht="13.5" customHeight="1">
      <c r="A26" s="2850" t="s">
        <v>1823</v>
      </c>
      <c r="B26" s="3036" t="s">
        <v>2796</v>
      </c>
      <c r="C26" s="2857">
        <f ca="1">C28</f>
        <v>3480</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2798</v>
      </c>
      <c r="C28" s="2860">
        <f ca="1">ROUND(IF('数据-取费表'!B22&lt;=1,(C18+C19+C20+C23+C24)*F26*'数据-取费表'!B24/2,(C18+C19+C20+C23+C24)*(POWER((1+F26),'数据-取费表'!B24/2)-1)),0)</f>
        <v>3480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33823</v>
      </c>
      <c r="D29" s="468"/>
      <c r="E29" s="468"/>
      <c r="F29" s="3037">
        <f>'数据-取费表'!B41</f>
        <v>5.6000000000000001E-2</v>
      </c>
      <c r="G29" s="2821" t="s">
        <v>463</v>
      </c>
      <c r="H29" s="2813"/>
      <c r="I29" s="2813"/>
      <c r="J29" s="2813"/>
      <c r="K29" s="2814"/>
    </row>
    <row r="30" spans="1:14" s="2121" customFormat="1" ht="13.5" customHeight="1">
      <c r="A30" s="1634" t="s">
        <v>1825</v>
      </c>
      <c r="B30" s="2862" t="s">
        <v>465</v>
      </c>
      <c r="C30" s="2857">
        <f ca="1">C31</f>
        <v>110574</v>
      </c>
      <c r="D30" s="477">
        <f ca="1">C32</f>
        <v>0.12909999999999999</v>
      </c>
      <c r="E30" s="469" t="s">
        <v>460</v>
      </c>
      <c r="F30" s="471"/>
      <c r="G30" s="2820" t="s">
        <v>2921</v>
      </c>
      <c r="H30" s="2813"/>
      <c r="I30" s="2813"/>
      <c r="J30" s="2813"/>
      <c r="K30" s="2814"/>
    </row>
    <row r="31" spans="1:14" s="2120" customFormat="1" ht="13.5" customHeight="1">
      <c r="A31" s="803" t="s">
        <v>1818</v>
      </c>
      <c r="B31" s="2858"/>
      <c r="C31" s="450">
        <f ca="1">C18+C19+C20+C23+C24+C26+C29</f>
        <v>110574</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4" t="s">
        <v>2793</v>
      </c>
      <c r="B33" s="3032" t="s">
        <v>2791</v>
      </c>
      <c r="C33" s="478">
        <f ca="1">C35</f>
        <v>15387</v>
      </c>
      <c r="D33" s="467">
        <f ca="1">C34</f>
        <v>0.21609999999999999</v>
      </c>
      <c r="E33" s="469" t="s">
        <v>460</v>
      </c>
      <c r="F33" s="479">
        <f ca="1">IF(B1="",'数据-取费表'!Q16,INDIRECT("'数据-取费表'!q"&amp;$K$1))</f>
        <v>0.21</v>
      </c>
      <c r="G33" s="2816"/>
      <c r="H33" s="2817"/>
      <c r="I33" s="2817"/>
      <c r="J33" s="2817"/>
      <c r="K33" s="2818"/>
    </row>
    <row r="34" spans="1:11" s="2123" customFormat="1" ht="13.5" customHeight="1">
      <c r="A34" s="375" t="s">
        <v>1818</v>
      </c>
      <c r="B34" s="2863" t="s">
        <v>466</v>
      </c>
      <c r="C34" s="472">
        <f ca="1">ROUND((1+C25)*F33,4)</f>
        <v>0.21609999999999999</v>
      </c>
      <c r="D34" s="472"/>
      <c r="E34" s="473"/>
      <c r="F34" s="480"/>
      <c r="G34" s="261" t="s">
        <v>2252</v>
      </c>
      <c r="H34" s="2815"/>
      <c r="I34" s="2815"/>
      <c r="J34" s="2815"/>
      <c r="K34" s="279"/>
    </row>
    <row r="35" spans="1:11" s="2123" customFormat="1" ht="13.5" customHeight="1" thickBot="1">
      <c r="A35" s="1635" t="s">
        <v>1819</v>
      </c>
      <c r="B35" s="3033" t="s">
        <v>2799</v>
      </c>
      <c r="C35" s="1627">
        <f ca="1">ROUND((C18+C19+C20+C23+C24)*F33,0)</f>
        <v>15387</v>
      </c>
      <c r="D35" s="1628"/>
      <c r="E35" s="2864"/>
      <c r="F35" s="1629"/>
      <c r="G35" s="2822"/>
      <c r="H35" s="2823"/>
      <c r="I35" s="2823"/>
      <c r="J35" s="2823"/>
      <c r="K35" s="2824"/>
    </row>
    <row r="36" spans="1:11" s="2085" customFormat="1" ht="13.5" customHeight="1" thickBot="1">
      <c r="A36" s="284" t="s">
        <v>1806</v>
      </c>
      <c r="B36" s="2826"/>
      <c r="C36" s="2865">
        <f ca="1">ROUND((C6-C30-C33)/(1+D30+D33),0)</f>
        <v>377809</v>
      </c>
      <c r="D36" s="2826"/>
      <c r="E36" s="2826"/>
      <c r="F36" s="2826"/>
      <c r="G36" s="2825" t="s">
        <v>2800</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1863</v>
      </c>
      <c r="B36" s="1653" t="s">
        <v>1864</v>
      </c>
    </row>
    <row r="37" spans="1:9" ht="28.5" customHeight="1">
      <c r="A37" s="1653"/>
      <c r="B37" s="3206" t="str">
        <f>项目基本情况!B1</f>
        <v>深圳市莱茵达路以北、嘉华路以西出让国有建设用地使用权抵押价格预评估</v>
      </c>
      <c r="C37" s="3206"/>
      <c r="D37" s="3206"/>
      <c r="E37" s="3206"/>
      <c r="F37" s="3206"/>
      <c r="G37" s="3206"/>
      <c r="H37" s="3206"/>
      <c r="I37" s="3206"/>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2612</v>
      </c>
      <c r="B6" s="433"/>
      <c r="C6" s="1622">
        <f>SUM(C10:K10)</f>
        <v>0</v>
      </c>
      <c r="D6" s="2109"/>
      <c r="E6" s="2109"/>
      <c r="F6" s="2109"/>
      <c r="G6" s="2109"/>
      <c r="H6" s="2109"/>
      <c r="I6" s="2109"/>
      <c r="J6" s="2109"/>
      <c r="K6" s="2110"/>
    </row>
    <row r="7" spans="1:41" s="2113" customFormat="1" ht="14.4">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49912</v>
      </c>
      <c r="D13" s="451"/>
      <c r="E13" s="365"/>
      <c r="F13" s="452"/>
      <c r="G13" s="444"/>
      <c r="H13" s="447"/>
      <c r="I13" s="447"/>
      <c r="J13" s="447"/>
      <c r="K13" s="448"/>
    </row>
    <row r="14" spans="1:41" s="2116" customFormat="1" ht="13.5" customHeight="1">
      <c r="A14" s="1632" t="s">
        <v>1811</v>
      </c>
      <c r="B14" s="449" t="s">
        <v>445</v>
      </c>
      <c r="C14" s="53">
        <f ca="1">ROUND(C13*F14,0)</f>
        <v>2496</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2424</v>
      </c>
      <c r="D16" s="451">
        <f ca="1">IF(B1="",'数据-汇总表'!E3,INDIRECT("'数据-取费表'!K"&amp;$K$1)+INDIRECT("'数据-取费表'!S"&amp;$K$1))</f>
        <v>121219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749</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55581</v>
      </c>
      <c r="D18" s="461"/>
      <c r="E18" s="462"/>
      <c r="F18" s="462"/>
      <c r="G18" s="1326" t="s">
        <v>2393</v>
      </c>
      <c r="H18" s="447"/>
      <c r="I18" s="447"/>
      <c r="J18" s="447"/>
      <c r="K18" s="448"/>
    </row>
    <row r="19" spans="1:14" s="2119" customFormat="1" ht="13.5" customHeight="1">
      <c r="A19" s="1633" t="s">
        <v>1816</v>
      </c>
      <c r="B19" s="459" t="s">
        <v>458</v>
      </c>
      <c r="C19" s="460">
        <f ca="1">ROUND(C18*F19,0)</f>
        <v>1112</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30">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2693</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2693</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2" t="s">
        <v>2792</v>
      </c>
      <c r="C24" s="478">
        <f ca="1">C25</f>
        <v>11906</v>
      </c>
      <c r="D24" s="489">
        <f ca="1">C26</f>
        <v>4.1999999999999997E-3</v>
      </c>
      <c r="E24" s="469" t="s">
        <v>472</v>
      </c>
      <c r="F24" s="479">
        <f ca="1">IF(B1="",'数据-取费表'!Q16,INDIRECT("'数据-取费表'!q"&amp;$K$1))</f>
        <v>0.21</v>
      </c>
      <c r="G24" s="444"/>
      <c r="H24" s="447"/>
      <c r="I24" s="447"/>
      <c r="J24" s="447"/>
      <c r="K24" s="448"/>
    </row>
    <row r="25" spans="1:14" s="2120" customFormat="1" ht="13.5" customHeight="1">
      <c r="A25" s="1632" t="s">
        <v>1810</v>
      </c>
      <c r="B25" s="1327" t="s">
        <v>2397</v>
      </c>
      <c r="C25" s="490">
        <f ca="1">ROUND((C18+C19)*F24,0)</f>
        <v>11906</v>
      </c>
      <c r="D25" s="472"/>
      <c r="E25" s="473"/>
      <c r="F25" s="480"/>
      <c r="G25" s="1325" t="s">
        <v>2394</v>
      </c>
      <c r="H25" s="457"/>
      <c r="I25" s="457"/>
      <c r="J25" s="457"/>
      <c r="K25" s="458"/>
    </row>
    <row r="26" spans="1:14" s="2120" customFormat="1" ht="13.5" customHeight="1">
      <c r="A26" s="1632" t="s">
        <v>1811</v>
      </c>
      <c r="B26" s="1327" t="s">
        <v>474</v>
      </c>
      <c r="C26" s="491">
        <f ca="1">ROUND(F20*F24,4)</f>
        <v>4.1999999999999997E-3</v>
      </c>
      <c r="D26" s="472"/>
      <c r="E26" s="481"/>
      <c r="F26" s="480"/>
      <c r="G26" s="1325" t="s">
        <v>475</v>
      </c>
      <c r="H26" s="457"/>
      <c r="I26" s="457"/>
      <c r="J26" s="457"/>
      <c r="K26" s="458"/>
    </row>
    <row r="27" spans="1:14" s="2120" customFormat="1" ht="13.5" customHeight="1">
      <c r="A27" s="1636" t="s">
        <v>1829</v>
      </c>
      <c r="B27" s="459" t="s">
        <v>476</v>
      </c>
      <c r="C27" s="3031">
        <f>ROUND(F27/(1+'数据-取费表'!C42),4)</f>
        <v>5.33E-2</v>
      </c>
      <c r="D27" s="462" t="s">
        <v>2790</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77365</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486</v>
      </c>
      <c r="B6" s="513"/>
      <c r="C6" s="3380" t="s">
        <v>487</v>
      </c>
      <c r="D6" s="3381"/>
      <c r="E6" s="3417" t="s">
        <v>488</v>
      </c>
      <c r="F6" s="3418"/>
      <c r="G6" s="3380" t="s">
        <v>489</v>
      </c>
      <c r="H6" s="3381"/>
      <c r="I6" s="3380" t="s">
        <v>490</v>
      </c>
      <c r="J6" s="3381"/>
      <c r="K6" s="514" t="s">
        <v>491</v>
      </c>
      <c r="L6" s="2133"/>
      <c r="M6" s="2134"/>
      <c r="N6" s="2134"/>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29">
      <c r="A7" s="515"/>
      <c r="B7" s="516"/>
      <c r="C7" s="3414" t="s">
        <v>2878</v>
      </c>
      <c r="D7" s="3397"/>
      <c r="E7" s="3419" t="s">
        <v>2879</v>
      </c>
      <c r="F7" s="3420"/>
      <c r="G7" s="3414" t="s">
        <v>2880</v>
      </c>
      <c r="H7" s="3397"/>
      <c r="I7" s="3414" t="s">
        <v>2881</v>
      </c>
      <c r="J7" s="3397"/>
      <c r="K7" s="514"/>
      <c r="L7" s="2133"/>
      <c r="M7" s="2134"/>
      <c r="N7" s="2134"/>
      <c r="O7" s="2134"/>
      <c r="P7" s="3384"/>
      <c r="Q7" s="3385"/>
      <c r="R7" s="3390"/>
      <c r="S7" s="3391"/>
      <c r="T7" s="3390"/>
      <c r="U7" s="3391"/>
      <c r="V7" s="3375"/>
      <c r="W7" s="3375"/>
      <c r="X7" s="1566"/>
      <c r="Y7" s="3390"/>
      <c r="Z7" s="3391"/>
      <c r="AA7" s="3378"/>
      <c r="AB7" s="3378"/>
      <c r="AC7" s="3378"/>
    </row>
    <row r="8" spans="1:29" ht="15" thickBot="1">
      <c r="A8" s="517"/>
      <c r="B8" s="518"/>
      <c r="C8" s="3394" t="s">
        <v>2882</v>
      </c>
      <c r="D8" s="3395"/>
      <c r="E8" s="3415" t="s">
        <v>2882</v>
      </c>
      <c r="F8" s="3416"/>
      <c r="G8" s="3394" t="s">
        <v>2882</v>
      </c>
      <c r="H8" s="3395"/>
      <c r="I8" s="3394" t="s">
        <v>2882</v>
      </c>
      <c r="J8" s="3395"/>
      <c r="K8" s="514" t="s">
        <v>493</v>
      </c>
      <c r="L8" s="2133"/>
      <c r="M8" s="2134"/>
      <c r="N8" s="2134"/>
      <c r="O8" s="2134"/>
      <c r="P8" s="3386"/>
      <c r="Q8" s="3387"/>
      <c r="R8" s="3390"/>
      <c r="S8" s="3391"/>
      <c r="T8" s="3392"/>
      <c r="U8" s="3393"/>
      <c r="V8" s="3375"/>
      <c r="W8" s="3375"/>
      <c r="X8" s="1566"/>
      <c r="Y8" s="3392"/>
      <c r="Z8" s="3393"/>
      <c r="AA8" s="3379"/>
      <c r="AB8" s="3379"/>
      <c r="AC8" s="3379"/>
    </row>
    <row r="9" spans="1:29" s="1219" customFormat="1" ht="15" thickBot="1">
      <c r="A9" s="2912"/>
      <c r="B9" s="2919" t="s">
        <v>494</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495</v>
      </c>
      <c r="Q9" s="3409"/>
      <c r="R9" s="1567" t="s">
        <v>8</v>
      </c>
      <c r="S9" s="1568">
        <f t="shared" ref="S9:S17" si="0">F9</f>
        <v>0</v>
      </c>
      <c r="T9" s="1567" t="s">
        <v>8</v>
      </c>
      <c r="U9" s="1568">
        <f t="shared" ref="U9:U17" si="1">H9</f>
        <v>0</v>
      </c>
      <c r="V9" s="1567" t="s">
        <v>8</v>
      </c>
      <c r="W9" s="1568">
        <f t="shared" ref="W9:W17" si="2">J9</f>
        <v>0</v>
      </c>
      <c r="X9" s="1569"/>
      <c r="Y9" s="3407" t="s">
        <v>495</v>
      </c>
      <c r="Z9" s="3408"/>
      <c r="AA9" s="1570" t="e">
        <f>D9/F9</f>
        <v>#DIV/0!</v>
      </c>
      <c r="AB9" s="1570" t="e">
        <f>D9/H9</f>
        <v>#DIV/0!</v>
      </c>
      <c r="AC9" s="1570" t="e">
        <f>D9/J9</f>
        <v>#DIV/0!</v>
      </c>
    </row>
    <row r="10" spans="1:29" s="1219" customFormat="1" ht="1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498</v>
      </c>
      <c r="Q10" s="3408"/>
      <c r="R10" s="1567" t="s">
        <v>8</v>
      </c>
      <c r="S10" s="1568">
        <f t="shared" si="0"/>
        <v>0</v>
      </c>
      <c r="T10" s="1567" t="s">
        <v>8</v>
      </c>
      <c r="U10" s="1568">
        <f t="shared" si="1"/>
        <v>0</v>
      </c>
      <c r="V10" s="1567" t="s">
        <v>8</v>
      </c>
      <c r="W10" s="1568">
        <f t="shared" si="2"/>
        <v>0</v>
      </c>
      <c r="X10" s="1569"/>
      <c r="Y10" s="3407" t="s">
        <v>498</v>
      </c>
      <c r="Z10" s="3408"/>
      <c r="AA10" s="1570" t="e">
        <f t="shared" ref="AA10:AA42" si="3">D10/F10</f>
        <v>#DIV/0!</v>
      </c>
      <c r="AB10" s="1570" t="e">
        <f t="shared" ref="AB10:AB42" si="4">D10/H10</f>
        <v>#DIV/0!</v>
      </c>
      <c r="AC10" s="1570" t="e">
        <f t="shared" ref="AC10:AC42" si="5">D10/J10</f>
        <v>#DIV/0!</v>
      </c>
    </row>
    <row r="11" spans="1:29" s="1219" customFormat="1" ht="14.4">
      <c r="A11" s="2914"/>
      <c r="B11" s="2921" t="s">
        <v>2716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29" s="1337" customFormat="1" ht="28.8">
      <c r="A12" s="2915"/>
      <c r="B12" s="2920" t="s">
        <v>2717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29" ht="15">
      <c r="A13" s="2916"/>
      <c r="B13" s="2920" t="s">
        <v>2718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20"/>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 t="shared" si="3"/>
        <v>1</v>
      </c>
      <c r="AB16" s="1570">
        <f t="shared" si="4"/>
        <v>1</v>
      </c>
      <c r="AC16" s="1570">
        <f t="shared" si="5"/>
        <v>1</v>
      </c>
    </row>
    <row r="17" spans="1:29" ht="15">
      <c r="A17" s="2910" t="s">
        <v>2714</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505</v>
      </c>
      <c r="Q17" s="1571" t="str">
        <f t="shared" si="6"/>
        <v>产业集聚程度</v>
      </c>
      <c r="R17" s="1572" t="s">
        <v>8</v>
      </c>
      <c r="S17" s="1573">
        <f t="shared" si="0"/>
        <v>100</v>
      </c>
      <c r="T17" s="1572" t="s">
        <v>8</v>
      </c>
      <c r="U17" s="1573">
        <f t="shared" si="1"/>
        <v>100</v>
      </c>
      <c r="V17" s="1572" t="s">
        <v>8</v>
      </c>
      <c r="W17" s="1573">
        <f t="shared" si="2"/>
        <v>100</v>
      </c>
      <c r="X17" s="1566"/>
      <c r="Y17" s="3410"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1" t="str">
        <f>B19</f>
        <v>交通便捷度</v>
      </c>
      <c r="R19" s="1572" t="s">
        <v>8</v>
      </c>
      <c r="S19" s="1573">
        <f>F19</f>
        <v>100</v>
      </c>
      <c r="T19" s="1572" t="s">
        <v>8</v>
      </c>
      <c r="U19" s="1573">
        <f>H19</f>
        <v>100</v>
      </c>
      <c r="V19" s="1572" t="s">
        <v>8</v>
      </c>
      <c r="W19" s="1573">
        <f>J19</f>
        <v>100</v>
      </c>
      <c r="X19" s="1566"/>
      <c r="Y19" s="341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8.8">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1"/>
      <c r="Q21" s="1571" t="str">
        <f t="shared" ref="Q21:Q35" si="8">B21</f>
        <v>区域土地利用方向</v>
      </c>
      <c r="R21" s="1572" t="s">
        <v>8</v>
      </c>
      <c r="S21" s="1573">
        <f>F21</f>
        <v>100</v>
      </c>
      <c r="T21" s="1572" t="s">
        <v>8</v>
      </c>
      <c r="U21" s="1573">
        <f>H21</f>
        <v>100</v>
      </c>
      <c r="V21" s="1572" t="s">
        <v>8</v>
      </c>
      <c r="W21" s="1573">
        <f>J21</f>
        <v>100</v>
      </c>
      <c r="X21" s="1566"/>
      <c r="Y21" s="341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11"/>
      <c r="Q22" s="1571"/>
      <c r="R22" s="1572"/>
      <c r="S22" s="1573"/>
      <c r="T22" s="1572"/>
      <c r="U22" s="1573"/>
      <c r="V22" s="1572"/>
      <c r="W22" s="1573"/>
      <c r="X22" s="1566"/>
      <c r="Y22" s="3411"/>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1" t="str">
        <f t="shared" si="8"/>
        <v>环境状况</v>
      </c>
      <c r="R23" s="1572" t="s">
        <v>8</v>
      </c>
      <c r="S23" s="1573">
        <f>F23</f>
        <v>100</v>
      </c>
      <c r="T23" s="1572" t="s">
        <v>8</v>
      </c>
      <c r="U23" s="1573">
        <f>H23</f>
        <v>100</v>
      </c>
      <c r="V23" s="1572" t="s">
        <v>8</v>
      </c>
      <c r="W23" s="1573">
        <f>J23</f>
        <v>100</v>
      </c>
      <c r="X23" s="1566"/>
      <c r="Y23" s="341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1"/>
      <c r="Q24" s="1571"/>
      <c r="R24" s="1572"/>
      <c r="S24" s="1573"/>
      <c r="T24" s="1572"/>
      <c r="U24" s="1573"/>
      <c r="V24" s="1572"/>
      <c r="W24" s="1573"/>
      <c r="X24" s="1566"/>
      <c r="Y24" s="3411"/>
      <c r="Z24" s="1574"/>
      <c r="AA24" s="1575">
        <v>1</v>
      </c>
      <c r="AB24" s="1575">
        <v>1</v>
      </c>
      <c r="AC24" s="1575">
        <v>1</v>
      </c>
    </row>
    <row r="25" spans="1:29" s="1219" customFormat="1" ht="15">
      <c r="A25" s="577"/>
      <c r="B25" s="2593" t="s">
        <v>2508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0" t="str">
        <f t="shared" si="8"/>
        <v>公共配套设施</v>
      </c>
      <c r="R25" s="1567" t="s">
        <v>8</v>
      </c>
      <c r="S25" s="1568">
        <f>F25</f>
        <v>100</v>
      </c>
      <c r="T25" s="1567" t="s">
        <v>8</v>
      </c>
      <c r="U25" s="1568">
        <f>H25</f>
        <v>100</v>
      </c>
      <c r="V25" s="1567" t="s">
        <v>8</v>
      </c>
      <c r="W25" s="1568">
        <f>J25</f>
        <v>100</v>
      </c>
      <c r="X25" s="1569"/>
      <c r="Y25" s="341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11"/>
      <c r="Q26" s="1150"/>
      <c r="R26" s="1567"/>
      <c r="S26" s="1568"/>
      <c r="T26" s="1567"/>
      <c r="U26" s="1568"/>
      <c r="V26" s="1567"/>
      <c r="W26" s="1568"/>
      <c r="X26" s="1569"/>
      <c r="Y26" s="3411"/>
      <c r="Z26" s="1149"/>
      <c r="AA26" s="1570">
        <v>1</v>
      </c>
      <c r="AB26" s="1570">
        <v>1</v>
      </c>
      <c r="AC26" s="1570">
        <v>1</v>
      </c>
    </row>
    <row r="27" spans="1:29" s="1219" customFormat="1" ht="15">
      <c r="A27" s="577"/>
      <c r="B27" s="2593" t="s">
        <v>2509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578" t="str">
        <f t="shared" ref="Q27" si="9">B27</f>
        <v>基础设施水平</v>
      </c>
      <c r="R27" s="1567" t="s">
        <v>8</v>
      </c>
      <c r="S27" s="1568">
        <f>F27</f>
        <v>100</v>
      </c>
      <c r="T27" s="1567" t="s">
        <v>8</v>
      </c>
      <c r="U27" s="1568">
        <f>H27</f>
        <v>100</v>
      </c>
      <c r="V27" s="1567" t="s">
        <v>8</v>
      </c>
      <c r="W27" s="1568">
        <f>J27</f>
        <v>100</v>
      </c>
      <c r="X27" s="1569"/>
      <c r="Y27" s="341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11"/>
      <c r="Q28" s="2578"/>
      <c r="R28" s="1567"/>
      <c r="S28" s="1568"/>
      <c r="T28" s="1567"/>
      <c r="U28" s="1568"/>
      <c r="V28" s="1567"/>
      <c r="W28" s="1568"/>
      <c r="X28" s="1569"/>
      <c r="Y28" s="3411"/>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1"/>
      <c r="Z29" s="1574" t="str">
        <f t="shared" ref="Z29:Z42" si="13">Q29</f>
        <v>临街状况</v>
      </c>
      <c r="AA29" s="1575">
        <f t="shared" si="3"/>
        <v>1</v>
      </c>
      <c r="AB29" s="1575">
        <f t="shared" si="4"/>
        <v>1</v>
      </c>
      <c r="AC29" s="1575">
        <f t="shared" si="5"/>
        <v>1</v>
      </c>
    </row>
    <row r="30" spans="1:29" ht="28.8">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1" t="str">
        <f t="shared" si="8"/>
        <v>毗邻道路的类型与等级</v>
      </c>
      <c r="R30" s="1572" t="s">
        <v>8</v>
      </c>
      <c r="S30" s="1573">
        <f t="shared" si="10"/>
        <v>100</v>
      </c>
      <c r="T30" s="1572" t="s">
        <v>8</v>
      </c>
      <c r="U30" s="1573">
        <f t="shared" si="11"/>
        <v>100</v>
      </c>
      <c r="V30" s="1572" t="s">
        <v>8</v>
      </c>
      <c r="W30" s="1573">
        <f t="shared" si="12"/>
        <v>100</v>
      </c>
      <c r="X30" s="1566"/>
      <c r="Y30" s="341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1"/>
      <c r="Q31" s="1571"/>
      <c r="R31" s="1572"/>
      <c r="S31" s="1573"/>
      <c r="T31" s="1572"/>
      <c r="U31" s="1573"/>
      <c r="V31" s="1572"/>
      <c r="W31" s="1573"/>
      <c r="X31" s="1566"/>
      <c r="Y31" s="3411"/>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1" t="str">
        <f t="shared" si="8"/>
        <v>土地级别</v>
      </c>
      <c r="R32" s="1572" t="s">
        <v>8</v>
      </c>
      <c r="S32" s="1573">
        <f t="shared" si="10"/>
        <v>100</v>
      </c>
      <c r="T32" s="1572" t="s">
        <v>8</v>
      </c>
      <c r="U32" s="1573">
        <f t="shared" si="11"/>
        <v>100</v>
      </c>
      <c r="V32" s="1572" t="s">
        <v>8</v>
      </c>
      <c r="W32" s="1573">
        <f t="shared" si="12"/>
        <v>100</v>
      </c>
      <c r="X32" s="1566"/>
      <c r="Y32" s="341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1">
        <f t="shared" si="8"/>
        <v>111</v>
      </c>
      <c r="R33" s="1572" t="s">
        <v>8</v>
      </c>
      <c r="S33" s="1573">
        <f t="shared" si="10"/>
        <v>100</v>
      </c>
      <c r="T33" s="1572" t="s">
        <v>8</v>
      </c>
      <c r="U33" s="1573">
        <f t="shared" si="11"/>
        <v>100</v>
      </c>
      <c r="V33" s="1572" t="s">
        <v>8</v>
      </c>
      <c r="W33" s="1573">
        <f t="shared" si="12"/>
        <v>100</v>
      </c>
      <c r="X33" s="1566"/>
      <c r="Y33" s="341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515</v>
      </c>
      <c r="Q34" s="1571">
        <f t="shared" si="8"/>
        <v>111</v>
      </c>
      <c r="R34" s="1572" t="s">
        <v>8</v>
      </c>
      <c r="S34" s="1573">
        <f t="shared" si="10"/>
        <v>100</v>
      </c>
      <c r="T34" s="1572" t="s">
        <v>8</v>
      </c>
      <c r="U34" s="1573">
        <f t="shared" si="11"/>
        <v>100</v>
      </c>
      <c r="V34" s="1572" t="s">
        <v>8</v>
      </c>
      <c r="W34" s="1573">
        <f t="shared" si="12"/>
        <v>100</v>
      </c>
      <c r="X34" s="1566"/>
      <c r="Y34" s="3413" t="s">
        <v>515</v>
      </c>
      <c r="Z34" s="1574">
        <f t="shared" si="13"/>
        <v>111</v>
      </c>
      <c r="AA34" s="1575">
        <f t="shared" si="3"/>
        <v>1</v>
      </c>
      <c r="AB34" s="1575">
        <f t="shared" si="4"/>
        <v>1</v>
      </c>
      <c r="AC34" s="1575">
        <f t="shared" si="5"/>
        <v>1</v>
      </c>
    </row>
    <row r="35" spans="1:29" s="1338"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1">
        <f t="shared" si="8"/>
        <v>111</v>
      </c>
      <c r="R35" s="1576" t="s">
        <v>8</v>
      </c>
      <c r="S35" s="1577">
        <f t="shared" si="10"/>
        <v>100</v>
      </c>
      <c r="T35" s="1576" t="s">
        <v>8</v>
      </c>
      <c r="U35" s="1577">
        <f t="shared" si="11"/>
        <v>100</v>
      </c>
      <c r="V35" s="1576" t="s">
        <v>8</v>
      </c>
      <c r="W35" s="1577">
        <f t="shared" si="12"/>
        <v>100</v>
      </c>
      <c r="X35" s="1578"/>
      <c r="Y35" s="3413"/>
      <c r="Z35" s="1579">
        <f t="shared" si="13"/>
        <v>111</v>
      </c>
      <c r="AA35" s="1575">
        <f t="shared" si="3"/>
        <v>1</v>
      </c>
      <c r="AB35" s="1575">
        <f t="shared" si="4"/>
        <v>1</v>
      </c>
      <c r="AC35" s="1575">
        <f t="shared" si="5"/>
        <v>1</v>
      </c>
    </row>
    <row r="36" spans="1:29" ht="15">
      <c r="A36" s="2907" t="s">
        <v>2715</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1" t="str">
        <f>B36</f>
        <v>宗地面积</v>
      </c>
      <c r="R36" s="1572" t="s">
        <v>8</v>
      </c>
      <c r="S36" s="1573" t="e">
        <f t="shared" si="10"/>
        <v>#N/A</v>
      </c>
      <c r="T36" s="1572" t="s">
        <v>8</v>
      </c>
      <c r="U36" s="1573" t="e">
        <f t="shared" si="11"/>
        <v>#N/A</v>
      </c>
      <c r="V36" s="1572" t="s">
        <v>8</v>
      </c>
      <c r="W36" s="1573" t="e">
        <f t="shared" si="12"/>
        <v>#N/A</v>
      </c>
      <c r="X36" s="1566"/>
      <c r="Y36" s="3413"/>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1" t="str">
        <f t="shared" ref="Q37:Q42" si="14">B37</f>
        <v>宗地形状</v>
      </c>
      <c r="R37" s="1572" t="s">
        <v>8</v>
      </c>
      <c r="S37" s="1573">
        <f t="shared" si="10"/>
        <v>100</v>
      </c>
      <c r="T37" s="1572" t="s">
        <v>8</v>
      </c>
      <c r="U37" s="1573">
        <f t="shared" si="11"/>
        <v>100</v>
      </c>
      <c r="V37" s="1572" t="s">
        <v>8</v>
      </c>
      <c r="W37" s="1573">
        <f t="shared" si="12"/>
        <v>100</v>
      </c>
      <c r="X37" s="1566"/>
      <c r="Y37" s="3413"/>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1" t="str">
        <f t="shared" si="14"/>
        <v>宗地开发程度</v>
      </c>
      <c r="R38" s="1567" t="s">
        <v>8</v>
      </c>
      <c r="S38" s="1568">
        <f t="shared" si="10"/>
        <v>100</v>
      </c>
      <c r="T38" s="1567" t="s">
        <v>8</v>
      </c>
      <c r="U38" s="1568">
        <f t="shared" si="11"/>
        <v>100</v>
      </c>
      <c r="V38" s="1567" t="s">
        <v>8</v>
      </c>
      <c r="W38" s="1568">
        <f t="shared" si="12"/>
        <v>100</v>
      </c>
      <c r="X38" s="1569"/>
      <c r="Y38" s="3413"/>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566</v>
      </c>
      <c r="Q39" s="1571" t="str">
        <f t="shared" si="14"/>
        <v>工程地质条件</v>
      </c>
      <c r="R39" s="1572" t="s">
        <v>8</v>
      </c>
      <c r="S39" s="1573">
        <f t="shared" si="10"/>
        <v>100</v>
      </c>
      <c r="T39" s="1572" t="s">
        <v>8</v>
      </c>
      <c r="U39" s="1573">
        <f t="shared" si="11"/>
        <v>100</v>
      </c>
      <c r="V39" s="1572" t="s">
        <v>8</v>
      </c>
      <c r="W39" s="1573">
        <f t="shared" si="12"/>
        <v>100</v>
      </c>
      <c r="X39" s="1566"/>
      <c r="Y39" s="3413"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1">
        <f t="shared" si="14"/>
        <v>111</v>
      </c>
      <c r="R40" s="1572" t="s">
        <v>8</v>
      </c>
      <c r="S40" s="1573">
        <f t="shared" si="10"/>
        <v>100</v>
      </c>
      <c r="T40" s="1572" t="s">
        <v>8</v>
      </c>
      <c r="U40" s="1573">
        <f t="shared" si="11"/>
        <v>100</v>
      </c>
      <c r="V40" s="1572" t="s">
        <v>8</v>
      </c>
      <c r="W40" s="1573">
        <f t="shared" si="12"/>
        <v>100</v>
      </c>
      <c r="X40" s="1566"/>
      <c r="Y40" s="341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1">
        <f t="shared" si="14"/>
        <v>111</v>
      </c>
      <c r="R41" s="1572" t="s">
        <v>8</v>
      </c>
      <c r="S41" s="1573">
        <f t="shared" si="10"/>
        <v>100</v>
      </c>
      <c r="T41" s="1572" t="s">
        <v>8</v>
      </c>
      <c r="U41" s="1573">
        <f t="shared" si="11"/>
        <v>100</v>
      </c>
      <c r="V41" s="1572" t="s">
        <v>8</v>
      </c>
      <c r="W41" s="1573">
        <f t="shared" si="12"/>
        <v>100</v>
      </c>
      <c r="X41" s="1566"/>
      <c r="Y41" s="3413"/>
      <c r="Z41" s="1574">
        <f t="shared" si="13"/>
        <v>111</v>
      </c>
      <c r="AA41" s="1575">
        <f t="shared" si="3"/>
        <v>1</v>
      </c>
      <c r="AB41" s="1575">
        <f t="shared" si="4"/>
        <v>1</v>
      </c>
      <c r="AC41" s="1575">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1">
        <f t="shared" si="14"/>
        <v>111</v>
      </c>
      <c r="R42" s="1576" t="s">
        <v>8</v>
      </c>
      <c r="S42" s="1577">
        <f t="shared" si="10"/>
        <v>100</v>
      </c>
      <c r="T42" s="1576" t="s">
        <v>8</v>
      </c>
      <c r="U42" s="1577">
        <f t="shared" si="11"/>
        <v>100</v>
      </c>
      <c r="V42" s="1576" t="s">
        <v>8</v>
      </c>
      <c r="W42" s="1577">
        <f t="shared" si="12"/>
        <v>100</v>
      </c>
      <c r="X42" s="1578"/>
      <c r="Y42" s="3413"/>
      <c r="Z42" s="1579">
        <f t="shared" si="13"/>
        <v>111</v>
      </c>
      <c r="AA42" s="1575">
        <f t="shared" si="3"/>
        <v>1</v>
      </c>
      <c r="AB42" s="1575">
        <f t="shared" si="4"/>
        <v>1</v>
      </c>
      <c r="AC42" s="1575">
        <f t="shared" si="5"/>
        <v>1</v>
      </c>
    </row>
    <row r="43" spans="1:29" ht="14.4">
      <c r="A43" s="607" t="s">
        <v>521</v>
      </c>
      <c r="B43" s="608" t="s">
        <v>2883</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8"/>
      <c r="Y43" s="1580"/>
      <c r="Z43" s="1558"/>
      <c r="AA43" s="1558"/>
      <c r="AB43" s="1558"/>
      <c r="AC43" s="1558"/>
    </row>
    <row r="44" spans="1:29" ht="15" thickBot="1">
      <c r="A44" s="615" t="s">
        <v>2653</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 thickBot="1">
      <c r="A45" s="621" t="s">
        <v>2884</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525</v>
      </c>
      <c r="B52" s="630" t="s">
        <v>526</v>
      </c>
      <c r="C52" s="1559" t="s">
        <v>1686</v>
      </c>
      <c r="D52" s="2227" t="s">
        <v>2255</v>
      </c>
      <c r="E52" s="631" t="s">
        <v>527</v>
      </c>
      <c r="F52" s="1951" t="s">
        <v>528</v>
      </c>
      <c r="G52" s="3421" t="s">
        <v>2246</v>
      </c>
      <c r="H52" s="3422"/>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3" t="s">
        <v>529</v>
      </c>
      <c r="B53" s="634" t="e">
        <f>C45</f>
        <v>#DIV/0!</v>
      </c>
      <c r="C53" s="635">
        <v>1</v>
      </c>
      <c r="D53" s="2228">
        <v>1</v>
      </c>
      <c r="E53" s="635">
        <f>'数据-汇总表'!E8+'数据-汇总表'!E9</f>
        <v>75630</v>
      </c>
      <c r="F53" s="1950" t="e">
        <f t="shared" ref="F53:F62" si="15">ROUND(B53*E53/10000,0)</f>
        <v>#DIV/0!</v>
      </c>
      <c r="G53" s="3423"/>
      <c r="H53" s="342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7" t="s">
        <v>530</v>
      </c>
      <c r="B54" s="638" t="e">
        <f>ROUND($C$45*C54*D54,0)</f>
        <v>#DIV/0!</v>
      </c>
      <c r="C54" s="378">
        <f t="shared" ref="C54:C62" si="16">IF($C$52="北京市系数",I54,J54)</f>
        <v>0</v>
      </c>
      <c r="D54" s="2229">
        <v>0.25</v>
      </c>
      <c r="E54" s="639"/>
      <c r="F54" s="1950" t="e">
        <f t="shared" si="15"/>
        <v>#DIV/0!</v>
      </c>
      <c r="G54" s="3425"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7" t="s">
        <v>531</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7" t="s">
        <v>532</v>
      </c>
      <c r="B56" s="638" t="e">
        <f t="shared" si="17"/>
        <v>#DIV/0!</v>
      </c>
      <c r="C56" s="378">
        <f t="shared" si="16"/>
        <v>0</v>
      </c>
      <c r="D56" s="2229">
        <v>0.25</v>
      </c>
      <c r="E56" s="639"/>
      <c r="F56" s="1950" t="e">
        <f t="shared" si="15"/>
        <v>#DIV/0!</v>
      </c>
      <c r="G56" s="342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7" t="s">
        <v>533</v>
      </c>
      <c r="B57" s="638" t="e">
        <f t="shared" si="17"/>
        <v>#DIV/0!</v>
      </c>
      <c r="C57" s="378">
        <f t="shared" si="16"/>
        <v>0</v>
      </c>
      <c r="D57" s="2229">
        <v>0.25</v>
      </c>
      <c r="E57" s="639"/>
      <c r="F57" s="1950" t="e">
        <f t="shared" si="15"/>
        <v>#DIV/0!</v>
      </c>
      <c r="G57" s="342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535</v>
      </c>
      <c r="B60" s="638" t="e">
        <f t="shared" si="17"/>
        <v>#DIV/0!</v>
      </c>
      <c r="C60" s="378">
        <f t="shared" si="16"/>
        <v>0</v>
      </c>
      <c r="D60" s="2229">
        <v>0.25</v>
      </c>
      <c r="E60" s="641">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2.2"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2493</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2609</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9.4"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9.4"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 thickTop="1">
      <c r="A93" s="687"/>
      <c r="B93" s="1896" t="s">
        <v>2508</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 thickTop="1">
      <c r="A95" s="687"/>
      <c r="B95" s="2597" t="s">
        <v>2510</v>
      </c>
      <c r="C95" s="2598" t="s">
        <v>2511</v>
      </c>
      <c r="D95" s="2598" t="s">
        <v>2512</v>
      </c>
      <c r="E95" s="2598" t="s">
        <v>2513</v>
      </c>
      <c r="F95" s="2598" t="s">
        <v>2514</v>
      </c>
      <c r="G95" s="2598" t="s">
        <v>2515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2722</v>
      </c>
      <c r="S1" s="2936" t="s">
        <v>2723</v>
      </c>
      <c r="T1" s="2936" t="s">
        <v>2744</v>
      </c>
      <c r="U1" s="2936" t="s">
        <v>2745</v>
      </c>
      <c r="V1" s="2936" t="s">
        <v>2746</v>
      </c>
      <c r="W1" s="2189"/>
      <c r="X1" s="2189"/>
      <c r="Y1" s="2189"/>
      <c r="Z1" s="2189"/>
      <c r="AA1" s="2189"/>
      <c r="AB1" s="2189"/>
      <c r="AC1" s="2190"/>
    </row>
    <row r="2" spans="1:39" ht="15.6">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1649</v>
      </c>
      <c r="B3" s="1038" t="e">
        <f>ROUND(B2*10000/D1,0)</f>
        <v>#DIV/0!</v>
      </c>
      <c r="C3" s="1406" t="s">
        <v>892</v>
      </c>
      <c r="D3" s="1407" t="s">
        <v>893</v>
      </c>
      <c r="E3" s="1411"/>
      <c r="F3" s="1412" t="s">
        <v>2885</v>
      </c>
      <c r="G3" s="1039">
        <f>IF(F3="宗地容积率",'数据-汇总表'!I4,IF(F3="估价对象容积率",'数据-汇总表'!I6,'数据-汇总表'!I7))</f>
        <v>8.3000000000000007</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1785</v>
      </c>
      <c r="B5" s="1414" t="s">
        <v>896</v>
      </c>
      <c r="C5" s="1041" t="e">
        <f>ROUND(IF(E2="商业",IF(F16="增加",C6*C7+C16,C6*C7-C16),IF(E2="住宅",IF(F16="增加",C6*C12+C16,C6*C12-C16),IF(F16="增加",C6+C16,C6-C16))),0)</f>
        <v>#DIV/0!</v>
      </c>
      <c r="D5" s="3119">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5"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2725</v>
      </c>
      <c r="X7" s="2927">
        <f>G2</f>
        <v>0</v>
      </c>
      <c r="Y7" s="2927" t="s">
        <v>2726</v>
      </c>
      <c r="Z7" s="2928">
        <f>G3</f>
        <v>8.3000000000000007</v>
      </c>
      <c r="AA7" s="2192"/>
      <c r="AB7" s="2192"/>
      <c r="AC7" s="2193"/>
      <c r="AD7" s="2929"/>
      <c r="AE7" s="2929"/>
      <c r="AF7" s="2929"/>
      <c r="AG7" s="2929"/>
      <c r="AH7" s="2929"/>
      <c r="AI7" s="2929"/>
      <c r="AJ7" s="2930"/>
    </row>
    <row r="8" spans="1:39" ht="15">
      <c r="A8" s="3436"/>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7" t="s">
        <v>2743</v>
      </c>
      <c r="X8" s="3428"/>
      <c r="Y8" s="1849" t="s">
        <v>2727</v>
      </c>
      <c r="Z8" s="1849" t="s">
        <v>2728</v>
      </c>
      <c r="AA8" s="1849" t="s">
        <v>2729</v>
      </c>
      <c r="AB8" s="1849" t="s">
        <v>2730</v>
      </c>
      <c r="AC8" s="1849" t="s">
        <v>2731</v>
      </c>
      <c r="AD8" s="1849" t="s">
        <v>2732</v>
      </c>
      <c r="AE8" s="1849" t="s">
        <v>2733</v>
      </c>
      <c r="AF8" s="1849" t="s">
        <v>2734</v>
      </c>
      <c r="AG8" s="1849" t="s">
        <v>2735</v>
      </c>
      <c r="AH8" s="1849" t="s">
        <v>2736</v>
      </c>
      <c r="AI8" s="1849" t="s">
        <v>2737</v>
      </c>
      <c r="AJ8" s="1849" t="s">
        <v>2738</v>
      </c>
    </row>
    <row r="9" spans="1:39" ht="15">
      <c r="A9" s="3436"/>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6" t="s">
        <v>2739</v>
      </c>
      <c r="X9" s="2931" t="s">
        <v>2740</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6"/>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6"/>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6" t="s">
        <v>2741</v>
      </c>
      <c r="X11" s="1048" t="s">
        <v>2726</v>
      </c>
      <c r="Y11" s="1652">
        <f>$G$3</f>
        <v>8.3000000000000007</v>
      </c>
      <c r="Z11" s="1652">
        <f t="shared" ref="Z11:AJ11" si="3">$G$3</f>
        <v>8.3000000000000007</v>
      </c>
      <c r="AA11" s="1652">
        <f t="shared" si="3"/>
        <v>8.3000000000000007</v>
      </c>
      <c r="AB11" s="1652">
        <f t="shared" si="3"/>
        <v>8.3000000000000007</v>
      </c>
      <c r="AC11" s="1652">
        <f t="shared" si="3"/>
        <v>8.3000000000000007</v>
      </c>
      <c r="AD11" s="1652">
        <f t="shared" si="3"/>
        <v>8.3000000000000007</v>
      </c>
      <c r="AE11" s="1652">
        <f t="shared" si="3"/>
        <v>8.3000000000000007</v>
      </c>
      <c r="AF11" s="1652">
        <f t="shared" si="3"/>
        <v>8.3000000000000007</v>
      </c>
      <c r="AG11" s="1652">
        <f t="shared" si="3"/>
        <v>8.3000000000000007</v>
      </c>
      <c r="AH11" s="1652">
        <f t="shared" si="3"/>
        <v>8.3000000000000007</v>
      </c>
      <c r="AI11" s="1652">
        <f t="shared" si="3"/>
        <v>8.3000000000000007</v>
      </c>
      <c r="AJ11" s="1652">
        <f t="shared" si="3"/>
        <v>8.3000000000000007</v>
      </c>
    </row>
    <row r="12" spans="1:39" ht="25.8" thickBot="1">
      <c r="A12" s="3435"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6"/>
      <c r="X12" s="2934" t="s">
        <v>2742</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7"/>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26"/>
      <c r="X13" s="2934"/>
      <c r="Y13" s="2933">
        <f>(-0.163*(Y12^2)-0.59*Y12+7617)*(10^(-4))/Y11</f>
        <v>9.1771084337349401E-2</v>
      </c>
      <c r="Z13" s="2933">
        <f t="shared" ref="Z13:AJ13" si="5">(-0.163*(Z12^2)-0.59*Z12+7617)*(10^(-4))/Z11</f>
        <v>9.1771084337349401E-2</v>
      </c>
      <c r="AA13" s="2933">
        <f t="shared" si="5"/>
        <v>9.1771084337349401E-2</v>
      </c>
      <c r="AB13" s="2933">
        <f t="shared" si="5"/>
        <v>9.1771084337349401E-2</v>
      </c>
      <c r="AC13" s="2933">
        <f t="shared" si="5"/>
        <v>9.1771084337349401E-2</v>
      </c>
      <c r="AD13" s="2933">
        <f t="shared" si="5"/>
        <v>9.1771084337349401E-2</v>
      </c>
      <c r="AE13" s="2933">
        <f t="shared" si="5"/>
        <v>9.1771084337349401E-2</v>
      </c>
      <c r="AF13" s="2933">
        <f t="shared" si="5"/>
        <v>9.1771084337349401E-2</v>
      </c>
      <c r="AG13" s="2933">
        <f t="shared" si="5"/>
        <v>9.1771084337349401E-2</v>
      </c>
      <c r="AH13" s="2933">
        <f t="shared" si="5"/>
        <v>9.1771084337349401E-2</v>
      </c>
      <c r="AI13" s="2933">
        <f t="shared" si="5"/>
        <v>9.1771084337349401E-2</v>
      </c>
      <c r="AJ13" s="2933">
        <f t="shared" si="5"/>
        <v>9.1771084337349401E-2</v>
      </c>
    </row>
    <row r="14" spans="1:39" ht="12.75" customHeight="1" thickBot="1">
      <c r="A14" s="3437"/>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8"/>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35"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36"/>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43343</v>
      </c>
      <c r="H19" s="1474" t="s">
        <v>2886</v>
      </c>
      <c r="I19" s="2784" t="str">
        <f>IF(H19="季度增幅（自定义）",SUMIF(N21:N24,E2,O21:O24),"")</f>
        <v/>
      </c>
      <c r="J19" s="1470"/>
      <c r="K19" s="1480"/>
      <c r="L19" s="3040" t="s">
        <v>2801</v>
      </c>
      <c r="M19" s="3041">
        <f>ROUND(SUMIF(地价!B2:F2,E2,地价!B23:F23),0)</f>
        <v>0</v>
      </c>
      <c r="N19" s="2786" t="s">
        <v>1641</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1798</v>
      </c>
      <c r="B20" s="2779" t="s">
        <v>937</v>
      </c>
      <c r="C20" s="2780" t="e">
        <f>ROUND(POWER(1+G20,J20-I20)*(POWER(1+G20,I20)-1)/(POWER(1+G20,J20)-1),4)</f>
        <v>#DIV/0!</v>
      </c>
      <c r="D20" s="2781" t="s">
        <v>938</v>
      </c>
      <c r="E20" s="3094">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2802</v>
      </c>
      <c r="M20" s="3043">
        <f>ROUND(SUMPRODUCT((地价!A4:A23=YEAR(G19)&amp;"-"&amp;ROUNDUP(MONTH(G19)/3,0))*(地价!B2:F2=E2)*(地价!B4:F23)),0)</f>
        <v>0</v>
      </c>
      <c r="N20" s="2789" t="s">
        <v>2605</v>
      </c>
      <c r="O20" s="2787" t="s">
        <v>2604</v>
      </c>
      <c r="P20" s="2788" t="s">
        <v>2610</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1799</v>
      </c>
      <c r="B21" s="1479" t="s">
        <v>2721</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1832</v>
      </c>
      <c r="B22" s="1482" t="s">
        <v>942</v>
      </c>
      <c r="C22" s="1060" t="s">
        <v>1664</v>
      </c>
      <c r="D22" s="1060" t="b">
        <f>IF(E22=G22,F22,IF(G3&lt;=10,ROUND(F22+(H22-F22)*(G3-E22)/(G22-E22),4),"——"))</f>
        <v>0</v>
      </c>
      <c r="E22" s="1039">
        <f>ROUNDDOWN(G3,1)</f>
        <v>8.3000000000000007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8.3000000000000007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2608</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4">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41" t="s">
        <v>2911</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42"/>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42"/>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43"/>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72">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989</v>
      </c>
      <c r="B50" s="3096" t="s">
        <v>2888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991</v>
      </c>
      <c r="B52" s="3095" t="s">
        <v>2887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6"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60">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989</v>
      </c>
      <c r="B61" s="3096" t="s">
        <v>2889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991</v>
      </c>
      <c r="B63" s="3095" t="s">
        <v>2887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6"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991</v>
      </c>
      <c r="B75" s="3095" t="s">
        <v>2887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24">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991</v>
      </c>
      <c r="B86" s="3095" t="s">
        <v>2887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4.4"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9" t="s">
        <v>1599</v>
      </c>
      <c r="B90" s="3439"/>
      <c r="C90" s="3439"/>
      <c r="D90" s="3439"/>
      <c r="E90" s="3439"/>
      <c r="F90" s="3439"/>
      <c r="G90" s="3439"/>
      <c r="H90" s="3439"/>
      <c r="I90" s="3439"/>
      <c r="J90" s="3439"/>
      <c r="K90" s="2450"/>
      <c r="L90" s="2450"/>
      <c r="M90" s="2450"/>
      <c r="N90" s="2450"/>
    </row>
    <row r="91" spans="1:40">
      <c r="A91" s="3440" t="s">
        <v>1409</v>
      </c>
      <c r="B91" s="3440" t="s">
        <v>1600</v>
      </c>
      <c r="C91" s="1140" t="s">
        <v>1601</v>
      </c>
      <c r="D91" s="1141"/>
      <c r="E91" s="1141"/>
      <c r="F91" s="1141"/>
      <c r="G91" s="1141"/>
      <c r="H91" s="1141"/>
      <c r="I91" s="1141"/>
      <c r="J91" s="1142"/>
      <c r="K91" s="1134"/>
      <c r="L91" s="1134"/>
      <c r="M91" s="1134"/>
      <c r="N91" s="1134"/>
    </row>
    <row r="92" spans="1:40">
      <c r="A92" s="3440"/>
      <c r="B92" s="3440"/>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29" t="s">
        <v>2724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0"/>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9" t="s">
        <v>1603</v>
      </c>
      <c r="B101" s="1147" t="s">
        <v>871</v>
      </c>
      <c r="C101" s="1148">
        <f>$G$3</f>
        <v>8.3000000000000007</v>
      </c>
      <c r="D101" s="1148">
        <f t="shared" ref="D101:N101" si="31">$G$3</f>
        <v>8.3000000000000007</v>
      </c>
      <c r="E101" s="1148">
        <f t="shared" si="31"/>
        <v>8.3000000000000007</v>
      </c>
      <c r="F101" s="1148">
        <f t="shared" si="31"/>
        <v>8.3000000000000007</v>
      </c>
      <c r="G101" s="1148">
        <f t="shared" si="31"/>
        <v>8.3000000000000007</v>
      </c>
      <c r="H101" s="1148">
        <f t="shared" si="31"/>
        <v>8.3000000000000007</v>
      </c>
      <c r="I101" s="1148">
        <f t="shared" si="31"/>
        <v>8.3000000000000007</v>
      </c>
      <c r="J101" s="1148">
        <f t="shared" si="31"/>
        <v>8.3000000000000007</v>
      </c>
      <c r="K101" s="1148">
        <f t="shared" si="31"/>
        <v>8.3000000000000007</v>
      </c>
      <c r="L101" s="1148">
        <f t="shared" si="31"/>
        <v>8.3000000000000007</v>
      </c>
      <c r="M101" s="1148">
        <f t="shared" si="31"/>
        <v>8.3000000000000007</v>
      </c>
      <c r="N101" s="1148">
        <f t="shared" si="31"/>
        <v>8.3000000000000007</v>
      </c>
    </row>
    <row r="102" spans="1:14">
      <c r="A102" s="3430"/>
      <c r="B102" s="1143">
        <v>1</v>
      </c>
      <c r="C102" s="1144">
        <f>1.9362/C101</f>
        <v>0.23327710843373492</v>
      </c>
      <c r="D102" s="1144">
        <f>1.9362/D101</f>
        <v>0.23327710843373492</v>
      </c>
      <c r="E102" s="1144">
        <f>1.8629/E101</f>
        <v>0.22444578313253011</v>
      </c>
      <c r="F102" s="1144">
        <f>1.8629/F101</f>
        <v>0.22444578313253011</v>
      </c>
      <c r="G102" s="1144">
        <f>1.8629/G101</f>
        <v>0.22444578313253011</v>
      </c>
      <c r="H102" s="1144">
        <f>1.8629/H101</f>
        <v>0.22444578313253011</v>
      </c>
      <c r="I102" s="1144">
        <f>1.8629/I101</f>
        <v>0.22444578313253011</v>
      </c>
      <c r="J102" s="1144">
        <f>1.942/J101</f>
        <v>0.2339759036144578</v>
      </c>
      <c r="K102" s="1144">
        <f>1.942/K101</f>
        <v>0.2339759036144578</v>
      </c>
      <c r="L102" s="1144">
        <f>1.942/L101</f>
        <v>0.2339759036144578</v>
      </c>
      <c r="M102" s="1144">
        <f>1.942/M101</f>
        <v>0.2339759036144578</v>
      </c>
      <c r="N102" s="1144">
        <f>1.942/N101</f>
        <v>0.2339759036144578</v>
      </c>
    </row>
    <row r="103" spans="1:14">
      <c r="A103" s="3430"/>
      <c r="B103" s="1143">
        <v>2</v>
      </c>
      <c r="C103" s="1144">
        <f>1.4198/C101</f>
        <v>0.17106024096385541</v>
      </c>
      <c r="D103" s="1144">
        <f>1.4198/D101</f>
        <v>0.17106024096385541</v>
      </c>
      <c r="E103" s="1144">
        <f>1.3372/E101</f>
        <v>0.16110843373493974</v>
      </c>
      <c r="F103" s="1144">
        <f>1.3372/F101</f>
        <v>0.16110843373493974</v>
      </c>
      <c r="G103" s="1144">
        <f>1.3372/G101</f>
        <v>0.16110843373493974</v>
      </c>
      <c r="H103" s="1144">
        <f>1.3372/H101</f>
        <v>0.16110843373493974</v>
      </c>
      <c r="I103" s="1144">
        <f>1.3372/I101</f>
        <v>0.16110843373493974</v>
      </c>
      <c r="J103" s="1144">
        <f>1.2799/J101</f>
        <v>0.15420481927710841</v>
      </c>
      <c r="K103" s="1144">
        <f>1.2799/K101</f>
        <v>0.15420481927710841</v>
      </c>
      <c r="L103" s="1144">
        <f>1.2799/L101</f>
        <v>0.15420481927710841</v>
      </c>
      <c r="M103" s="1144">
        <f>1.2799/M101</f>
        <v>0.15420481927710841</v>
      </c>
      <c r="N103" s="1144">
        <f>1.2799/N101</f>
        <v>0.15420481927710841</v>
      </c>
    </row>
    <row r="104" spans="1:14">
      <c r="A104" s="3430"/>
      <c r="B104" s="1143">
        <v>3</v>
      </c>
      <c r="C104" s="1144">
        <f>1.1594/C101</f>
        <v>0.1396867469879518</v>
      </c>
      <c r="D104" s="1144">
        <f>1.1594/D101</f>
        <v>0.1396867469879518</v>
      </c>
      <c r="E104" s="1144">
        <f>1.0788/E101</f>
        <v>0.12997590361445782</v>
      </c>
      <c r="F104" s="1144">
        <f>1.0788/F101</f>
        <v>0.12997590361445782</v>
      </c>
      <c r="G104" s="1144">
        <f>1.0788/G101</f>
        <v>0.12997590361445782</v>
      </c>
      <c r="H104" s="1144">
        <f>1.0788/H101</f>
        <v>0.12997590361445782</v>
      </c>
      <c r="I104" s="1144">
        <f>1.0788/I101</f>
        <v>0.12997590361445782</v>
      </c>
      <c r="J104" s="1144">
        <f>1.0072/J101</f>
        <v>0.12134939759036145</v>
      </c>
      <c r="K104" s="1144">
        <f>1.0072/K101</f>
        <v>0.12134939759036145</v>
      </c>
      <c r="L104" s="1144">
        <f>1.0072/L101</f>
        <v>0.12134939759036145</v>
      </c>
      <c r="M104" s="1144">
        <f>1.0072/M101</f>
        <v>0.12134939759036145</v>
      </c>
      <c r="N104" s="1144">
        <f>1.0072/N101</f>
        <v>0.12134939759036145</v>
      </c>
    </row>
    <row r="105" spans="1:14">
      <c r="A105" s="3430"/>
      <c r="B105" s="1143">
        <v>4</v>
      </c>
      <c r="C105" s="1144">
        <f>0.9622/C101</f>
        <v>0.11592771084337349</v>
      </c>
      <c r="D105" s="1144">
        <f>0.9622/D101</f>
        <v>0.11592771084337349</v>
      </c>
      <c r="E105" s="1144">
        <f>0.8656/E101</f>
        <v>0.10428915662650602</v>
      </c>
      <c r="F105" s="1144">
        <f>0.8656/F101</f>
        <v>0.10428915662650602</v>
      </c>
      <c r="G105" s="1144">
        <f>0.8656/G101</f>
        <v>0.10428915662650602</v>
      </c>
      <c r="H105" s="1144">
        <f>0.8656/H101</f>
        <v>0.10428915662650602</v>
      </c>
      <c r="I105" s="1144">
        <f>0.8656/I101</f>
        <v>0.10428915662650602</v>
      </c>
      <c r="J105" s="1144">
        <f>0.7525/J101</f>
        <v>9.066265060240962E-2</v>
      </c>
      <c r="K105" s="1144">
        <f>0.7525/K101</f>
        <v>9.066265060240962E-2</v>
      </c>
      <c r="L105" s="1144">
        <f>0.7525/L101</f>
        <v>9.066265060240962E-2</v>
      </c>
      <c r="M105" s="1144">
        <f>0.7525/M101</f>
        <v>9.066265060240962E-2</v>
      </c>
      <c r="N105" s="1144">
        <f>0.7525/N101</f>
        <v>9.066265060240962E-2</v>
      </c>
    </row>
    <row r="106" spans="1:14">
      <c r="A106" s="3430"/>
      <c r="B106" s="1143">
        <v>5</v>
      </c>
      <c r="C106" s="1144">
        <f>0.8417/C101</f>
        <v>0.10140963855421686</v>
      </c>
      <c r="D106" s="1144">
        <f>0.8417/D101</f>
        <v>0.10140963855421686</v>
      </c>
      <c r="E106" s="1144">
        <f>0.7371/E101</f>
        <v>8.8807228915662645E-2</v>
      </c>
      <c r="F106" s="1144">
        <f>0.7371/F101</f>
        <v>8.8807228915662645E-2</v>
      </c>
      <c r="G106" s="1144">
        <f>0.7371/G101</f>
        <v>8.8807228915662645E-2</v>
      </c>
      <c r="H106" s="1144">
        <f>0.7371/H101</f>
        <v>8.8807228915662645E-2</v>
      </c>
      <c r="I106" s="1144">
        <f>0.7371/I101</f>
        <v>8.8807228915662645E-2</v>
      </c>
      <c r="J106" s="1144">
        <f>0.5659/J101</f>
        <v>6.8180722891566251E-2</v>
      </c>
      <c r="K106" s="1144">
        <f>0.5659/K101</f>
        <v>6.8180722891566251E-2</v>
      </c>
      <c r="L106" s="1144">
        <f>0.5659/L101</f>
        <v>6.8180722891566251E-2</v>
      </c>
      <c r="M106" s="1144">
        <f>0.5659/M101</f>
        <v>6.8180722891566251E-2</v>
      </c>
      <c r="N106" s="1144">
        <f>0.5659/N101</f>
        <v>6.8180722891566251E-2</v>
      </c>
    </row>
    <row r="107" spans="1:14">
      <c r="A107" s="3430"/>
      <c r="B107" s="1143">
        <v>6</v>
      </c>
      <c r="C107" s="1144">
        <f>0.7608/C101</f>
        <v>9.1662650602409634E-2</v>
      </c>
      <c r="D107" s="1144">
        <f>0.7608/D101</f>
        <v>9.1662650602409634E-2</v>
      </c>
      <c r="E107" s="1144">
        <f>0.6482/E101</f>
        <v>7.8096385542168661E-2</v>
      </c>
      <c r="F107" s="1144">
        <f>0.6482/F101</f>
        <v>7.8096385542168661E-2</v>
      </c>
      <c r="G107" s="1144">
        <f>0.6482/G101</f>
        <v>7.8096385542168661E-2</v>
      </c>
      <c r="H107" s="1144">
        <f>0.6482/H101</f>
        <v>7.8096385542168661E-2</v>
      </c>
      <c r="I107" s="1144">
        <f>0.6482/I101</f>
        <v>7.8096385542168661E-2</v>
      </c>
      <c r="J107" s="1144">
        <f>0.4525/J101</f>
        <v>5.4518072289156623E-2</v>
      </c>
      <c r="K107" s="1144">
        <f>0.4525/K101</f>
        <v>5.4518072289156623E-2</v>
      </c>
      <c r="L107" s="1144">
        <f>0.4525/L101</f>
        <v>5.4518072289156623E-2</v>
      </c>
      <c r="M107" s="1144">
        <f>0.4525/M101</f>
        <v>5.4518072289156623E-2</v>
      </c>
      <c r="N107" s="1144">
        <f>0.4525/N101</f>
        <v>5.4518072289156623E-2</v>
      </c>
    </row>
    <row r="108" spans="1:14">
      <c r="A108" s="3430"/>
      <c r="B108" s="3432"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1"/>
      <c r="B109" s="3433"/>
      <c r="C109" s="1146">
        <f>(-0.163*(C108^2)-0.59*C108+7617)*(10^(-4))/C101</f>
        <v>9.1588530120481917E-2</v>
      </c>
      <c r="D109" s="1146">
        <f>(-0.163*(D108^2)-0.59*D108+7617)*(10^(-4))/D101</f>
        <v>9.1588530120481917E-2</v>
      </c>
      <c r="E109" s="1146">
        <f>(-0.161*(E108^2)-7.509*E108+6533)*(10^(-4))/E101</f>
        <v>7.7862939759036146E-2</v>
      </c>
      <c r="F109" s="1146">
        <f>(-0.161*(F108^2)-7.509*F108+6533)*(10^(-4))/F101</f>
        <v>7.7862939759036146E-2</v>
      </c>
      <c r="G109" s="1146">
        <f>(-0.161*(G108^2)-7.509*G108+6533)*(10^(-4))/G101</f>
        <v>7.7862939759036146E-2</v>
      </c>
      <c r="H109" s="1146">
        <f>(-0.161*(H108^2)-7.509*H108+6533)*(10^(-4))/H101</f>
        <v>7.7862939759036146E-2</v>
      </c>
      <c r="I109" s="1146">
        <f>(-0.161*(I108^2)-7.509*I108+6533)*(10^(-4))/I101</f>
        <v>7.7862939759036146E-2</v>
      </c>
      <c r="J109" s="1146">
        <f>(-0.214*(J108^2)-21.991*J108+4665)*(10^(-4))/J101</f>
        <v>5.3920192771084334E-2</v>
      </c>
      <c r="K109" s="1146">
        <f>(-0.214*(K108^2)-21.991*K108+4665)*(10^(-4))/K101</f>
        <v>5.3920192771084334E-2</v>
      </c>
      <c r="L109" s="1146">
        <f>(-0.214*(L108^2)-21.991*L108+4665)*(10^(-4))/L101</f>
        <v>5.3920192771084334E-2</v>
      </c>
      <c r="M109" s="1146">
        <f>(-0.214*(M108^2)-21.991*M108+4665)*(10^(-4))/M101</f>
        <v>5.3920192771084334E-2</v>
      </c>
      <c r="N109" s="1146">
        <f>(-0.214*(N108^2)-21.991*N108+4665)*(10^(-4))/N101</f>
        <v>5.3920192771084334E-2</v>
      </c>
    </row>
    <row r="110" spans="1:14">
      <c r="A110" s="3434" t="s">
        <v>1605</v>
      </c>
      <c r="B110" s="3434"/>
      <c r="C110" s="3434"/>
      <c r="D110" s="3434"/>
      <c r="E110" s="3434"/>
      <c r="F110" s="3434"/>
      <c r="G110" s="3434"/>
      <c r="H110" s="3434"/>
      <c r="I110" s="3434"/>
      <c r="J110" s="3434"/>
      <c r="K110" s="2448"/>
      <c r="L110" s="2448"/>
      <c r="M110" s="2448"/>
      <c r="N110" s="2448"/>
    </row>
    <row r="112" spans="1:14" ht="12.6" thickBot="1"/>
    <row r="113" spans="1:13" ht="25.8" thickBot="1">
      <c r="A113" s="1016" t="s">
        <v>861</v>
      </c>
      <c r="B113" s="2451">
        <f>G3</f>
        <v>8.3000000000000007</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3.2">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3.2">
      <c r="A115" s="1029" t="s">
        <v>865</v>
      </c>
      <c r="B115" s="1030">
        <f>ROUND(0.9335-0.0094*B113,4)</f>
        <v>0.85550000000000004</v>
      </c>
      <c r="C115" s="1030">
        <f>B115</f>
        <v>0.85550000000000004</v>
      </c>
      <c r="D115" s="1030">
        <f>ROUND(0.8331-0.0109*B113,4)</f>
        <v>0.74260000000000004</v>
      </c>
      <c r="E115" s="1030">
        <f>D115</f>
        <v>0.74260000000000004</v>
      </c>
      <c r="F115" s="1030">
        <f>E115</f>
        <v>0.74260000000000004</v>
      </c>
      <c r="G115" s="1030">
        <f>F115</f>
        <v>0.74260000000000004</v>
      </c>
      <c r="H115" s="1030">
        <f>G115</f>
        <v>0.74260000000000004</v>
      </c>
      <c r="I115" s="1030">
        <f>ROUND(0.689-0.0155*B113,4)</f>
        <v>0.56040000000000001</v>
      </c>
      <c r="J115" s="1030">
        <f t="shared" ref="J115:M118" si="33">I115</f>
        <v>0.56040000000000001</v>
      </c>
      <c r="K115" s="1030">
        <f t="shared" si="33"/>
        <v>0.56040000000000001</v>
      </c>
      <c r="L115" s="1030">
        <f t="shared" si="33"/>
        <v>0.56040000000000001</v>
      </c>
      <c r="M115" s="1031">
        <f t="shared" si="33"/>
        <v>0.56040000000000001</v>
      </c>
    </row>
    <row r="116" spans="1:13" ht="13.2">
      <c r="A116" s="1029" t="s">
        <v>866</v>
      </c>
      <c r="B116" s="1030">
        <f>ROUND(0.949-0.012*B113,4)</f>
        <v>0.84940000000000004</v>
      </c>
      <c r="C116" s="1030">
        <f>B116</f>
        <v>0.84940000000000004</v>
      </c>
      <c r="D116" s="1030">
        <f>ROUND(0.8567-0.013*B113,4)</f>
        <v>0.74880000000000002</v>
      </c>
      <c r="E116" s="1030">
        <f t="shared" ref="E116:H117" si="34">D116</f>
        <v>0.74880000000000002</v>
      </c>
      <c r="F116" s="1030">
        <f t="shared" si="34"/>
        <v>0.74880000000000002</v>
      </c>
      <c r="G116" s="1030">
        <f t="shared" si="34"/>
        <v>0.74880000000000002</v>
      </c>
      <c r="H116" s="1030">
        <f t="shared" si="34"/>
        <v>0.74880000000000002</v>
      </c>
      <c r="I116" s="1030">
        <f>ROUND(0.7694-0.014*B113,4)</f>
        <v>0.6532</v>
      </c>
      <c r="J116" s="1030">
        <f t="shared" si="33"/>
        <v>0.6532</v>
      </c>
      <c r="K116" s="1030">
        <f t="shared" si="33"/>
        <v>0.6532</v>
      </c>
      <c r="L116" s="1030">
        <f t="shared" si="33"/>
        <v>0.6532</v>
      </c>
      <c r="M116" s="1031">
        <f t="shared" si="33"/>
        <v>0.6532</v>
      </c>
    </row>
    <row r="117" spans="1:13" ht="13.2">
      <c r="A117" s="1032" t="s">
        <v>867</v>
      </c>
      <c r="B117" s="1030">
        <f>ROUND(0.8808-0.006*B113,4)</f>
        <v>0.83099999999999996</v>
      </c>
      <c r="C117" s="1030">
        <f>B117</f>
        <v>0.83099999999999996</v>
      </c>
      <c r="D117" s="1030">
        <f>ROUND(0.8748-0.008*B113,4)</f>
        <v>0.80840000000000001</v>
      </c>
      <c r="E117" s="1030">
        <f t="shared" si="34"/>
        <v>0.80840000000000001</v>
      </c>
      <c r="F117" s="1030">
        <f t="shared" si="34"/>
        <v>0.80840000000000001</v>
      </c>
      <c r="G117" s="1030">
        <f t="shared" si="34"/>
        <v>0.80840000000000001</v>
      </c>
      <c r="H117" s="1030">
        <f t="shared" si="34"/>
        <v>0.80840000000000001</v>
      </c>
      <c r="I117" s="1030">
        <f>ROUND(0.7412-0.0095*B113,4)</f>
        <v>0.66239999999999999</v>
      </c>
      <c r="J117" s="1030">
        <f t="shared" si="33"/>
        <v>0.66239999999999999</v>
      </c>
      <c r="K117" s="1030">
        <f t="shared" si="33"/>
        <v>0.66239999999999999</v>
      </c>
      <c r="L117" s="1030">
        <f t="shared" si="33"/>
        <v>0.66239999999999999</v>
      </c>
      <c r="M117" s="1031">
        <f t="shared" si="33"/>
        <v>0.66239999999999999</v>
      </c>
    </row>
    <row r="118" spans="1:13" ht="13.8" thickBot="1">
      <c r="A118" s="1033" t="s">
        <v>868</v>
      </c>
      <c r="B118" s="1034">
        <f>ROUND(0.7275-0.01*B113,4)</f>
        <v>0.64449999999999996</v>
      </c>
      <c r="C118" s="1034">
        <f>B118</f>
        <v>0.64449999999999996</v>
      </c>
      <c r="D118" s="1034">
        <f>ROUND(0.7043-0.012*B113,4)</f>
        <v>0.60470000000000002</v>
      </c>
      <c r="E118" s="1034">
        <f>D118</f>
        <v>0.60470000000000002</v>
      </c>
      <c r="F118" s="1034">
        <f>E118</f>
        <v>0.60470000000000002</v>
      </c>
      <c r="G118" s="1034">
        <f>ROUND(0.6299-0.0122*B113,4)</f>
        <v>0.52859999999999996</v>
      </c>
      <c r="H118" s="1034">
        <f>G118</f>
        <v>0.52859999999999996</v>
      </c>
      <c r="I118" s="1034">
        <f>ROUND(0.5667-0.0136*B113,4)</f>
        <v>0.45379999999999998</v>
      </c>
      <c r="J118" s="1034">
        <f t="shared" si="33"/>
        <v>0.45379999999999998</v>
      </c>
      <c r="K118" s="1034">
        <f t="shared" si="33"/>
        <v>0.45379999999999998</v>
      </c>
      <c r="L118" s="1034">
        <f t="shared" si="33"/>
        <v>0.45379999999999998</v>
      </c>
      <c r="M118" s="1035">
        <f t="shared" si="33"/>
        <v>0.45379999999999998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40" t="s">
        <v>973</v>
      </c>
      <c r="B18" s="1153" t="s">
        <v>1412</v>
      </c>
      <c r="C18" s="1131" t="s">
        <v>1413</v>
      </c>
      <c r="D18" s="1132"/>
      <c r="E18" s="1153">
        <v>1</v>
      </c>
      <c r="F18" s="1133" t="s">
        <v>1414</v>
      </c>
      <c r="G18" s="1134"/>
      <c r="H18" s="1105"/>
      <c r="I18" s="1105"/>
    </row>
    <row r="19" spans="1:9" s="1598" customFormat="1" ht="19.5" customHeight="1">
      <c r="A19" s="3440"/>
      <c r="B19" s="3440" t="s">
        <v>1415</v>
      </c>
      <c r="C19" s="1131" t="s">
        <v>1416</v>
      </c>
      <c r="D19" s="1132"/>
      <c r="E19" s="1153">
        <v>0.9</v>
      </c>
      <c r="F19" s="1133" t="s">
        <v>1417</v>
      </c>
      <c r="G19" s="1134"/>
      <c r="H19" s="1105"/>
      <c r="I19" s="1105"/>
    </row>
    <row r="20" spans="1:9" s="1598" customFormat="1" ht="19.5" customHeight="1">
      <c r="A20" s="3440"/>
      <c r="B20" s="3440"/>
      <c r="C20" s="1131" t="s">
        <v>1418</v>
      </c>
      <c r="D20" s="1132"/>
      <c r="E20" s="1153">
        <v>1.1000000000000001</v>
      </c>
      <c r="F20" s="1133" t="s">
        <v>1419</v>
      </c>
      <c r="G20" s="1134"/>
      <c r="H20" s="1105"/>
      <c r="I20" s="1105"/>
    </row>
    <row r="21" spans="1:9" s="1598" customFormat="1" ht="19.5" customHeight="1">
      <c r="A21" s="3440"/>
      <c r="B21" s="3440"/>
      <c r="C21" s="1131" t="s">
        <v>1420</v>
      </c>
      <c r="D21" s="1132"/>
      <c r="E21" s="1153">
        <v>0.8</v>
      </c>
      <c r="F21" s="1133" t="s">
        <v>1421</v>
      </c>
      <c r="G21" s="1134"/>
      <c r="H21" s="1105"/>
      <c r="I21" s="1105"/>
    </row>
    <row r="22" spans="1:9" s="1598" customFormat="1" ht="19.5" customHeight="1">
      <c r="A22" s="3440"/>
      <c r="B22" s="3440"/>
      <c r="C22" s="1131" t="s">
        <v>1422</v>
      </c>
      <c r="D22" s="1132"/>
      <c r="E22" s="1153">
        <v>0.5</v>
      </c>
      <c r="F22" s="1133"/>
      <c r="G22" s="1134"/>
      <c r="H22" s="1105"/>
      <c r="I22" s="1105"/>
    </row>
    <row r="23" spans="1:9" s="1598" customFormat="1" ht="19.5" customHeight="1">
      <c r="A23" s="3440" t="s">
        <v>995</v>
      </c>
      <c r="B23" s="1153" t="s">
        <v>1412</v>
      </c>
      <c r="C23" s="1131" t="s">
        <v>1423</v>
      </c>
      <c r="D23" s="1132"/>
      <c r="E23" s="1153">
        <v>1</v>
      </c>
      <c r="F23" s="1133" t="s">
        <v>1424</v>
      </c>
      <c r="G23" s="1134"/>
      <c r="H23" s="1105"/>
      <c r="I23" s="1105"/>
    </row>
    <row r="24" spans="1:9" s="1598" customFormat="1" ht="19.5" customHeight="1">
      <c r="A24" s="3440"/>
      <c r="B24" s="3440" t="s">
        <v>1415</v>
      </c>
      <c r="C24" s="1131" t="s">
        <v>1425</v>
      </c>
      <c r="D24" s="1132"/>
      <c r="E24" s="1153">
        <v>0.5</v>
      </c>
      <c r="F24" s="1133"/>
      <c r="G24" s="1134"/>
      <c r="H24" s="1105"/>
      <c r="I24" s="1105"/>
    </row>
    <row r="25" spans="1:9" s="1598" customFormat="1" ht="19.5" customHeight="1">
      <c r="A25" s="3440"/>
      <c r="B25" s="3440"/>
      <c r="C25" s="1131" t="s">
        <v>1426</v>
      </c>
      <c r="D25" s="1132"/>
      <c r="E25" s="1153">
        <v>1.1000000000000001</v>
      </c>
      <c r="F25" s="1133"/>
      <c r="G25" s="1134"/>
      <c r="H25" s="1105"/>
      <c r="I25" s="1105"/>
    </row>
    <row r="26" spans="1:9" s="1598" customFormat="1" ht="19.5" customHeight="1">
      <c r="A26" s="3440"/>
      <c r="B26" s="3440"/>
      <c r="C26" s="1131" t="s">
        <v>1427</v>
      </c>
      <c r="D26" s="1132"/>
      <c r="E26" s="1153">
        <v>1.1000000000000001</v>
      </c>
      <c r="F26" s="1133"/>
      <c r="G26" s="1134"/>
      <c r="H26" s="1105"/>
      <c r="I26" s="1105"/>
    </row>
    <row r="27" spans="1:9" s="1598" customFormat="1" ht="19.5" customHeight="1">
      <c r="A27" s="3440"/>
      <c r="B27" s="3440"/>
      <c r="C27" s="1131" t="s">
        <v>1428</v>
      </c>
      <c r="D27" s="1132"/>
      <c r="E27" s="1153">
        <v>0.9</v>
      </c>
      <c r="F27" s="1133" t="s">
        <v>1429</v>
      </c>
      <c r="G27" s="1134"/>
      <c r="H27" s="1105"/>
      <c r="I27" s="1105"/>
    </row>
    <row r="28" spans="1:9" s="1598" customFormat="1" ht="19.5" customHeight="1">
      <c r="A28" s="3440"/>
      <c r="B28" s="3440"/>
      <c r="C28" s="1131" t="s">
        <v>1430</v>
      </c>
      <c r="D28" s="1132"/>
      <c r="E28" s="1153">
        <v>0.9</v>
      </c>
      <c r="F28" s="1133" t="s">
        <v>1431</v>
      </c>
      <c r="G28" s="1134"/>
      <c r="H28" s="1105"/>
      <c r="I28" s="1105"/>
    </row>
    <row r="29" spans="1:9" s="1598" customFormat="1" ht="19.5" customHeight="1">
      <c r="A29" s="3440"/>
      <c r="B29" s="3440"/>
      <c r="C29" s="1131" t="s">
        <v>1432</v>
      </c>
      <c r="D29" s="1132"/>
      <c r="E29" s="1153">
        <v>0.9</v>
      </c>
      <c r="F29" s="1133" t="s">
        <v>1433</v>
      </c>
      <c r="G29" s="1134"/>
      <c r="H29" s="1105"/>
      <c r="I29" s="1105"/>
    </row>
    <row r="30" spans="1:9" s="1598" customFormat="1" ht="19.5" customHeight="1">
      <c r="A30" s="3440"/>
      <c r="B30" s="3440"/>
      <c r="C30" s="1131" t="s">
        <v>1434</v>
      </c>
      <c r="D30" s="1132"/>
      <c r="E30" s="1153">
        <v>0.9</v>
      </c>
      <c r="F30" s="1133" t="s">
        <v>1435</v>
      </c>
      <c r="G30" s="1134"/>
      <c r="H30" s="1105"/>
      <c r="I30" s="1105"/>
    </row>
    <row r="31" spans="1:9" s="1598" customFormat="1" ht="19.5" customHeight="1">
      <c r="A31" s="3440"/>
      <c r="B31" s="3440"/>
      <c r="C31" s="1131" t="s">
        <v>1436</v>
      </c>
      <c r="D31" s="1132"/>
      <c r="E31" s="1153">
        <v>0.8</v>
      </c>
      <c r="F31" s="1133" t="s">
        <v>1437</v>
      </c>
      <c r="G31" s="1134"/>
      <c r="H31" s="1105"/>
      <c r="I31" s="1105"/>
    </row>
    <row r="32" spans="1:9" s="1598" customFormat="1" ht="19.5" customHeight="1">
      <c r="A32" s="3440"/>
      <c r="B32" s="3440"/>
      <c r="C32" s="1131" t="s">
        <v>1438</v>
      </c>
      <c r="D32" s="1132"/>
      <c r="E32" s="1153">
        <v>0.8</v>
      </c>
      <c r="F32" s="1133" t="s">
        <v>1439</v>
      </c>
      <c r="G32" s="1134"/>
      <c r="H32" s="1105"/>
      <c r="I32" s="1105"/>
    </row>
    <row r="33" spans="1:9" s="1598" customFormat="1" ht="19.5" customHeight="1">
      <c r="A33" s="3440" t="s">
        <v>1440</v>
      </c>
      <c r="B33" s="1153" t="s">
        <v>1412</v>
      </c>
      <c r="C33" s="1131" t="s">
        <v>1441</v>
      </c>
      <c r="D33" s="1132"/>
      <c r="E33" s="1153">
        <v>1</v>
      </c>
      <c r="F33" s="1133" t="s">
        <v>1442</v>
      </c>
      <c r="G33" s="1134"/>
      <c r="H33" s="1105"/>
      <c r="I33" s="1105"/>
    </row>
    <row r="34" spans="1:9" s="1598" customFormat="1" ht="19.5" customHeight="1">
      <c r="A34" s="3440"/>
      <c r="B34" s="1153" t="s">
        <v>1415</v>
      </c>
      <c r="C34" s="1131" t="s">
        <v>1443</v>
      </c>
      <c r="D34" s="1132"/>
      <c r="E34" s="1153">
        <v>1.5</v>
      </c>
      <c r="F34" s="1133" t="s">
        <v>1444</v>
      </c>
      <c r="G34" s="1134"/>
      <c r="H34" s="1105"/>
      <c r="I34" s="1105"/>
    </row>
    <row r="35" spans="1:9" s="1598" customFormat="1" ht="19.5" customHeight="1">
      <c r="A35" s="3440" t="s">
        <v>1398</v>
      </c>
      <c r="B35" s="1153" t="s">
        <v>1412</v>
      </c>
      <c r="C35" s="1131" t="s">
        <v>1445</v>
      </c>
      <c r="D35" s="1132"/>
      <c r="E35" s="1153">
        <v>1</v>
      </c>
      <c r="F35" s="1133" t="s">
        <v>1446</v>
      </c>
      <c r="G35" s="1134"/>
      <c r="H35" s="1105"/>
      <c r="I35" s="1105"/>
    </row>
    <row r="36" spans="1:9" s="1598" customFormat="1" ht="19.5" customHeight="1">
      <c r="A36" s="3440"/>
      <c r="B36" s="3440" t="s">
        <v>1415</v>
      </c>
      <c r="C36" s="1131" t="s">
        <v>1447</v>
      </c>
      <c r="D36" s="1132"/>
      <c r="E36" s="1153">
        <v>1</v>
      </c>
      <c r="F36" s="1133" t="s">
        <v>1448</v>
      </c>
      <c r="G36" s="1134"/>
      <c r="H36" s="1105"/>
      <c r="I36" s="1105"/>
    </row>
    <row r="37" spans="1:9" s="1598" customFormat="1" ht="19.5" customHeight="1">
      <c r="A37" s="3440"/>
      <c r="B37" s="3440"/>
      <c r="C37" s="1131" t="s">
        <v>1449</v>
      </c>
      <c r="D37" s="1132"/>
      <c r="E37" s="1153">
        <v>1.5</v>
      </c>
      <c r="F37" s="1133" t="s">
        <v>1450</v>
      </c>
      <c r="G37" s="1134"/>
      <c r="H37" s="1105"/>
      <c r="I37" s="1105"/>
    </row>
    <row r="38" spans="1:9" s="1598" customFormat="1" ht="19.5" customHeight="1">
      <c r="A38" s="3440"/>
      <c r="B38" s="3440"/>
      <c r="C38" s="1131" t="s">
        <v>1451</v>
      </c>
      <c r="D38" s="1132"/>
      <c r="E38" s="1153">
        <v>1</v>
      </c>
      <c r="F38" s="1133" t="s">
        <v>1452</v>
      </c>
      <c r="G38" s="1134"/>
      <c r="H38" s="1105"/>
      <c r="I38" s="1105"/>
    </row>
    <row r="39" spans="1:9" s="1598" customFormat="1" ht="19.5" customHeight="1">
      <c r="A39" s="3440"/>
      <c r="B39" s="3440"/>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36">
      <c r="A61" s="1153">
        <v>1</v>
      </c>
      <c r="B61" s="3440" t="s">
        <v>1467</v>
      </c>
      <c r="C61" s="1068" t="s">
        <v>1468</v>
      </c>
      <c r="D61" s="1068" t="s">
        <v>1469</v>
      </c>
      <c r="E61" s="1139">
        <v>0.5</v>
      </c>
      <c r="F61" s="1153">
        <v>80</v>
      </c>
      <c r="H61" s="1105">
        <f>SUMIF(C59:C119,基准地价!C8,E59:E119)</f>
        <v>0</v>
      </c>
    </row>
    <row r="62" spans="1:8" s="1105" customFormat="1" ht="36">
      <c r="A62" s="1153">
        <v>2</v>
      </c>
      <c r="B62" s="3440"/>
      <c r="C62" s="1068" t="s">
        <v>1470</v>
      </c>
      <c r="D62" s="1068" t="s">
        <v>1471</v>
      </c>
      <c r="E62" s="1139">
        <v>0.5</v>
      </c>
      <c r="F62" s="1153">
        <v>80</v>
      </c>
    </row>
    <row r="63" spans="1:8" s="1105" customFormat="1" ht="48">
      <c r="A63" s="1153">
        <v>3</v>
      </c>
      <c r="B63" s="3440"/>
      <c r="C63" s="1068" t="s">
        <v>1472</v>
      </c>
      <c r="D63" s="1068" t="s">
        <v>1473</v>
      </c>
      <c r="E63" s="1139">
        <v>0.5</v>
      </c>
      <c r="F63" s="1153">
        <v>80</v>
      </c>
    </row>
    <row r="64" spans="1:8" s="1105" customFormat="1" ht="48">
      <c r="A64" s="1153">
        <v>4</v>
      </c>
      <c r="B64" s="3440"/>
      <c r="C64" s="1068" t="s">
        <v>1474</v>
      </c>
      <c r="D64" s="1068" t="s">
        <v>1475</v>
      </c>
      <c r="E64" s="1139">
        <v>0.4</v>
      </c>
      <c r="F64" s="1153">
        <v>60</v>
      </c>
    </row>
    <row r="65" spans="1:6" s="1105" customFormat="1" ht="48">
      <c r="A65" s="1153">
        <v>5</v>
      </c>
      <c r="B65" s="3440"/>
      <c r="C65" s="1068" t="s">
        <v>1476</v>
      </c>
      <c r="D65" s="1068" t="s">
        <v>1477</v>
      </c>
      <c r="E65" s="1139">
        <v>0.2</v>
      </c>
      <c r="F65" s="1153">
        <v>30</v>
      </c>
    </row>
    <row r="66" spans="1:6" s="1105" customFormat="1" ht="48">
      <c r="A66" s="1153">
        <v>6</v>
      </c>
      <c r="B66" s="3440"/>
      <c r="C66" s="1068" t="s">
        <v>1478</v>
      </c>
      <c r="D66" s="1068" t="s">
        <v>1479</v>
      </c>
      <c r="E66" s="1139">
        <v>0.3</v>
      </c>
      <c r="F66" s="1153">
        <v>50</v>
      </c>
    </row>
    <row r="67" spans="1:6" s="1105" customFormat="1" ht="48">
      <c r="A67" s="1153">
        <v>7</v>
      </c>
      <c r="B67" s="3440"/>
      <c r="C67" s="1068" t="s">
        <v>1480</v>
      </c>
      <c r="D67" s="1068" t="s">
        <v>1481</v>
      </c>
      <c r="E67" s="1139">
        <v>0.2</v>
      </c>
      <c r="F67" s="1153">
        <v>30</v>
      </c>
    </row>
    <row r="68" spans="1:6" s="1105" customFormat="1" ht="48">
      <c r="A68" s="1153">
        <v>8</v>
      </c>
      <c r="B68" s="3440"/>
      <c r="C68" s="1068" t="s">
        <v>1482</v>
      </c>
      <c r="D68" s="1068" t="s">
        <v>1483</v>
      </c>
      <c r="E68" s="1139">
        <v>0.2</v>
      </c>
      <c r="F68" s="1153">
        <v>30</v>
      </c>
    </row>
    <row r="69" spans="1:6" s="1105" customFormat="1" ht="48">
      <c r="A69" s="1153">
        <v>9</v>
      </c>
      <c r="B69" s="3440"/>
      <c r="C69" s="1068" t="s">
        <v>1484</v>
      </c>
      <c r="D69" s="1068" t="s">
        <v>1485</v>
      </c>
      <c r="E69" s="1139">
        <v>0.2</v>
      </c>
      <c r="F69" s="1153">
        <v>30</v>
      </c>
    </row>
    <row r="70" spans="1:6" s="1105" customFormat="1" ht="60">
      <c r="A70" s="1153">
        <v>10</v>
      </c>
      <c r="B70" s="3440"/>
      <c r="C70" s="1068" t="s">
        <v>1486</v>
      </c>
      <c r="D70" s="1068" t="s">
        <v>1487</v>
      </c>
      <c r="E70" s="1139">
        <v>0.2</v>
      </c>
      <c r="F70" s="1153">
        <v>30</v>
      </c>
    </row>
    <row r="71" spans="1:6" s="1105" customFormat="1" ht="60">
      <c r="A71" s="1153">
        <v>11</v>
      </c>
      <c r="B71" s="3440"/>
      <c r="C71" s="1068" t="s">
        <v>1488</v>
      </c>
      <c r="D71" s="1068" t="s">
        <v>1489</v>
      </c>
      <c r="E71" s="1139">
        <v>0.2</v>
      </c>
      <c r="F71" s="1153">
        <v>30</v>
      </c>
    </row>
    <row r="72" spans="1:6" s="1105" customFormat="1" ht="36">
      <c r="A72" s="1153">
        <v>12</v>
      </c>
      <c r="B72" s="3440"/>
      <c r="C72" s="1068" t="s">
        <v>1490</v>
      </c>
      <c r="D72" s="1068" t="s">
        <v>1491</v>
      </c>
      <c r="E72" s="1139">
        <v>0.5</v>
      </c>
      <c r="F72" s="1153">
        <v>80</v>
      </c>
    </row>
    <row r="73" spans="1:6" s="1105" customFormat="1" ht="36">
      <c r="A73" s="1153">
        <v>13</v>
      </c>
      <c r="B73" s="3440"/>
      <c r="C73" s="1068" t="s">
        <v>1492</v>
      </c>
      <c r="D73" s="1068" t="s">
        <v>1493</v>
      </c>
      <c r="E73" s="1139">
        <v>0.4</v>
      </c>
      <c r="F73" s="1153">
        <v>60</v>
      </c>
    </row>
    <row r="74" spans="1:6" s="1105" customFormat="1" ht="36">
      <c r="A74" s="1153">
        <v>14</v>
      </c>
      <c r="B74" s="3440"/>
      <c r="C74" s="1068" t="s">
        <v>1494</v>
      </c>
      <c r="D74" s="1068" t="s">
        <v>1495</v>
      </c>
      <c r="E74" s="1139">
        <v>0.2</v>
      </c>
      <c r="F74" s="1153">
        <v>30</v>
      </c>
    </row>
    <row r="75" spans="1:6" s="1105" customFormat="1" ht="36">
      <c r="A75" s="1153">
        <v>15</v>
      </c>
      <c r="B75" s="3440"/>
      <c r="C75" s="1068" t="s">
        <v>1496</v>
      </c>
      <c r="D75" s="1068" t="s">
        <v>1497</v>
      </c>
      <c r="E75" s="1139">
        <v>0.2</v>
      </c>
      <c r="F75" s="1153">
        <v>30</v>
      </c>
    </row>
    <row r="76" spans="1:6" s="1105" customFormat="1" ht="36">
      <c r="A76" s="1153">
        <v>16</v>
      </c>
      <c r="B76" s="3440" t="s">
        <v>1498</v>
      </c>
      <c r="C76" s="1068" t="s">
        <v>1499</v>
      </c>
      <c r="D76" s="1068" t="s">
        <v>1500</v>
      </c>
      <c r="E76" s="1139">
        <v>0.5</v>
      </c>
      <c r="F76" s="1153">
        <v>80</v>
      </c>
    </row>
    <row r="77" spans="1:6" s="1105" customFormat="1" ht="36">
      <c r="A77" s="1153">
        <v>17</v>
      </c>
      <c r="B77" s="3440"/>
      <c r="C77" s="1068" t="s">
        <v>1501</v>
      </c>
      <c r="D77" s="1068" t="s">
        <v>1502</v>
      </c>
      <c r="E77" s="1139">
        <v>0.5</v>
      </c>
      <c r="F77" s="1153">
        <v>80</v>
      </c>
    </row>
    <row r="78" spans="1:6" s="1105" customFormat="1" ht="36">
      <c r="A78" s="1153">
        <v>18</v>
      </c>
      <c r="B78" s="3440"/>
      <c r="C78" s="1068" t="s">
        <v>1503</v>
      </c>
      <c r="D78" s="1068" t="s">
        <v>1504</v>
      </c>
      <c r="E78" s="1139">
        <v>0.2</v>
      </c>
      <c r="F78" s="1153">
        <v>30</v>
      </c>
    </row>
    <row r="79" spans="1:6" s="1105" customFormat="1" ht="36">
      <c r="A79" s="1153">
        <v>19</v>
      </c>
      <c r="B79" s="3440"/>
      <c r="C79" s="1068" t="s">
        <v>1505</v>
      </c>
      <c r="D79" s="1068" t="s">
        <v>1506</v>
      </c>
      <c r="E79" s="1139">
        <v>0.5</v>
      </c>
      <c r="F79" s="1153">
        <v>80</v>
      </c>
    </row>
    <row r="80" spans="1:6" s="1105" customFormat="1" ht="36">
      <c r="A80" s="1153">
        <v>20</v>
      </c>
      <c r="B80" s="3440"/>
      <c r="C80" s="1068" t="s">
        <v>1507</v>
      </c>
      <c r="D80" s="1068" t="s">
        <v>1508</v>
      </c>
      <c r="E80" s="1139">
        <v>0.2</v>
      </c>
      <c r="F80" s="1153">
        <v>30</v>
      </c>
    </row>
    <row r="81" spans="1:6" s="1105" customFormat="1" ht="36">
      <c r="A81" s="1153">
        <v>21</v>
      </c>
      <c r="B81" s="3440"/>
      <c r="C81" s="1068" t="s">
        <v>1509</v>
      </c>
      <c r="D81" s="1068" t="s">
        <v>1510</v>
      </c>
      <c r="E81" s="1139">
        <v>0.2</v>
      </c>
      <c r="F81" s="1153">
        <v>30</v>
      </c>
    </row>
    <row r="82" spans="1:6" s="1105" customFormat="1" ht="60">
      <c r="A82" s="1153">
        <v>22</v>
      </c>
      <c r="B82" s="3440"/>
      <c r="C82" s="1068" t="s">
        <v>1511</v>
      </c>
      <c r="D82" s="1068" t="s">
        <v>1512</v>
      </c>
      <c r="E82" s="1139">
        <v>0.2</v>
      </c>
      <c r="F82" s="1153">
        <v>30</v>
      </c>
    </row>
    <row r="83" spans="1:6" s="1105" customFormat="1" ht="60">
      <c r="A83" s="1153">
        <v>23</v>
      </c>
      <c r="B83" s="3440"/>
      <c r="C83" s="1068" t="s">
        <v>1513</v>
      </c>
      <c r="D83" s="1068" t="s">
        <v>1514</v>
      </c>
      <c r="E83" s="1139">
        <v>0.2</v>
      </c>
      <c r="F83" s="1153">
        <v>30</v>
      </c>
    </row>
    <row r="84" spans="1:6" s="1105" customFormat="1" ht="48">
      <c r="A84" s="1153">
        <v>24</v>
      </c>
      <c r="B84" s="3440"/>
      <c r="C84" s="1068" t="s">
        <v>1515</v>
      </c>
      <c r="D84" s="1068" t="s">
        <v>1516</v>
      </c>
      <c r="E84" s="1139">
        <v>0.2</v>
      </c>
      <c r="F84" s="1153">
        <v>30</v>
      </c>
    </row>
    <row r="85" spans="1:6" s="1105" customFormat="1" ht="36">
      <c r="A85" s="1153">
        <v>25</v>
      </c>
      <c r="B85" s="3440"/>
      <c r="C85" s="1068" t="s">
        <v>1517</v>
      </c>
      <c r="D85" s="1068" t="s">
        <v>1518</v>
      </c>
      <c r="E85" s="1139">
        <v>0.5</v>
      </c>
      <c r="F85" s="1153">
        <v>80</v>
      </c>
    </row>
    <row r="86" spans="1:6" s="1105" customFormat="1" ht="36">
      <c r="A86" s="1153">
        <v>26</v>
      </c>
      <c r="B86" s="3440"/>
      <c r="C86" s="1068" t="s">
        <v>1519</v>
      </c>
      <c r="D86" s="1068" t="s">
        <v>1520</v>
      </c>
      <c r="E86" s="1139">
        <v>0.2</v>
      </c>
      <c r="F86" s="1153">
        <v>30</v>
      </c>
    </row>
    <row r="87" spans="1:6" s="1105" customFormat="1" ht="36">
      <c r="A87" s="1153">
        <v>27</v>
      </c>
      <c r="B87" s="3440"/>
      <c r="C87" s="1068" t="s">
        <v>1521</v>
      </c>
      <c r="D87" s="1068" t="s">
        <v>1522</v>
      </c>
      <c r="E87" s="1139">
        <v>0.2</v>
      </c>
      <c r="F87" s="1153">
        <v>30</v>
      </c>
    </row>
    <row r="88" spans="1:6" s="1105" customFormat="1" ht="36">
      <c r="A88" s="1153">
        <v>28</v>
      </c>
      <c r="B88" s="3440"/>
      <c r="C88" s="1068" t="s">
        <v>1523</v>
      </c>
      <c r="D88" s="1068" t="s">
        <v>1524</v>
      </c>
      <c r="E88" s="1139">
        <v>0.2</v>
      </c>
      <c r="F88" s="1153">
        <v>30</v>
      </c>
    </row>
    <row r="89" spans="1:6" s="1105" customFormat="1" ht="36">
      <c r="A89" s="1153">
        <v>29</v>
      </c>
      <c r="B89" s="3440"/>
      <c r="C89" s="1068" t="s">
        <v>1525</v>
      </c>
      <c r="D89" s="1068" t="s">
        <v>1526</v>
      </c>
      <c r="E89" s="1139">
        <v>0.2</v>
      </c>
      <c r="F89" s="1153">
        <v>30</v>
      </c>
    </row>
    <row r="90" spans="1:6" s="1105" customFormat="1" ht="36">
      <c r="A90" s="1153">
        <v>30</v>
      </c>
      <c r="B90" s="3440"/>
      <c r="C90" s="1068" t="s">
        <v>1527</v>
      </c>
      <c r="D90" s="1068" t="s">
        <v>1528</v>
      </c>
      <c r="E90" s="1139">
        <v>0.2</v>
      </c>
      <c r="F90" s="1153">
        <v>30</v>
      </c>
    </row>
    <row r="91" spans="1:6" s="1105" customFormat="1" ht="48">
      <c r="A91" s="1153">
        <v>31</v>
      </c>
      <c r="B91" s="3440"/>
      <c r="C91" s="1068" t="s">
        <v>1529</v>
      </c>
      <c r="D91" s="1068" t="s">
        <v>1530</v>
      </c>
      <c r="E91" s="1139">
        <v>0.2</v>
      </c>
      <c r="F91" s="1153">
        <v>30</v>
      </c>
    </row>
    <row r="92" spans="1:6" s="1105" customFormat="1" ht="36">
      <c r="A92" s="1153">
        <v>32</v>
      </c>
      <c r="B92" s="3440" t="s">
        <v>1531</v>
      </c>
      <c r="C92" s="1153" t="s">
        <v>1532</v>
      </c>
      <c r="D92" s="1068" t="s">
        <v>1533</v>
      </c>
      <c r="E92" s="1139">
        <v>0.2</v>
      </c>
      <c r="F92" s="1153">
        <v>30</v>
      </c>
    </row>
    <row r="93" spans="1:6" s="1105" customFormat="1" ht="36">
      <c r="A93" s="1153">
        <v>33</v>
      </c>
      <c r="B93" s="3440"/>
      <c r="C93" s="1153" t="s">
        <v>1534</v>
      </c>
      <c r="D93" s="1068" t="s">
        <v>1535</v>
      </c>
      <c r="E93" s="1139">
        <v>0.2</v>
      </c>
      <c r="F93" s="1153">
        <v>30</v>
      </c>
    </row>
    <row r="94" spans="1:6" s="1105" customFormat="1" ht="60">
      <c r="A94" s="1153">
        <v>34</v>
      </c>
      <c r="B94" s="3440"/>
      <c r="C94" s="1153" t="s">
        <v>1536</v>
      </c>
      <c r="D94" s="1068" t="s">
        <v>1537</v>
      </c>
      <c r="E94" s="1139">
        <v>0.2</v>
      </c>
      <c r="F94" s="1153">
        <v>30</v>
      </c>
    </row>
    <row r="95" spans="1:6" s="1105" customFormat="1" ht="48">
      <c r="A95" s="1153">
        <v>35</v>
      </c>
      <c r="B95" s="3440"/>
      <c r="C95" s="1153" t="s">
        <v>1538</v>
      </c>
      <c r="D95" s="1068" t="s">
        <v>1539</v>
      </c>
      <c r="E95" s="1139">
        <v>0.2</v>
      </c>
      <c r="F95" s="1153">
        <v>30</v>
      </c>
    </row>
    <row r="96" spans="1:6" s="1105" customFormat="1" ht="72">
      <c r="A96" s="1153">
        <v>36</v>
      </c>
      <c r="B96" s="3440"/>
      <c r="C96" s="1068" t="s">
        <v>1540</v>
      </c>
      <c r="D96" s="1068" t="s">
        <v>1541</v>
      </c>
      <c r="E96" s="1139">
        <v>0.2</v>
      </c>
      <c r="F96" s="1153">
        <v>30</v>
      </c>
    </row>
    <row r="97" spans="1:6" s="1105" customFormat="1" ht="36">
      <c r="A97" s="1153">
        <v>37</v>
      </c>
      <c r="B97" s="3440"/>
      <c r="C97" s="1153" t="s">
        <v>1542</v>
      </c>
      <c r="D97" s="1068" t="s">
        <v>1543</v>
      </c>
      <c r="E97" s="1139">
        <v>0.2</v>
      </c>
      <c r="F97" s="1153">
        <v>30</v>
      </c>
    </row>
    <row r="98" spans="1:6" s="1105" customFormat="1" ht="36">
      <c r="A98" s="1153">
        <v>38</v>
      </c>
      <c r="B98" s="3440"/>
      <c r="C98" s="1153" t="s">
        <v>1544</v>
      </c>
      <c r="D98" s="1068" t="s">
        <v>1545</v>
      </c>
      <c r="E98" s="1139">
        <v>0.2</v>
      </c>
      <c r="F98" s="1153">
        <v>30</v>
      </c>
    </row>
    <row r="99" spans="1:6" s="1105" customFormat="1" ht="36">
      <c r="A99" s="1153">
        <v>39</v>
      </c>
      <c r="B99" s="3440" t="s">
        <v>1546</v>
      </c>
      <c r="C99" s="1153" t="s">
        <v>1547</v>
      </c>
      <c r="D99" s="1068" t="s">
        <v>1548</v>
      </c>
      <c r="E99" s="1139">
        <v>0.3</v>
      </c>
      <c r="F99" s="1153">
        <v>50</v>
      </c>
    </row>
    <row r="100" spans="1:6" s="1105" customFormat="1" ht="36">
      <c r="A100" s="1153">
        <v>40</v>
      </c>
      <c r="B100" s="3440"/>
      <c r="C100" s="1153" t="s">
        <v>1549</v>
      </c>
      <c r="D100" s="1068" t="s">
        <v>1550</v>
      </c>
      <c r="E100" s="1139">
        <v>0.2</v>
      </c>
      <c r="F100" s="1153">
        <v>30</v>
      </c>
    </row>
    <row r="101" spans="1:6" s="1105" customFormat="1" ht="36">
      <c r="A101" s="1153">
        <v>41</v>
      </c>
      <c r="B101" s="3440"/>
      <c r="C101" s="1153" t="s">
        <v>1551</v>
      </c>
      <c r="D101" s="1068" t="s">
        <v>1548</v>
      </c>
      <c r="E101" s="1139">
        <v>0.2</v>
      </c>
      <c r="F101" s="1153">
        <v>30</v>
      </c>
    </row>
    <row r="102" spans="1:6" s="1105" customFormat="1" ht="72">
      <c r="A102" s="1153">
        <v>42</v>
      </c>
      <c r="B102" s="1153" t="s">
        <v>1552</v>
      </c>
      <c r="C102" s="1068" t="s">
        <v>1553</v>
      </c>
      <c r="D102" s="1068" t="s">
        <v>1554</v>
      </c>
      <c r="E102" s="1139">
        <v>0.2</v>
      </c>
      <c r="F102" s="1153">
        <v>30</v>
      </c>
    </row>
    <row r="103" spans="1:6" s="1105" customFormat="1" ht="36">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48">
      <c r="A105" s="1153">
        <v>45</v>
      </c>
      <c r="B105" s="3440" t="s">
        <v>1561</v>
      </c>
      <c r="C105" s="1153" t="s">
        <v>1562</v>
      </c>
      <c r="D105" s="1068" t="s">
        <v>1563</v>
      </c>
      <c r="E105" s="1139">
        <v>0.2</v>
      </c>
      <c r="F105" s="1153">
        <v>30</v>
      </c>
    </row>
    <row r="106" spans="1:6" s="1105" customFormat="1" ht="48">
      <c r="A106" s="1153">
        <v>46</v>
      </c>
      <c r="B106" s="3440"/>
      <c r="C106" s="1153" t="s">
        <v>1564</v>
      </c>
      <c r="D106" s="1068" t="s">
        <v>1565</v>
      </c>
      <c r="E106" s="1139">
        <v>0.2</v>
      </c>
      <c r="F106" s="1153">
        <v>30</v>
      </c>
    </row>
    <row r="107" spans="1:6" s="1105" customFormat="1" ht="36">
      <c r="A107" s="1153">
        <v>47</v>
      </c>
      <c r="B107" s="3440" t="s">
        <v>1566</v>
      </c>
      <c r="C107" s="1153" t="s">
        <v>1567</v>
      </c>
      <c r="D107" s="1068" t="s">
        <v>1568</v>
      </c>
      <c r="E107" s="1139">
        <v>0.3</v>
      </c>
      <c r="F107" s="1153">
        <v>50</v>
      </c>
    </row>
    <row r="108" spans="1:6" s="1105" customFormat="1" ht="48">
      <c r="A108" s="1153">
        <v>48</v>
      </c>
      <c r="B108" s="3440"/>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48">
      <c r="A110" s="1153">
        <v>50</v>
      </c>
      <c r="B110" s="1153" t="s">
        <v>1574</v>
      </c>
      <c r="C110" s="1153" t="s">
        <v>1575</v>
      </c>
      <c r="D110" s="1068" t="s">
        <v>1576</v>
      </c>
      <c r="E110" s="1139">
        <v>0.2</v>
      </c>
      <c r="F110" s="1153">
        <v>30</v>
      </c>
    </row>
    <row r="111" spans="1:6" s="1105" customFormat="1" ht="48">
      <c r="A111" s="1153">
        <v>51</v>
      </c>
      <c r="B111" s="3440" t="s">
        <v>1577</v>
      </c>
      <c r="C111" s="1153" t="s">
        <v>1578</v>
      </c>
      <c r="D111" s="1068" t="s">
        <v>1579</v>
      </c>
      <c r="E111" s="1139">
        <v>0.2</v>
      </c>
      <c r="F111" s="1153">
        <v>30</v>
      </c>
    </row>
    <row r="112" spans="1:6" s="1105" customFormat="1" ht="36">
      <c r="A112" s="1153">
        <v>52</v>
      </c>
      <c r="B112" s="3440"/>
      <c r="C112" s="1153" t="s">
        <v>1580</v>
      </c>
      <c r="D112" s="1068" t="s">
        <v>1581</v>
      </c>
      <c r="E112" s="1139">
        <v>0.2</v>
      </c>
      <c r="F112" s="1153">
        <v>30</v>
      </c>
    </row>
    <row r="113" spans="1:14" s="1105" customFormat="1" ht="36">
      <c r="A113" s="1153">
        <v>53</v>
      </c>
      <c r="B113" s="3440"/>
      <c r="C113" s="1153" t="s">
        <v>1582</v>
      </c>
      <c r="D113" s="1068" t="s">
        <v>1583</v>
      </c>
      <c r="E113" s="1139">
        <v>0.2</v>
      </c>
      <c r="F113" s="1153">
        <v>30</v>
      </c>
    </row>
    <row r="114" spans="1:14" ht="48">
      <c r="A114" s="1153">
        <v>54</v>
      </c>
      <c r="B114" s="1153" t="s">
        <v>1584</v>
      </c>
      <c r="C114" s="1153" t="s">
        <v>1585</v>
      </c>
      <c r="D114" s="1068" t="s">
        <v>1586</v>
      </c>
      <c r="E114" s="1139">
        <v>0.2</v>
      </c>
      <c r="F114" s="1153">
        <v>30</v>
      </c>
    </row>
    <row r="115" spans="1:14" ht="36">
      <c r="A115" s="1153">
        <v>55</v>
      </c>
      <c r="B115" s="1153" t="s">
        <v>1587</v>
      </c>
      <c r="C115" s="1153" t="s">
        <v>1588</v>
      </c>
      <c r="D115" s="1068" t="s">
        <v>1589</v>
      </c>
      <c r="E115" s="1139">
        <v>0.2</v>
      </c>
      <c r="F115" s="1153">
        <v>30</v>
      </c>
    </row>
    <row r="116" spans="1:14" ht="36">
      <c r="A116" s="1153">
        <v>56</v>
      </c>
      <c r="B116" s="3440" t="s">
        <v>1590</v>
      </c>
      <c r="C116" s="1153" t="s">
        <v>1591</v>
      </c>
      <c r="D116" s="1068" t="s">
        <v>1592</v>
      </c>
      <c r="E116" s="1139">
        <v>0.2</v>
      </c>
      <c r="F116" s="1153">
        <v>30</v>
      </c>
    </row>
    <row r="117" spans="1:14" ht="36">
      <c r="A117" s="1153">
        <v>57</v>
      </c>
      <c r="B117" s="3440"/>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4.4">
      <c r="A119" s="1153"/>
      <c r="B119" s="1153"/>
      <c r="C119" s="1153"/>
      <c r="D119" s="1153"/>
      <c r="E119" s="1139"/>
      <c r="F119" s="1153"/>
    </row>
    <row r="121" spans="1:14" ht="19.5" customHeight="1">
      <c r="A121" s="3439" t="s">
        <v>1599</v>
      </c>
      <c r="B121" s="3439"/>
      <c r="C121" s="3439"/>
      <c r="D121" s="3439"/>
      <c r="E121" s="3439"/>
      <c r="F121" s="3439"/>
      <c r="G121" s="3439"/>
      <c r="H121" s="3439"/>
      <c r="I121" s="3439"/>
      <c r="J121" s="343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44" t="s">
        <v>1005</v>
      </c>
      <c r="B1" s="3444"/>
      <c r="C1" s="3444"/>
      <c r="D1" s="3444"/>
      <c r="E1" s="3444"/>
      <c r="F1" s="3444"/>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5" thickBot="1">
      <c r="A2" s="3445" t="s">
        <v>1018</v>
      </c>
      <c r="B2" s="3445"/>
      <c r="C2" s="3445"/>
      <c r="D2" s="3445"/>
      <c r="E2" s="3445"/>
      <c r="F2" s="3445"/>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6"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7"/>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869</v>
      </c>
      <c r="B103" s="1010"/>
      <c r="C103" s="1010"/>
      <c r="D103" s="1010"/>
      <c r="E103" s="1010"/>
      <c r="F103" s="1010"/>
      <c r="G103" s="1010"/>
      <c r="H103" s="1010"/>
      <c r="I103" s="1010"/>
      <c r="J103" s="1010"/>
      <c r="K103" s="1010"/>
      <c r="L103" s="1010"/>
      <c r="M103" s="1010"/>
      <c r="N103" s="1010"/>
    </row>
    <row r="104" spans="1:14" ht="15.6">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8" t="s">
        <v>2041</v>
      </c>
      <c r="B1" s="3448"/>
    </row>
    <row r="2" spans="1:6" ht="15" thickBot="1">
      <c r="A2" s="1851"/>
      <c r="B2" s="1851"/>
    </row>
    <row r="3" spans="1:6" ht="15" thickBot="1">
      <c r="A3" s="1851"/>
      <c r="B3" s="1851"/>
      <c r="C3" s="1852" t="s">
        <v>2042</v>
      </c>
      <c r="D3" s="1852" t="s">
        <v>2043</v>
      </c>
      <c r="E3" s="1852" t="s">
        <v>2044</v>
      </c>
      <c r="F3" s="1852" t="s">
        <v>2045</v>
      </c>
    </row>
    <row r="4" spans="1:6" ht="15" thickBot="1">
      <c r="A4" s="1853" t="s">
        <v>2046</v>
      </c>
      <c r="B4" s="1854" t="s">
        <v>2047</v>
      </c>
      <c r="C4" s="1852"/>
      <c r="D4" s="1852"/>
      <c r="E4" s="1852"/>
      <c r="F4" s="1852"/>
    </row>
    <row r="5" spans="1:6" ht="15" thickBot="1">
      <c r="A5" s="1855" t="s">
        <v>2048</v>
      </c>
      <c r="B5" s="1856" t="s">
        <v>2049</v>
      </c>
      <c r="C5" s="1857">
        <v>8.8999999999999996E-2</v>
      </c>
      <c r="D5" s="1857">
        <v>7.3999999999999996E-2</v>
      </c>
      <c r="E5" s="1857">
        <v>7.4999999999999997E-2</v>
      </c>
      <c r="F5" s="1858">
        <v>0.1</v>
      </c>
    </row>
    <row r="6" spans="1:6" ht="15" thickBot="1">
      <c r="A6" s="1855" t="s">
        <v>1062</v>
      </c>
      <c r="B6" s="1859" t="s">
        <v>2050</v>
      </c>
      <c r="C6" s="1860">
        <v>0.1</v>
      </c>
      <c r="D6" s="1860">
        <v>9.0999999999999998E-2</v>
      </c>
      <c r="E6" s="1860">
        <v>9.0999999999999998E-2</v>
      </c>
      <c r="F6" s="1861">
        <v>0.1</v>
      </c>
    </row>
    <row r="7" spans="1:6" ht="15" thickBot="1">
      <c r="A7" s="1855" t="s">
        <v>1062</v>
      </c>
      <c r="B7" s="1862" t="s">
        <v>1050</v>
      </c>
      <c r="C7" s="1860">
        <v>8.5999999999999993E-2</v>
      </c>
      <c r="D7" s="1860">
        <v>9.6000000000000002E-2</v>
      </c>
      <c r="E7" s="1860">
        <v>7.5999999999999998E-2</v>
      </c>
      <c r="F7" s="1861">
        <v>0.1</v>
      </c>
    </row>
    <row r="8" spans="1:6" ht="15" thickBot="1">
      <c r="A8" s="1855" t="s">
        <v>1062</v>
      </c>
      <c r="B8" s="1859" t="s">
        <v>1063</v>
      </c>
      <c r="C8" s="1860">
        <v>9.9000000000000005E-2</v>
      </c>
      <c r="D8" s="1860">
        <v>9.8000000000000004E-2</v>
      </c>
      <c r="E8" s="1860">
        <v>9.8000000000000004E-2</v>
      </c>
      <c r="F8" s="1861">
        <v>0.1</v>
      </c>
    </row>
    <row r="9" spans="1:6" ht="15" thickBot="1">
      <c r="A9" s="1863" t="s">
        <v>1062</v>
      </c>
      <c r="B9" s="1864" t="s">
        <v>1077</v>
      </c>
      <c r="C9" s="1865">
        <v>0.05</v>
      </c>
      <c r="D9" s="1866"/>
      <c r="E9" s="1866"/>
      <c r="F9" s="1867"/>
    </row>
    <row r="10" spans="1:6" ht="15" thickBot="1">
      <c r="A10" s="1855" t="s">
        <v>1121</v>
      </c>
      <c r="B10" s="1856" t="s">
        <v>2051</v>
      </c>
      <c r="C10" s="1857">
        <v>8.8999999999999996E-2</v>
      </c>
      <c r="D10" s="1857">
        <v>7.2999999999999995E-2</v>
      </c>
      <c r="E10" s="1857">
        <v>8.2000000000000003E-2</v>
      </c>
      <c r="F10" s="1858">
        <v>0.1</v>
      </c>
    </row>
    <row r="11" spans="1:6" ht="15" thickBot="1">
      <c r="A11" s="1855" t="s">
        <v>1121</v>
      </c>
      <c r="B11" s="1862" t="s">
        <v>1037</v>
      </c>
      <c r="C11" s="1860">
        <v>8.8999999999999996E-2</v>
      </c>
      <c r="D11" s="1860">
        <v>7.2999999999999995E-2</v>
      </c>
      <c r="E11" s="1860">
        <v>8.2000000000000003E-2</v>
      </c>
      <c r="F11" s="1861">
        <v>0.1</v>
      </c>
    </row>
    <row r="12" spans="1:6" ht="15" thickBot="1">
      <c r="A12" s="1855" t="s">
        <v>1121</v>
      </c>
      <c r="B12" s="1862" t="s">
        <v>1051</v>
      </c>
      <c r="C12" s="1860">
        <v>6.0999999999999999E-2</v>
      </c>
      <c r="D12" s="1860">
        <v>7.0999999999999994E-2</v>
      </c>
      <c r="E12" s="1860">
        <v>9.6000000000000002E-2</v>
      </c>
      <c r="F12" s="1861">
        <v>0.1</v>
      </c>
    </row>
    <row r="13" spans="1:6" ht="15" thickBot="1">
      <c r="A13" s="1855" t="s">
        <v>1121</v>
      </c>
      <c r="B13" s="1862" t="s">
        <v>1064</v>
      </c>
      <c r="C13" s="1860">
        <v>6.9000000000000006E-2</v>
      </c>
      <c r="D13" s="1860">
        <v>6.5000000000000002E-2</v>
      </c>
      <c r="E13" s="1860">
        <v>6.6000000000000003E-2</v>
      </c>
      <c r="F13" s="1861">
        <v>0.1</v>
      </c>
    </row>
    <row r="14" spans="1:6" ht="15" thickBot="1">
      <c r="A14" s="1855" t="s">
        <v>1121</v>
      </c>
      <c r="B14" s="1862" t="s">
        <v>1078</v>
      </c>
      <c r="C14" s="1860">
        <v>0.1</v>
      </c>
      <c r="D14" s="1860">
        <v>6.5000000000000002E-2</v>
      </c>
      <c r="E14" s="1860">
        <v>7.0000000000000007E-2</v>
      </c>
      <c r="F14" s="1861">
        <v>0.1</v>
      </c>
    </row>
    <row r="15" spans="1:6" ht="15" thickBot="1">
      <c r="A15" s="1855" t="s">
        <v>1121</v>
      </c>
      <c r="B15" s="1862" t="s">
        <v>1089</v>
      </c>
      <c r="C15" s="1860">
        <v>9.8000000000000004E-2</v>
      </c>
      <c r="D15" s="1860">
        <v>8.8999999999999996E-2</v>
      </c>
      <c r="E15" s="1860">
        <v>8.8999999999999996E-2</v>
      </c>
      <c r="F15" s="1861">
        <v>0.1</v>
      </c>
    </row>
    <row r="16" spans="1:6" ht="15" thickBot="1">
      <c r="A16" s="1855" t="s">
        <v>1121</v>
      </c>
      <c r="B16" s="1862" t="s">
        <v>1100</v>
      </c>
      <c r="C16" s="1860">
        <v>7.0000000000000007E-2</v>
      </c>
      <c r="D16" s="1860">
        <v>9.2999999999999999E-2</v>
      </c>
      <c r="E16" s="1860">
        <v>9.6000000000000002E-2</v>
      </c>
      <c r="F16" s="1861">
        <v>0.1</v>
      </c>
    </row>
    <row r="17" spans="1:6" ht="15" thickBot="1">
      <c r="A17" s="1855" t="s">
        <v>1121</v>
      </c>
      <c r="B17" s="1862" t="s">
        <v>1111</v>
      </c>
      <c r="C17" s="1860">
        <v>9.5000000000000001E-2</v>
      </c>
      <c r="D17" s="1860">
        <v>0.1</v>
      </c>
      <c r="E17" s="1860">
        <v>0.1</v>
      </c>
      <c r="F17" s="1868"/>
    </row>
    <row r="18" spans="1:6" ht="15" thickBot="1">
      <c r="A18" s="1855" t="s">
        <v>1121</v>
      </c>
      <c r="B18" s="1862" t="s">
        <v>1123</v>
      </c>
      <c r="C18" s="1860">
        <v>7.3999999999999996E-2</v>
      </c>
      <c r="D18" s="1860">
        <v>9.9000000000000005E-2</v>
      </c>
      <c r="E18" s="1860">
        <v>0.1</v>
      </c>
      <c r="F18" s="1868"/>
    </row>
    <row r="19" spans="1:6" ht="15" thickBot="1">
      <c r="A19" s="1855" t="s">
        <v>1121</v>
      </c>
      <c r="B19" s="1862" t="s">
        <v>1133</v>
      </c>
      <c r="C19" s="1860">
        <v>9.9000000000000005E-2</v>
      </c>
      <c r="D19" s="1860">
        <v>7.5999999999999998E-2</v>
      </c>
      <c r="E19" s="1860">
        <v>8.6999999999999994E-2</v>
      </c>
      <c r="F19" s="1868"/>
    </row>
    <row r="20" spans="1:6" ht="15" thickBot="1">
      <c r="A20" s="1855" t="s">
        <v>1121</v>
      </c>
      <c r="B20" s="1862" t="s">
        <v>1143</v>
      </c>
      <c r="C20" s="1860">
        <v>9.8000000000000004E-2</v>
      </c>
      <c r="D20" s="1860">
        <v>8.5000000000000006E-2</v>
      </c>
      <c r="E20" s="1860">
        <v>8.2000000000000003E-2</v>
      </c>
      <c r="F20" s="1868"/>
    </row>
    <row r="21" spans="1:6" ht="15" thickBot="1">
      <c r="A21" s="1855" t="s">
        <v>1121</v>
      </c>
      <c r="B21" s="1862" t="s">
        <v>1153</v>
      </c>
      <c r="C21" s="1860">
        <v>6.6000000000000003E-2</v>
      </c>
      <c r="D21" s="1860">
        <v>6.4000000000000001E-2</v>
      </c>
      <c r="E21" s="1860">
        <v>6.5000000000000002E-2</v>
      </c>
      <c r="F21" s="1868"/>
    </row>
    <row r="22" spans="1:6" ht="15" thickBot="1">
      <c r="A22" s="1855" t="s">
        <v>1121</v>
      </c>
      <c r="B22" s="1862" t="s">
        <v>2052</v>
      </c>
      <c r="C22" s="1860">
        <v>0.08</v>
      </c>
      <c r="D22" s="1860">
        <v>9.8000000000000004E-2</v>
      </c>
      <c r="E22" s="1860">
        <v>9.8000000000000004E-2</v>
      </c>
      <c r="F22" s="1868"/>
    </row>
    <row r="23" spans="1:6" ht="15" thickBot="1">
      <c r="A23" s="1855" t="s">
        <v>1121</v>
      </c>
      <c r="B23" s="1862" t="s">
        <v>1173</v>
      </c>
      <c r="C23" s="1860">
        <v>9.9000000000000005E-2</v>
      </c>
      <c r="D23" s="1860">
        <v>9.8000000000000004E-2</v>
      </c>
      <c r="E23" s="1860">
        <v>9.0999999999999998E-2</v>
      </c>
      <c r="F23" s="1868"/>
    </row>
    <row r="24" spans="1:6" ht="15" thickBot="1">
      <c r="A24" s="1855" t="s">
        <v>1121</v>
      </c>
      <c r="B24" s="1862" t="s">
        <v>1183</v>
      </c>
      <c r="C24" s="1860">
        <v>8.8999999999999996E-2</v>
      </c>
      <c r="D24" s="1860">
        <v>9.7000000000000003E-2</v>
      </c>
      <c r="E24" s="1860">
        <v>7.0000000000000007E-2</v>
      </c>
      <c r="F24" s="1868"/>
    </row>
    <row r="25" spans="1:6" ht="15" thickBot="1">
      <c r="A25" s="1855" t="s">
        <v>1121</v>
      </c>
      <c r="B25" s="1862" t="s">
        <v>1193</v>
      </c>
      <c r="C25" s="1860">
        <v>8.8999999999999996E-2</v>
      </c>
      <c r="D25" s="1860">
        <v>0.1</v>
      </c>
      <c r="E25" s="1860">
        <v>8.1000000000000003E-2</v>
      </c>
      <c r="F25" s="1868"/>
    </row>
    <row r="26" spans="1:6" ht="15" thickBot="1">
      <c r="A26" s="1855" t="s">
        <v>1121</v>
      </c>
      <c r="B26" s="1862" t="s">
        <v>1203</v>
      </c>
      <c r="C26" s="1869"/>
      <c r="D26" s="1860">
        <v>9.6000000000000002E-2</v>
      </c>
      <c r="E26" s="1860">
        <v>9.2999999999999999E-2</v>
      </c>
      <c r="F26" s="1868"/>
    </row>
    <row r="27" spans="1:6" ht="15" thickBot="1">
      <c r="A27" s="1855" t="s">
        <v>1121</v>
      </c>
      <c r="B27" s="1862" t="s">
        <v>1213</v>
      </c>
      <c r="C27" s="1869"/>
      <c r="D27" s="1860">
        <v>7.5999999999999998E-2</v>
      </c>
      <c r="E27" s="1860">
        <v>9.1999999999999998E-2</v>
      </c>
      <c r="F27" s="1868"/>
    </row>
    <row r="28" spans="1:6" ht="15" thickBot="1">
      <c r="A28" s="1863" t="s">
        <v>1121</v>
      </c>
      <c r="B28" s="1864" t="s">
        <v>1223</v>
      </c>
      <c r="C28" s="1866"/>
      <c r="D28" s="1865">
        <v>7.5999999999999998E-2</v>
      </c>
      <c r="E28" s="1865">
        <v>9.1999999999999998E-2</v>
      </c>
      <c r="F28" s="1867"/>
    </row>
    <row r="29" spans="1:6" ht="15" thickBot="1">
      <c r="A29" s="1855" t="s">
        <v>1292</v>
      </c>
      <c r="B29" s="1856" t="s">
        <v>2053</v>
      </c>
      <c r="C29" s="1857">
        <v>6.4000000000000001E-2</v>
      </c>
      <c r="D29" s="1857">
        <v>6.5000000000000002E-2</v>
      </c>
      <c r="E29" s="1857">
        <v>6.9000000000000006E-2</v>
      </c>
      <c r="F29" s="1858">
        <v>0.1</v>
      </c>
    </row>
    <row r="30" spans="1:6" ht="15" thickBot="1">
      <c r="A30" s="1855" t="s">
        <v>1292</v>
      </c>
      <c r="B30" s="1862" t="s">
        <v>1038</v>
      </c>
      <c r="C30" s="1860">
        <v>6.4000000000000001E-2</v>
      </c>
      <c r="D30" s="1860">
        <v>9.9000000000000005E-2</v>
      </c>
      <c r="E30" s="1860">
        <v>0.1</v>
      </c>
      <c r="F30" s="1861">
        <v>0.1</v>
      </c>
    </row>
    <row r="31" spans="1:6" ht="15" thickBot="1">
      <c r="A31" s="1855" t="s">
        <v>1292</v>
      </c>
      <c r="B31" s="1862" t="s">
        <v>1052</v>
      </c>
      <c r="C31" s="1860">
        <v>0.1</v>
      </c>
      <c r="D31" s="1860">
        <v>9.5000000000000001E-2</v>
      </c>
      <c r="E31" s="1860">
        <v>8.8999999999999996E-2</v>
      </c>
      <c r="F31" s="1861">
        <v>0.1</v>
      </c>
    </row>
    <row r="32" spans="1:6" ht="15" thickBot="1">
      <c r="A32" s="1855" t="s">
        <v>1292</v>
      </c>
      <c r="B32" s="1862" t="s">
        <v>1065</v>
      </c>
      <c r="C32" s="1860">
        <v>0.05</v>
      </c>
      <c r="D32" s="1860">
        <v>0.05</v>
      </c>
      <c r="E32" s="1860">
        <v>8.7999999999999995E-2</v>
      </c>
      <c r="F32" s="1861">
        <v>0.1</v>
      </c>
    </row>
    <row r="33" spans="1:6" ht="15" thickBot="1">
      <c r="A33" s="1855" t="s">
        <v>1292</v>
      </c>
      <c r="B33" s="1862" t="s">
        <v>1079</v>
      </c>
      <c r="C33" s="1860">
        <v>7.4999999999999997E-2</v>
      </c>
      <c r="D33" s="1860">
        <v>9.4E-2</v>
      </c>
      <c r="E33" s="1860">
        <v>9.7000000000000003E-2</v>
      </c>
      <c r="F33" s="1861">
        <v>0.1</v>
      </c>
    </row>
    <row r="34" spans="1:6" ht="15" thickBot="1">
      <c r="A34" s="1855" t="s">
        <v>1292</v>
      </c>
      <c r="B34" s="1862" t="s">
        <v>1090</v>
      </c>
      <c r="C34" s="1860">
        <v>9.8000000000000004E-2</v>
      </c>
      <c r="D34" s="1860">
        <v>8.5999999999999993E-2</v>
      </c>
      <c r="E34" s="1860">
        <v>9.7000000000000003E-2</v>
      </c>
      <c r="F34" s="1861">
        <v>0.1</v>
      </c>
    </row>
    <row r="35" spans="1:6" ht="15" thickBot="1">
      <c r="A35" s="1855" t="s">
        <v>1292</v>
      </c>
      <c r="B35" s="1862" t="s">
        <v>1101</v>
      </c>
      <c r="C35" s="1860">
        <v>5.8999999999999997E-2</v>
      </c>
      <c r="D35" s="1860">
        <v>6.5000000000000002E-2</v>
      </c>
      <c r="E35" s="1860">
        <v>7.0000000000000007E-2</v>
      </c>
      <c r="F35" s="1861">
        <v>0.1</v>
      </c>
    </row>
    <row r="36" spans="1:6" ht="15" thickBot="1">
      <c r="A36" s="1855" t="s">
        <v>1292</v>
      </c>
      <c r="B36" s="1862" t="s">
        <v>1112</v>
      </c>
      <c r="C36" s="1860">
        <v>6.3E-2</v>
      </c>
      <c r="D36" s="1860">
        <v>0.1</v>
      </c>
      <c r="E36" s="1860">
        <v>0.1</v>
      </c>
      <c r="F36" s="1861">
        <v>0.1</v>
      </c>
    </row>
    <row r="37" spans="1:6" ht="15" thickBot="1">
      <c r="A37" s="1855" t="s">
        <v>1292</v>
      </c>
      <c r="B37" s="1862" t="s">
        <v>1124</v>
      </c>
      <c r="C37" s="1860">
        <v>7.3999999999999996E-2</v>
      </c>
      <c r="D37" s="1860">
        <v>0.1</v>
      </c>
      <c r="E37" s="1860">
        <v>0.1</v>
      </c>
      <c r="F37" s="1861">
        <v>0.1</v>
      </c>
    </row>
    <row r="38" spans="1:6" ht="15" thickBot="1">
      <c r="A38" s="1855" t="s">
        <v>1292</v>
      </c>
      <c r="B38" s="1862" t="s">
        <v>1134</v>
      </c>
      <c r="C38" s="1860">
        <v>0.1</v>
      </c>
      <c r="D38" s="1860">
        <v>9.6000000000000002E-2</v>
      </c>
      <c r="E38" s="1860">
        <v>9.6000000000000002E-2</v>
      </c>
      <c r="F38" s="1868"/>
    </row>
    <row r="39" spans="1:6" ht="15" thickBot="1">
      <c r="A39" s="1855" t="s">
        <v>1292</v>
      </c>
      <c r="B39" s="1862" t="s">
        <v>1144</v>
      </c>
      <c r="C39" s="1860">
        <v>0.1</v>
      </c>
      <c r="D39" s="1860">
        <v>9.6000000000000002E-2</v>
      </c>
      <c r="E39" s="1860">
        <v>9.6000000000000002E-2</v>
      </c>
      <c r="F39" s="1868"/>
    </row>
    <row r="40" spans="1:6" ht="15" thickBot="1">
      <c r="A40" s="1855" t="s">
        <v>1292</v>
      </c>
      <c r="B40" s="1862" t="s">
        <v>1154</v>
      </c>
      <c r="C40" s="1860">
        <v>9.6000000000000002E-2</v>
      </c>
      <c r="D40" s="1860">
        <v>0.1</v>
      </c>
      <c r="E40" s="1860">
        <v>9.9000000000000005E-2</v>
      </c>
      <c r="F40" s="1868"/>
    </row>
    <row r="41" spans="1:6" ht="15" thickBot="1">
      <c r="A41" s="1855" t="s">
        <v>1292</v>
      </c>
      <c r="B41" s="1862" t="s">
        <v>1164</v>
      </c>
      <c r="C41" s="1860">
        <v>9.6000000000000002E-2</v>
      </c>
      <c r="D41" s="1860">
        <v>9.8000000000000004E-2</v>
      </c>
      <c r="E41" s="1860">
        <v>9.8000000000000004E-2</v>
      </c>
      <c r="F41" s="1868"/>
    </row>
    <row r="42" spans="1:6" ht="15" thickBot="1">
      <c r="A42" s="1855" t="s">
        <v>1292</v>
      </c>
      <c r="B42" s="1862" t="s">
        <v>1174</v>
      </c>
      <c r="C42" s="1860">
        <v>0.1</v>
      </c>
      <c r="D42" s="1860">
        <v>8.7999999999999995E-2</v>
      </c>
      <c r="E42" s="1860">
        <v>0.1</v>
      </c>
      <c r="F42" s="1868"/>
    </row>
    <row r="43" spans="1:6" ht="15" thickBot="1">
      <c r="A43" s="1855" t="s">
        <v>1292</v>
      </c>
      <c r="B43" s="1862" t="s">
        <v>1184</v>
      </c>
      <c r="C43" s="1860">
        <v>9.8000000000000004E-2</v>
      </c>
      <c r="D43" s="1860">
        <v>9.7000000000000003E-2</v>
      </c>
      <c r="E43" s="1860">
        <v>9.6000000000000002E-2</v>
      </c>
      <c r="F43" s="1868"/>
    </row>
    <row r="44" spans="1:6" ht="15" thickBot="1">
      <c r="A44" s="1855" t="s">
        <v>1292</v>
      </c>
      <c r="B44" s="1862" t="s">
        <v>1194</v>
      </c>
      <c r="C44" s="1860">
        <v>8.5999999999999993E-2</v>
      </c>
      <c r="D44" s="1860">
        <v>7.9000000000000001E-2</v>
      </c>
      <c r="E44" s="1860">
        <v>7.0999999999999994E-2</v>
      </c>
      <c r="F44" s="1868"/>
    </row>
    <row r="45" spans="1:6" ht="15" thickBot="1">
      <c r="A45" s="1855" t="s">
        <v>1292</v>
      </c>
      <c r="B45" s="1862" t="s">
        <v>1204</v>
      </c>
      <c r="C45" s="1860">
        <v>9.8000000000000004E-2</v>
      </c>
      <c r="D45" s="1860">
        <v>9.6000000000000002E-2</v>
      </c>
      <c r="E45" s="1860">
        <v>9.6000000000000002E-2</v>
      </c>
      <c r="F45" s="1868"/>
    </row>
    <row r="46" spans="1:6" ht="15" thickBot="1">
      <c r="A46" s="1855" t="s">
        <v>1292</v>
      </c>
      <c r="B46" s="1862" t="s">
        <v>1214</v>
      </c>
      <c r="C46" s="1860">
        <v>8.5999999999999993E-2</v>
      </c>
      <c r="D46" s="1860">
        <v>9.8000000000000004E-2</v>
      </c>
      <c r="E46" s="1860">
        <v>8.7999999999999995E-2</v>
      </c>
      <c r="F46" s="1868"/>
    </row>
    <row r="47" spans="1:6" ht="15" thickBot="1">
      <c r="A47" s="1855" t="s">
        <v>1292</v>
      </c>
      <c r="B47" s="1862" t="s">
        <v>1224</v>
      </c>
      <c r="C47" s="1860">
        <v>9.6000000000000002E-2</v>
      </c>
      <c r="D47" s="1869"/>
      <c r="E47" s="1860">
        <v>6.9000000000000006E-2</v>
      </c>
      <c r="F47" s="1868"/>
    </row>
    <row r="48" spans="1:6" ht="15" thickBot="1">
      <c r="A48" s="1863" t="s">
        <v>1292</v>
      </c>
      <c r="B48" s="1864" t="s">
        <v>1233</v>
      </c>
      <c r="C48" s="1865">
        <v>9.8000000000000004E-2</v>
      </c>
      <c r="D48" s="1866"/>
      <c r="E48" s="1865">
        <v>9.5000000000000001E-2</v>
      </c>
      <c r="F48" s="1867"/>
    </row>
    <row r="49" spans="1:6" ht="15" thickBot="1">
      <c r="A49" s="1855" t="s">
        <v>890</v>
      </c>
      <c r="B49" s="1856" t="s">
        <v>2054</v>
      </c>
      <c r="C49" s="1857">
        <v>9.7000000000000003E-2</v>
      </c>
      <c r="D49" s="1857">
        <v>9.5000000000000001E-2</v>
      </c>
      <c r="E49" s="1857">
        <v>9.7000000000000003E-2</v>
      </c>
      <c r="F49" s="1858">
        <v>0.1</v>
      </c>
    </row>
    <row r="50" spans="1:6" ht="15" thickBot="1">
      <c r="A50" s="1855" t="s">
        <v>890</v>
      </c>
      <c r="B50" s="1859" t="s">
        <v>1039</v>
      </c>
      <c r="C50" s="1860">
        <v>7.4999999999999997E-2</v>
      </c>
      <c r="D50" s="1860">
        <v>9.5000000000000001E-2</v>
      </c>
      <c r="E50" s="1860">
        <v>0.1</v>
      </c>
      <c r="F50" s="1861">
        <v>0.1</v>
      </c>
    </row>
    <row r="51" spans="1:6" ht="15" thickBot="1">
      <c r="A51" s="1855" t="s">
        <v>890</v>
      </c>
      <c r="B51" s="1859" t="s">
        <v>1053</v>
      </c>
      <c r="C51" s="1860">
        <v>9.8000000000000004E-2</v>
      </c>
      <c r="D51" s="1860">
        <v>8.8999999999999996E-2</v>
      </c>
      <c r="E51" s="1860">
        <v>0.1</v>
      </c>
      <c r="F51" s="1861">
        <v>0.1</v>
      </c>
    </row>
    <row r="52" spans="1:6" ht="15" thickBot="1">
      <c r="A52" s="1855" t="s">
        <v>890</v>
      </c>
      <c r="B52" s="1859" t="s">
        <v>1066</v>
      </c>
      <c r="C52" s="1860">
        <v>9.8000000000000004E-2</v>
      </c>
      <c r="D52" s="1860">
        <v>9.7000000000000003E-2</v>
      </c>
      <c r="E52" s="1860">
        <v>8.1000000000000003E-2</v>
      </c>
      <c r="F52" s="1861">
        <v>0.1</v>
      </c>
    </row>
    <row r="53" spans="1:6" ht="15" thickBot="1">
      <c r="A53" s="1855" t="s">
        <v>890</v>
      </c>
      <c r="B53" s="1859" t="s">
        <v>1080</v>
      </c>
      <c r="C53" s="1860">
        <v>9.7000000000000003E-2</v>
      </c>
      <c r="D53" s="1860">
        <v>7.5999999999999998E-2</v>
      </c>
      <c r="E53" s="1860">
        <v>7.0999999999999994E-2</v>
      </c>
      <c r="F53" s="1861">
        <v>0.1</v>
      </c>
    </row>
    <row r="54" spans="1:6" ht="15" thickBot="1">
      <c r="A54" s="1855" t="s">
        <v>890</v>
      </c>
      <c r="B54" s="1859" t="s">
        <v>1091</v>
      </c>
      <c r="C54" s="1860">
        <v>7.5999999999999998E-2</v>
      </c>
      <c r="D54" s="1860">
        <v>0.1</v>
      </c>
      <c r="E54" s="1860">
        <v>9.9000000000000005E-2</v>
      </c>
      <c r="F54" s="1861">
        <v>0.1</v>
      </c>
    </row>
    <row r="55" spans="1:6" ht="15" thickBot="1">
      <c r="A55" s="1855" t="s">
        <v>890</v>
      </c>
      <c r="B55" s="1859" t="s">
        <v>1102</v>
      </c>
      <c r="C55" s="1860">
        <v>0.1</v>
      </c>
      <c r="D55" s="1860">
        <v>0.1</v>
      </c>
      <c r="E55" s="1860">
        <v>9.6000000000000002E-2</v>
      </c>
      <c r="F55" s="1861">
        <v>0.1</v>
      </c>
    </row>
    <row r="56" spans="1:6" ht="15" thickBot="1">
      <c r="A56" s="1855" t="s">
        <v>890</v>
      </c>
      <c r="B56" s="1859" t="s">
        <v>1113</v>
      </c>
      <c r="C56" s="1860">
        <v>0.1</v>
      </c>
      <c r="D56" s="1860">
        <v>9.6000000000000002E-2</v>
      </c>
      <c r="E56" s="1860">
        <v>5.1999999999999998E-2</v>
      </c>
      <c r="F56" s="1861">
        <v>0.1</v>
      </c>
    </row>
    <row r="57" spans="1:6" ht="15" thickBot="1">
      <c r="A57" s="1855" t="s">
        <v>890</v>
      </c>
      <c r="B57" s="1859" t="s">
        <v>1125</v>
      </c>
      <c r="C57" s="1860">
        <v>9.7000000000000003E-2</v>
      </c>
      <c r="D57" s="1860">
        <v>9.6000000000000002E-2</v>
      </c>
      <c r="E57" s="1860">
        <v>9.6000000000000002E-2</v>
      </c>
      <c r="F57" s="1861">
        <v>0.1</v>
      </c>
    </row>
    <row r="58" spans="1:6" ht="15" thickBot="1">
      <c r="A58" s="1855" t="s">
        <v>890</v>
      </c>
      <c r="B58" s="1859" t="s">
        <v>1135</v>
      </c>
      <c r="C58" s="1860">
        <v>9.6000000000000002E-2</v>
      </c>
      <c r="D58" s="1860">
        <v>9.9000000000000005E-2</v>
      </c>
      <c r="E58" s="1860">
        <v>9.6000000000000002E-2</v>
      </c>
      <c r="F58" s="1861">
        <v>0.1</v>
      </c>
    </row>
    <row r="59" spans="1:6" ht="15" thickBot="1">
      <c r="A59" s="1855" t="s">
        <v>890</v>
      </c>
      <c r="B59" s="1859" t="s">
        <v>1145</v>
      </c>
      <c r="C59" s="1860">
        <v>7.1999999999999995E-2</v>
      </c>
      <c r="D59" s="1860">
        <v>9.6000000000000002E-2</v>
      </c>
      <c r="E59" s="1860">
        <v>7.0999999999999994E-2</v>
      </c>
      <c r="F59" s="1861">
        <v>0.1</v>
      </c>
    </row>
    <row r="60" spans="1:6" ht="15" thickBot="1">
      <c r="A60" s="1855" t="s">
        <v>890</v>
      </c>
      <c r="B60" s="1859" t="s">
        <v>1155</v>
      </c>
      <c r="C60" s="1860">
        <v>9.6000000000000002E-2</v>
      </c>
      <c r="D60" s="1860">
        <v>8.8999999999999996E-2</v>
      </c>
      <c r="E60" s="1860">
        <v>9.6000000000000002E-2</v>
      </c>
      <c r="F60" s="1861">
        <v>0.1</v>
      </c>
    </row>
    <row r="61" spans="1:6" ht="15" thickBot="1">
      <c r="A61" s="1855" t="s">
        <v>890</v>
      </c>
      <c r="B61" s="1859" t="s">
        <v>1165</v>
      </c>
      <c r="C61" s="1860">
        <v>8.8999999999999996E-2</v>
      </c>
      <c r="D61" s="1860">
        <v>9.8000000000000004E-2</v>
      </c>
      <c r="E61" s="1860">
        <v>8.7999999999999995E-2</v>
      </c>
      <c r="F61" s="1868"/>
    </row>
    <row r="62" spans="1:6" ht="15" thickBot="1">
      <c r="A62" s="1855" t="s">
        <v>890</v>
      </c>
      <c r="B62" s="1859" t="s">
        <v>1175</v>
      </c>
      <c r="C62" s="1860">
        <v>9.8000000000000004E-2</v>
      </c>
      <c r="D62" s="1860">
        <v>9.2999999999999999E-2</v>
      </c>
      <c r="E62" s="1860">
        <v>9.7000000000000003E-2</v>
      </c>
      <c r="F62" s="1868"/>
    </row>
    <row r="63" spans="1:6" ht="15" thickBot="1">
      <c r="A63" s="1855" t="s">
        <v>890</v>
      </c>
      <c r="B63" s="1859" t="s">
        <v>1185</v>
      </c>
      <c r="C63" s="1860">
        <v>9.6000000000000002E-2</v>
      </c>
      <c r="D63" s="1860">
        <v>9.8000000000000004E-2</v>
      </c>
      <c r="E63" s="1860">
        <v>0.09</v>
      </c>
      <c r="F63" s="1868"/>
    </row>
    <row r="64" spans="1:6" ht="15" thickBot="1">
      <c r="A64" s="1855" t="s">
        <v>890</v>
      </c>
      <c r="B64" s="1859" t="s">
        <v>1195</v>
      </c>
      <c r="C64" s="1860">
        <v>9.9000000000000005E-2</v>
      </c>
      <c r="D64" s="1860">
        <v>9.7000000000000003E-2</v>
      </c>
      <c r="E64" s="1860">
        <v>9.9000000000000005E-2</v>
      </c>
      <c r="F64" s="1868"/>
    </row>
    <row r="65" spans="1:6" ht="15" thickBot="1">
      <c r="A65" s="1855" t="s">
        <v>890</v>
      </c>
      <c r="B65" s="1859" t="s">
        <v>1205</v>
      </c>
      <c r="C65" s="1860">
        <v>9.8000000000000004E-2</v>
      </c>
      <c r="D65" s="1860">
        <v>9.6000000000000002E-2</v>
      </c>
      <c r="E65" s="1860">
        <v>9.6000000000000002E-2</v>
      </c>
      <c r="F65" s="1868"/>
    </row>
    <row r="66" spans="1:6" ht="15" thickBot="1">
      <c r="A66" s="1855" t="s">
        <v>890</v>
      </c>
      <c r="B66" s="1859" t="s">
        <v>1215</v>
      </c>
      <c r="C66" s="1860">
        <v>9.6000000000000002E-2</v>
      </c>
      <c r="D66" s="1860">
        <v>9.1999999999999998E-2</v>
      </c>
      <c r="E66" s="1860">
        <v>9.6000000000000002E-2</v>
      </c>
      <c r="F66" s="1868"/>
    </row>
    <row r="67" spans="1:6" ht="15" thickBot="1">
      <c r="A67" s="1855" t="s">
        <v>890</v>
      </c>
      <c r="B67" s="1859" t="s">
        <v>1225</v>
      </c>
      <c r="C67" s="1860">
        <v>9.4E-2</v>
      </c>
      <c r="D67" s="1860">
        <v>0.1</v>
      </c>
      <c r="E67" s="1860">
        <v>8.7999999999999995E-2</v>
      </c>
      <c r="F67" s="1868"/>
    </row>
    <row r="68" spans="1:6" ht="15" thickBot="1">
      <c r="A68" s="1855" t="s">
        <v>890</v>
      </c>
      <c r="B68" s="1859" t="s">
        <v>1234</v>
      </c>
      <c r="C68" s="1860">
        <v>0.1</v>
      </c>
      <c r="D68" s="1860">
        <v>8.7999999999999995E-2</v>
      </c>
      <c r="E68" s="1860">
        <v>9.7000000000000003E-2</v>
      </c>
      <c r="F68" s="1868"/>
    </row>
    <row r="69" spans="1:6" ht="15" thickBot="1">
      <c r="A69" s="1855" t="s">
        <v>890</v>
      </c>
      <c r="B69" s="1859" t="s">
        <v>1243</v>
      </c>
      <c r="C69" s="1860">
        <v>6.4000000000000001E-2</v>
      </c>
      <c r="D69" s="1860">
        <v>0.1</v>
      </c>
      <c r="E69" s="1860">
        <v>0.1</v>
      </c>
      <c r="F69" s="1868"/>
    </row>
    <row r="70" spans="1:6" ht="15" thickBot="1">
      <c r="A70" s="1855" t="s">
        <v>890</v>
      </c>
      <c r="B70" s="1859" t="s">
        <v>1251</v>
      </c>
      <c r="C70" s="1860">
        <v>9.0999999999999998E-2</v>
      </c>
      <c r="D70" s="1869"/>
      <c r="E70" s="1869"/>
      <c r="F70" s="1868"/>
    </row>
    <row r="71" spans="1:6" ht="15" thickBot="1">
      <c r="A71" s="1855" t="s">
        <v>890</v>
      </c>
      <c r="B71" s="1859" t="s">
        <v>1258</v>
      </c>
      <c r="C71" s="1860">
        <v>0.1</v>
      </c>
      <c r="D71" s="1869"/>
      <c r="E71" s="1869"/>
      <c r="F71" s="1868"/>
    </row>
    <row r="72" spans="1:6" ht="24.6" thickBot="1">
      <c r="A72" s="1855" t="s">
        <v>890</v>
      </c>
      <c r="B72" s="1859" t="s">
        <v>2055</v>
      </c>
      <c r="C72" s="1869"/>
      <c r="D72" s="1869"/>
      <c r="E72" s="1869"/>
      <c r="F72" s="1861">
        <v>0.05</v>
      </c>
    </row>
    <row r="73" spans="1:6" ht="24.6" thickBot="1">
      <c r="A73" s="1855" t="s">
        <v>890</v>
      </c>
      <c r="B73" s="1859" t="s">
        <v>2056</v>
      </c>
      <c r="C73" s="1869"/>
      <c r="D73" s="1869"/>
      <c r="E73" s="1869"/>
      <c r="F73" s="1861">
        <v>0.05</v>
      </c>
    </row>
    <row r="74" spans="1:6" ht="24.6" thickBot="1">
      <c r="A74" s="1855" t="s">
        <v>890</v>
      </c>
      <c r="B74" s="1859" t="s">
        <v>2057</v>
      </c>
      <c r="C74" s="1869"/>
      <c r="D74" s="1869"/>
      <c r="E74" s="1869"/>
      <c r="F74" s="1861">
        <v>0.05</v>
      </c>
    </row>
    <row r="75" spans="1:6" ht="24.6" thickBot="1">
      <c r="A75" s="1863" t="s">
        <v>890</v>
      </c>
      <c r="B75" s="1870" t="s">
        <v>2058</v>
      </c>
      <c r="C75" s="1866"/>
      <c r="D75" s="1866"/>
      <c r="E75" s="1866"/>
      <c r="F75" s="1871">
        <v>0.05</v>
      </c>
    </row>
    <row r="76" spans="1:6" ht="15" thickBot="1">
      <c r="A76" s="1855" t="s">
        <v>1373</v>
      </c>
      <c r="B76" s="1856" t="s">
        <v>2059</v>
      </c>
      <c r="C76" s="1857">
        <v>0.1</v>
      </c>
      <c r="D76" s="1857">
        <v>0.1</v>
      </c>
      <c r="E76" s="1857">
        <v>0.1</v>
      </c>
      <c r="F76" s="1858">
        <v>0.1</v>
      </c>
    </row>
    <row r="77" spans="1:6" ht="15" thickBot="1">
      <c r="A77" s="1855" t="s">
        <v>1373</v>
      </c>
      <c r="B77" s="1859" t="s">
        <v>1040</v>
      </c>
      <c r="C77" s="1860">
        <v>8.7999999999999995E-2</v>
      </c>
      <c r="D77" s="1860">
        <v>8.6999999999999994E-2</v>
      </c>
      <c r="E77" s="1860">
        <v>7.9000000000000001E-2</v>
      </c>
      <c r="F77" s="1861">
        <v>0.1</v>
      </c>
    </row>
    <row r="78" spans="1:6" ht="15" thickBot="1">
      <c r="A78" s="1855" t="s">
        <v>1373</v>
      </c>
      <c r="B78" s="1859" t="s">
        <v>1054</v>
      </c>
      <c r="C78" s="1860">
        <v>8.6999999999999994E-2</v>
      </c>
      <c r="D78" s="1860">
        <v>8.4000000000000005E-2</v>
      </c>
      <c r="E78" s="1860">
        <v>9.6000000000000002E-2</v>
      </c>
      <c r="F78" s="1861">
        <v>0.1</v>
      </c>
    </row>
    <row r="79" spans="1:6" ht="15" thickBot="1">
      <c r="A79" s="1855" t="s">
        <v>1373</v>
      </c>
      <c r="B79" s="1859" t="s">
        <v>1067</v>
      </c>
      <c r="C79" s="1860">
        <v>9.8000000000000004E-2</v>
      </c>
      <c r="D79" s="1860">
        <v>9.8000000000000004E-2</v>
      </c>
      <c r="E79" s="1860">
        <v>9.0999999999999998E-2</v>
      </c>
      <c r="F79" s="1861">
        <v>0.1</v>
      </c>
    </row>
    <row r="80" spans="1:6" ht="15" thickBot="1">
      <c r="A80" s="1855" t="s">
        <v>1373</v>
      </c>
      <c r="B80" s="1859" t="s">
        <v>1081</v>
      </c>
      <c r="C80" s="1860">
        <v>9.6000000000000002E-2</v>
      </c>
      <c r="D80" s="1860">
        <v>9.6000000000000002E-2</v>
      </c>
      <c r="E80" s="1860">
        <v>0.1</v>
      </c>
      <c r="F80" s="1861">
        <v>0.1</v>
      </c>
    </row>
    <row r="81" spans="1:6" ht="15" thickBot="1">
      <c r="A81" s="1855" t="s">
        <v>1373</v>
      </c>
      <c r="B81" s="1859" t="s">
        <v>1092</v>
      </c>
      <c r="C81" s="1860">
        <v>9.9000000000000005E-2</v>
      </c>
      <c r="D81" s="1860">
        <v>9.9000000000000005E-2</v>
      </c>
      <c r="E81" s="1860">
        <v>9.8000000000000004E-2</v>
      </c>
      <c r="F81" s="1861">
        <v>0.1</v>
      </c>
    </row>
    <row r="82" spans="1:6" ht="15" thickBot="1">
      <c r="A82" s="1855" t="s">
        <v>1373</v>
      </c>
      <c r="B82" s="1859" t="s">
        <v>1103</v>
      </c>
      <c r="C82" s="1860">
        <v>9.9000000000000005E-2</v>
      </c>
      <c r="D82" s="1860">
        <v>9.9000000000000005E-2</v>
      </c>
      <c r="E82" s="1860">
        <v>9.7000000000000003E-2</v>
      </c>
      <c r="F82" s="1861">
        <v>0.1</v>
      </c>
    </row>
    <row r="83" spans="1:6" ht="15" thickBot="1">
      <c r="A83" s="1855" t="s">
        <v>1373</v>
      </c>
      <c r="B83" s="1859" t="s">
        <v>1114</v>
      </c>
      <c r="C83" s="1860">
        <v>9.8000000000000004E-2</v>
      </c>
      <c r="D83" s="1860">
        <v>9.8000000000000004E-2</v>
      </c>
      <c r="E83" s="1860">
        <v>9.8000000000000004E-2</v>
      </c>
      <c r="F83" s="1861">
        <v>0.1</v>
      </c>
    </row>
    <row r="84" spans="1:6" ht="15" thickBot="1">
      <c r="A84" s="1855" t="s">
        <v>1373</v>
      </c>
      <c r="B84" s="1859" t="s">
        <v>1126</v>
      </c>
      <c r="C84" s="1860">
        <v>9.9000000000000005E-2</v>
      </c>
      <c r="D84" s="1860">
        <v>9.9000000000000005E-2</v>
      </c>
      <c r="E84" s="1860">
        <v>9.9000000000000005E-2</v>
      </c>
      <c r="F84" s="1861">
        <v>0.1</v>
      </c>
    </row>
    <row r="85" spans="1:6" ht="15" thickBot="1">
      <c r="A85" s="1855" t="s">
        <v>1373</v>
      </c>
      <c r="B85" s="1859" t="s">
        <v>1136</v>
      </c>
      <c r="C85" s="1860">
        <v>9.9000000000000005E-2</v>
      </c>
      <c r="D85" s="1860">
        <v>9.9000000000000005E-2</v>
      </c>
      <c r="E85" s="1860">
        <v>9.9000000000000005E-2</v>
      </c>
      <c r="F85" s="1861">
        <v>0.1</v>
      </c>
    </row>
    <row r="86" spans="1:6" ht="15" thickBot="1">
      <c r="A86" s="1855" t="s">
        <v>1373</v>
      </c>
      <c r="B86" s="1859" t="s">
        <v>1146</v>
      </c>
      <c r="C86" s="1860">
        <v>0.1</v>
      </c>
      <c r="D86" s="1860">
        <v>0.1</v>
      </c>
      <c r="E86" s="1860">
        <v>7.6999999999999999E-2</v>
      </c>
      <c r="F86" s="1861">
        <v>0.1</v>
      </c>
    </row>
    <row r="87" spans="1:6" ht="15" thickBot="1">
      <c r="A87" s="1855" t="s">
        <v>1373</v>
      </c>
      <c r="B87" s="1859" t="s">
        <v>1156</v>
      </c>
      <c r="C87" s="1860">
        <v>0.1</v>
      </c>
      <c r="D87" s="1860">
        <v>0.1</v>
      </c>
      <c r="E87" s="1860">
        <v>9.8000000000000004E-2</v>
      </c>
      <c r="F87" s="1868"/>
    </row>
    <row r="88" spans="1:6" ht="15" thickBot="1">
      <c r="A88" s="1855" t="s">
        <v>1373</v>
      </c>
      <c r="B88" s="1859" t="s">
        <v>1166</v>
      </c>
      <c r="C88" s="1860">
        <v>9.1999999999999998E-2</v>
      </c>
      <c r="D88" s="1860">
        <v>8.5000000000000006E-2</v>
      </c>
      <c r="E88" s="1860">
        <v>9.6000000000000002E-2</v>
      </c>
      <c r="F88" s="1868"/>
    </row>
    <row r="89" spans="1:6" ht="15" thickBot="1">
      <c r="A89" s="1855" t="s">
        <v>1373</v>
      </c>
      <c r="B89" s="1859" t="s">
        <v>1176</v>
      </c>
      <c r="C89" s="1860">
        <v>0.1</v>
      </c>
      <c r="D89" s="1860">
        <v>0.1</v>
      </c>
      <c r="E89" s="1860">
        <v>9.7000000000000003E-2</v>
      </c>
      <c r="F89" s="1868"/>
    </row>
    <row r="90" spans="1:6" ht="15" thickBot="1">
      <c r="A90" s="1855" t="s">
        <v>1373</v>
      </c>
      <c r="B90" s="1859" t="s">
        <v>1186</v>
      </c>
      <c r="C90" s="1860">
        <v>9.8000000000000004E-2</v>
      </c>
      <c r="D90" s="1860">
        <v>9.8000000000000004E-2</v>
      </c>
      <c r="E90" s="1860">
        <v>8.7999999999999995E-2</v>
      </c>
      <c r="F90" s="1868"/>
    </row>
    <row r="91" spans="1:6" ht="15" thickBot="1">
      <c r="A91" s="1855" t="s">
        <v>1373</v>
      </c>
      <c r="B91" s="1859" t="s">
        <v>1196</v>
      </c>
      <c r="C91" s="1860">
        <v>9.9000000000000005E-2</v>
      </c>
      <c r="D91" s="1860">
        <v>9.9000000000000005E-2</v>
      </c>
      <c r="E91" s="1860">
        <v>9.0999999999999998E-2</v>
      </c>
      <c r="F91" s="1868"/>
    </row>
    <row r="92" spans="1:6" ht="15" thickBot="1">
      <c r="A92" s="1855" t="s">
        <v>1373</v>
      </c>
      <c r="B92" s="1859" t="s">
        <v>1206</v>
      </c>
      <c r="C92" s="1860">
        <v>9.6000000000000002E-2</v>
      </c>
      <c r="D92" s="1860">
        <v>9.6000000000000002E-2</v>
      </c>
      <c r="E92" s="1860">
        <v>7.2999999999999995E-2</v>
      </c>
      <c r="F92" s="1868"/>
    </row>
    <row r="93" spans="1:6" ht="15" thickBot="1">
      <c r="A93" s="1855" t="s">
        <v>1373</v>
      </c>
      <c r="B93" s="1859" t="s">
        <v>1216</v>
      </c>
      <c r="C93" s="1860">
        <v>9.6000000000000002E-2</v>
      </c>
      <c r="D93" s="1860">
        <v>9.6000000000000002E-2</v>
      </c>
      <c r="E93" s="1860">
        <v>9.9000000000000005E-2</v>
      </c>
      <c r="F93" s="1868"/>
    </row>
    <row r="94" spans="1:6" ht="15" thickBot="1">
      <c r="A94" s="1855" t="s">
        <v>1373</v>
      </c>
      <c r="B94" s="1859" t="s">
        <v>1226</v>
      </c>
      <c r="C94" s="1860">
        <v>7.5999999999999998E-2</v>
      </c>
      <c r="D94" s="1860">
        <v>7.3999999999999996E-2</v>
      </c>
      <c r="E94" s="1860">
        <v>9.7000000000000003E-2</v>
      </c>
      <c r="F94" s="1868"/>
    </row>
    <row r="95" spans="1:6" ht="15" thickBot="1">
      <c r="A95" s="1855" t="s">
        <v>1373</v>
      </c>
      <c r="B95" s="1859" t="s">
        <v>1235</v>
      </c>
      <c r="C95" s="1860">
        <v>9.9000000000000005E-2</v>
      </c>
      <c r="D95" s="1860">
        <v>9.4E-2</v>
      </c>
      <c r="E95" s="1860">
        <v>9.6000000000000002E-2</v>
      </c>
      <c r="F95" s="1868"/>
    </row>
    <row r="96" spans="1:6" ht="15" thickBot="1">
      <c r="A96" s="1855" t="s">
        <v>1373</v>
      </c>
      <c r="B96" s="1859" t="s">
        <v>1244</v>
      </c>
      <c r="C96" s="1860">
        <v>9.9000000000000005E-2</v>
      </c>
      <c r="D96" s="1860">
        <v>9.9000000000000005E-2</v>
      </c>
      <c r="E96" s="1860">
        <v>9.9000000000000005E-2</v>
      </c>
      <c r="F96" s="1868"/>
    </row>
    <row r="97" spans="1:6" ht="15" thickBot="1">
      <c r="A97" s="1855" t="s">
        <v>1373</v>
      </c>
      <c r="B97" s="1859" t="s">
        <v>1252</v>
      </c>
      <c r="C97" s="1860">
        <v>9.8000000000000004E-2</v>
      </c>
      <c r="D97" s="1860">
        <v>9.8000000000000004E-2</v>
      </c>
      <c r="E97" s="1860">
        <v>9.7000000000000003E-2</v>
      </c>
      <c r="F97" s="1868"/>
    </row>
    <row r="98" spans="1:6" ht="15" thickBot="1">
      <c r="A98" s="1855" t="s">
        <v>1373</v>
      </c>
      <c r="B98" s="1859" t="s">
        <v>1259</v>
      </c>
      <c r="C98" s="1860">
        <v>0.1</v>
      </c>
      <c r="D98" s="1860">
        <v>0.1</v>
      </c>
      <c r="E98" s="1860">
        <v>9.7000000000000003E-2</v>
      </c>
      <c r="F98" s="1868"/>
    </row>
    <row r="99" spans="1:6" ht="15" thickBot="1">
      <c r="A99" s="1855" t="s">
        <v>1373</v>
      </c>
      <c r="B99" s="1859" t="s">
        <v>1266</v>
      </c>
      <c r="C99" s="1860">
        <v>0.1</v>
      </c>
      <c r="D99" s="1860">
        <v>0.1</v>
      </c>
      <c r="E99" s="1869"/>
      <c r="F99" s="1868"/>
    </row>
    <row r="100" spans="1:6" ht="15" thickBot="1">
      <c r="A100" s="1855" t="s">
        <v>1373</v>
      </c>
      <c r="B100" s="1859" t="s">
        <v>1273</v>
      </c>
      <c r="C100" s="1860">
        <v>0.09</v>
      </c>
      <c r="D100" s="1860">
        <v>8.8999999999999996E-2</v>
      </c>
      <c r="E100" s="1869"/>
      <c r="F100" s="1868"/>
    </row>
    <row r="101" spans="1:6" ht="15" thickBot="1">
      <c r="A101" s="1855" t="s">
        <v>1373</v>
      </c>
      <c r="B101" s="1859" t="s">
        <v>1280</v>
      </c>
      <c r="C101" s="1860">
        <v>9.8000000000000004E-2</v>
      </c>
      <c r="D101" s="1860">
        <v>9.7000000000000003E-2</v>
      </c>
      <c r="E101" s="1869"/>
      <c r="F101" s="1868"/>
    </row>
    <row r="102" spans="1:6" ht="24.6" thickBot="1">
      <c r="A102" s="1855" t="s">
        <v>1373</v>
      </c>
      <c r="B102" s="1859" t="s">
        <v>2060</v>
      </c>
      <c r="C102" s="1869"/>
      <c r="D102" s="1869"/>
      <c r="E102" s="1869"/>
      <c r="F102" s="1861">
        <v>0.05</v>
      </c>
    </row>
    <row r="103" spans="1:6" ht="24.6" thickBot="1">
      <c r="A103" s="1855" t="s">
        <v>1373</v>
      </c>
      <c r="B103" s="1859" t="s">
        <v>2061</v>
      </c>
      <c r="C103" s="1869"/>
      <c r="D103" s="1869"/>
      <c r="E103" s="1869"/>
      <c r="F103" s="1861">
        <v>0.05</v>
      </c>
    </row>
    <row r="104" spans="1:6" ht="15" thickBot="1">
      <c r="A104" s="1855" t="s">
        <v>1373</v>
      </c>
      <c r="B104" s="1859" t="s">
        <v>2062</v>
      </c>
      <c r="C104" s="1869"/>
      <c r="D104" s="1869"/>
      <c r="E104" s="1869"/>
      <c r="F104" s="1861">
        <v>0.05</v>
      </c>
    </row>
    <row r="105" spans="1:6" ht="24.6" thickBot="1">
      <c r="A105" s="1855" t="s">
        <v>1373</v>
      </c>
      <c r="B105" s="1859" t="s">
        <v>2063</v>
      </c>
      <c r="C105" s="1869"/>
      <c r="D105" s="1869"/>
      <c r="E105" s="1869"/>
      <c r="F105" s="1861">
        <v>0.05</v>
      </c>
    </row>
    <row r="106" spans="1:6" ht="24.6" thickBot="1">
      <c r="A106" s="1855" t="s">
        <v>1373</v>
      </c>
      <c r="B106" s="1859" t="s">
        <v>2064</v>
      </c>
      <c r="C106" s="1869"/>
      <c r="D106" s="1869"/>
      <c r="E106" s="1869"/>
      <c r="F106" s="1861">
        <v>0.05</v>
      </c>
    </row>
    <row r="107" spans="1:6" ht="24.6" thickBot="1">
      <c r="A107" s="1855" t="s">
        <v>1373</v>
      </c>
      <c r="B107" s="1859" t="s">
        <v>2065</v>
      </c>
      <c r="C107" s="1869"/>
      <c r="D107" s="1869"/>
      <c r="E107" s="1869"/>
      <c r="F107" s="1861">
        <v>0.05</v>
      </c>
    </row>
    <row r="108" spans="1:6" ht="24.6" thickBot="1">
      <c r="A108" s="1855" t="s">
        <v>1373</v>
      </c>
      <c r="B108" s="1859" t="s">
        <v>2066</v>
      </c>
      <c r="C108" s="1869"/>
      <c r="D108" s="1869"/>
      <c r="E108" s="1869"/>
      <c r="F108" s="1861">
        <v>0.05</v>
      </c>
    </row>
    <row r="109" spans="1:6" ht="24.6" thickBot="1">
      <c r="A109" s="1863" t="s">
        <v>1373</v>
      </c>
      <c r="B109" s="1870" t="s">
        <v>2067</v>
      </c>
      <c r="C109" s="1866"/>
      <c r="D109" s="1866"/>
      <c r="E109" s="1866"/>
      <c r="F109" s="1871">
        <v>0.05</v>
      </c>
    </row>
    <row r="110" spans="1:6" ht="15" thickBot="1">
      <c r="A110" s="1855" t="s">
        <v>1375</v>
      </c>
      <c r="B110" s="1856" t="s">
        <v>2068</v>
      </c>
      <c r="C110" s="1857">
        <v>0.129</v>
      </c>
      <c r="D110" s="1857">
        <v>0.129</v>
      </c>
      <c r="E110" s="1857">
        <v>0.126</v>
      </c>
      <c r="F110" s="1858">
        <v>0.13</v>
      </c>
    </row>
    <row r="111" spans="1:6" ht="15" thickBot="1">
      <c r="A111" s="1855" t="s">
        <v>1375</v>
      </c>
      <c r="B111" s="1859" t="s">
        <v>1041</v>
      </c>
      <c r="C111" s="1860">
        <v>0.11</v>
      </c>
      <c r="D111" s="1860">
        <v>0.11</v>
      </c>
      <c r="E111" s="1860">
        <v>9.9000000000000005E-2</v>
      </c>
      <c r="F111" s="1861">
        <v>0.128</v>
      </c>
    </row>
    <row r="112" spans="1:6" ht="15" thickBot="1">
      <c r="A112" s="1855" t="s">
        <v>1375</v>
      </c>
      <c r="B112" s="1859" t="s">
        <v>1055</v>
      </c>
      <c r="C112" s="1860">
        <v>0.125</v>
      </c>
      <c r="D112" s="1860">
        <v>0.125</v>
      </c>
      <c r="E112" s="1860">
        <v>0.12</v>
      </c>
      <c r="F112" s="1861">
        <v>0.125</v>
      </c>
    </row>
    <row r="113" spans="1:6" ht="15" thickBot="1">
      <c r="A113" s="1855" t="s">
        <v>1375</v>
      </c>
      <c r="B113" s="1859" t="s">
        <v>1068</v>
      </c>
      <c r="C113" s="1860">
        <v>0.13</v>
      </c>
      <c r="D113" s="1860">
        <v>0.13</v>
      </c>
      <c r="E113" s="1860">
        <v>0.13</v>
      </c>
      <c r="F113" s="1861">
        <v>0.13</v>
      </c>
    </row>
    <row r="114" spans="1:6" ht="15" thickBot="1">
      <c r="A114" s="1855" t="s">
        <v>1375</v>
      </c>
      <c r="B114" s="1859" t="s">
        <v>1082</v>
      </c>
      <c r="C114" s="1860">
        <v>0.123</v>
      </c>
      <c r="D114" s="1860">
        <v>0.123</v>
      </c>
      <c r="E114" s="1860">
        <v>0.12</v>
      </c>
      <c r="F114" s="1861">
        <v>0.13</v>
      </c>
    </row>
    <row r="115" spans="1:6" ht="15" thickBot="1">
      <c r="A115" s="1855" t="s">
        <v>1375</v>
      </c>
      <c r="B115" s="1859" t="s">
        <v>1093</v>
      </c>
      <c r="C115" s="1860">
        <v>0.125</v>
      </c>
      <c r="D115" s="1860">
        <v>0.125</v>
      </c>
      <c r="E115" s="1860">
        <v>0.11700000000000001</v>
      </c>
      <c r="F115" s="1861">
        <v>0.13</v>
      </c>
    </row>
    <row r="116" spans="1:6" ht="15" thickBot="1">
      <c r="A116" s="1855" t="s">
        <v>1375</v>
      </c>
      <c r="B116" s="1859" t="s">
        <v>1104</v>
      </c>
      <c r="C116" s="1860">
        <v>0.11700000000000001</v>
      </c>
      <c r="D116" s="1860">
        <v>0.11700000000000001</v>
      </c>
      <c r="E116" s="1860">
        <v>8.7999999999999995E-2</v>
      </c>
      <c r="F116" s="1861">
        <v>0.13</v>
      </c>
    </row>
    <row r="117" spans="1:6" ht="15" thickBot="1">
      <c r="A117" s="1855" t="s">
        <v>1375</v>
      </c>
      <c r="B117" s="1859" t="s">
        <v>1115</v>
      </c>
      <c r="C117" s="1860">
        <v>0.13</v>
      </c>
      <c r="D117" s="1860">
        <v>0.13</v>
      </c>
      <c r="E117" s="1860">
        <v>0.129</v>
      </c>
      <c r="F117" s="1861">
        <v>0.13</v>
      </c>
    </row>
    <row r="118" spans="1:6" ht="15" thickBot="1">
      <c r="A118" s="1855" t="s">
        <v>1375</v>
      </c>
      <c r="B118" s="1859" t="s">
        <v>1127</v>
      </c>
      <c r="C118" s="1860">
        <v>0.123</v>
      </c>
      <c r="D118" s="1860">
        <v>0.123</v>
      </c>
      <c r="E118" s="1860">
        <v>0.11600000000000001</v>
      </c>
      <c r="F118" s="1861">
        <v>0.13</v>
      </c>
    </row>
    <row r="119" spans="1:6" ht="15" thickBot="1">
      <c r="A119" s="1855" t="s">
        <v>1375</v>
      </c>
      <c r="B119" s="1859" t="s">
        <v>1137</v>
      </c>
      <c r="C119" s="1860">
        <v>0.127</v>
      </c>
      <c r="D119" s="1860">
        <v>0.127</v>
      </c>
      <c r="E119" s="1860">
        <v>0.124</v>
      </c>
      <c r="F119" s="1861">
        <v>0.13</v>
      </c>
    </row>
    <row r="120" spans="1:6" ht="15" thickBot="1">
      <c r="A120" s="1855" t="s">
        <v>1375</v>
      </c>
      <c r="B120" s="1859" t="s">
        <v>1147</v>
      </c>
      <c r="C120" s="1860">
        <v>0.125</v>
      </c>
      <c r="D120" s="1860">
        <v>0.125</v>
      </c>
      <c r="E120" s="1860">
        <v>0.122</v>
      </c>
      <c r="F120" s="1861">
        <v>0.13</v>
      </c>
    </row>
    <row r="121" spans="1:6" ht="15" thickBot="1">
      <c r="A121" s="1855" t="s">
        <v>1375</v>
      </c>
      <c r="B121" s="1859" t="s">
        <v>1157</v>
      </c>
      <c r="C121" s="1860">
        <v>0.13</v>
      </c>
      <c r="D121" s="1860">
        <v>0.13</v>
      </c>
      <c r="E121" s="1860">
        <v>0.13</v>
      </c>
      <c r="F121" s="1861">
        <v>0.13</v>
      </c>
    </row>
    <row r="122" spans="1:6" ht="15" thickBot="1">
      <c r="A122" s="1855" t="s">
        <v>1375</v>
      </c>
      <c r="B122" s="1859" t="s">
        <v>1167</v>
      </c>
      <c r="C122" s="1860">
        <v>0.13</v>
      </c>
      <c r="D122" s="1860">
        <v>0.13</v>
      </c>
      <c r="E122" s="1860">
        <v>0.125</v>
      </c>
      <c r="F122" s="1861">
        <v>0.13</v>
      </c>
    </row>
    <row r="123" spans="1:6" ht="15" thickBot="1">
      <c r="A123" s="1855" t="s">
        <v>1375</v>
      </c>
      <c r="B123" s="1859" t="s">
        <v>1177</v>
      </c>
      <c r="C123" s="1860">
        <v>0.129</v>
      </c>
      <c r="D123" s="1860">
        <v>0.129</v>
      </c>
      <c r="E123" s="1860">
        <v>0.123</v>
      </c>
      <c r="F123" s="1861">
        <v>0.13</v>
      </c>
    </row>
    <row r="124" spans="1:6" ht="15" thickBot="1">
      <c r="A124" s="1855" t="s">
        <v>1375</v>
      </c>
      <c r="B124" s="1859" t="s">
        <v>1187</v>
      </c>
      <c r="C124" s="1860">
        <v>0.10199999999999999</v>
      </c>
      <c r="D124" s="1860">
        <v>0.10100000000000001</v>
      </c>
      <c r="E124" s="1860">
        <v>0.08</v>
      </c>
      <c r="F124" s="1868"/>
    </row>
    <row r="125" spans="1:6" ht="15" thickBot="1">
      <c r="A125" s="1855" t="s">
        <v>1375</v>
      </c>
      <c r="B125" s="1859" t="s">
        <v>1197</v>
      </c>
      <c r="C125" s="1860">
        <v>0.13</v>
      </c>
      <c r="D125" s="1860">
        <v>0.13</v>
      </c>
      <c r="E125" s="1860">
        <v>0.129</v>
      </c>
      <c r="F125" s="1868"/>
    </row>
    <row r="126" spans="1:6" ht="15" thickBot="1">
      <c r="A126" s="1855" t="s">
        <v>1375</v>
      </c>
      <c r="B126" s="1859" t="s">
        <v>1207</v>
      </c>
      <c r="C126" s="1860">
        <v>0.13</v>
      </c>
      <c r="D126" s="1860">
        <v>0.13</v>
      </c>
      <c r="E126" s="1860">
        <v>0.126</v>
      </c>
      <c r="F126" s="1868"/>
    </row>
    <row r="127" spans="1:6" ht="15" thickBot="1">
      <c r="A127" s="1855" t="s">
        <v>1375</v>
      </c>
      <c r="B127" s="1859" t="s">
        <v>1217</v>
      </c>
      <c r="C127" s="1860">
        <v>0.125</v>
      </c>
      <c r="D127" s="1860">
        <v>0.125</v>
      </c>
      <c r="E127" s="1860">
        <v>0.121</v>
      </c>
      <c r="F127" s="1868"/>
    </row>
    <row r="128" spans="1:6" ht="15" thickBot="1">
      <c r="A128" s="1855" t="s">
        <v>1375</v>
      </c>
      <c r="B128" s="1859" t="s">
        <v>1227</v>
      </c>
      <c r="C128" s="1860">
        <v>0.12</v>
      </c>
      <c r="D128" s="1860">
        <v>0.12</v>
      </c>
      <c r="E128" s="1860">
        <v>0.105</v>
      </c>
      <c r="F128" s="1868"/>
    </row>
    <row r="129" spans="1:6" ht="15" thickBot="1">
      <c r="A129" s="1855" t="s">
        <v>1375</v>
      </c>
      <c r="B129" s="1859" t="s">
        <v>1236</v>
      </c>
      <c r="C129" s="1860">
        <v>0.13</v>
      </c>
      <c r="D129" s="1860">
        <v>0.13</v>
      </c>
      <c r="E129" s="1860">
        <v>0.126</v>
      </c>
      <c r="F129" s="1868"/>
    </row>
    <row r="130" spans="1:6" ht="15" thickBot="1">
      <c r="A130" s="1855" t="s">
        <v>1375</v>
      </c>
      <c r="B130" s="1859" t="s">
        <v>1245</v>
      </c>
      <c r="C130" s="1860">
        <v>0.125</v>
      </c>
      <c r="D130" s="1860">
        <v>0.125</v>
      </c>
      <c r="E130" s="1860">
        <v>0.122</v>
      </c>
      <c r="F130" s="1868"/>
    </row>
    <row r="131" spans="1:6" ht="15" thickBot="1">
      <c r="A131" s="1855" t="s">
        <v>1375</v>
      </c>
      <c r="B131" s="1859" t="s">
        <v>1253</v>
      </c>
      <c r="C131" s="1860">
        <v>0.127</v>
      </c>
      <c r="D131" s="1860">
        <v>0.126</v>
      </c>
      <c r="E131" s="1860">
        <v>0.123</v>
      </c>
      <c r="F131" s="1868"/>
    </row>
    <row r="132" spans="1:6" ht="15" thickBot="1">
      <c r="A132" s="1855" t="s">
        <v>1375</v>
      </c>
      <c r="B132" s="1859" t="s">
        <v>1260</v>
      </c>
      <c r="C132" s="1860">
        <v>9.0999999999999998E-2</v>
      </c>
      <c r="D132" s="1860">
        <v>0.121</v>
      </c>
      <c r="E132" s="1860">
        <v>9.9000000000000005E-2</v>
      </c>
      <c r="F132" s="1868"/>
    </row>
    <row r="133" spans="1:6" ht="15" thickBot="1">
      <c r="A133" s="1855" t="s">
        <v>1375</v>
      </c>
      <c r="B133" s="1859" t="s">
        <v>1267</v>
      </c>
      <c r="C133" s="1860">
        <v>0.13</v>
      </c>
      <c r="D133" s="1860">
        <v>0.13</v>
      </c>
      <c r="E133" s="1860">
        <v>0.129</v>
      </c>
      <c r="F133" s="1868"/>
    </row>
    <row r="134" spans="1:6" ht="15" thickBot="1">
      <c r="A134" s="1855" t="s">
        <v>1375</v>
      </c>
      <c r="B134" s="1859" t="s">
        <v>2069</v>
      </c>
      <c r="C134" s="1860">
        <v>6.8000000000000005E-2</v>
      </c>
      <c r="D134" s="1860">
        <v>6.5000000000000002E-2</v>
      </c>
      <c r="E134" s="1860">
        <v>6.5000000000000002E-2</v>
      </c>
      <c r="F134" s="1861">
        <v>0.13</v>
      </c>
    </row>
    <row r="135" spans="1:6" ht="15" thickBot="1">
      <c r="A135" s="1855" t="s">
        <v>1375</v>
      </c>
      <c r="B135" s="1859" t="s">
        <v>1281</v>
      </c>
      <c r="C135" s="1860">
        <v>0.123</v>
      </c>
      <c r="D135" s="1860">
        <v>0.123</v>
      </c>
      <c r="E135" s="1860">
        <v>0.11</v>
      </c>
      <c r="F135" s="1868"/>
    </row>
    <row r="136" spans="1:6" ht="15" thickBot="1">
      <c r="A136" s="1855" t="s">
        <v>1375</v>
      </c>
      <c r="B136" s="1859" t="s">
        <v>1288</v>
      </c>
      <c r="C136" s="1860">
        <v>0.13</v>
      </c>
      <c r="D136" s="1860">
        <v>0.13</v>
      </c>
      <c r="E136" s="1860">
        <v>0.125</v>
      </c>
      <c r="F136" s="1868"/>
    </row>
    <row r="137" spans="1:6" ht="15" thickBot="1">
      <c r="A137" s="1855" t="s">
        <v>1375</v>
      </c>
      <c r="B137" s="1859" t="s">
        <v>1295</v>
      </c>
      <c r="C137" s="1860">
        <v>0.121</v>
      </c>
      <c r="D137" s="1860">
        <v>0.122</v>
      </c>
      <c r="E137" s="1860">
        <v>0.115</v>
      </c>
      <c r="F137" s="1868"/>
    </row>
    <row r="138" spans="1:6" ht="15" thickBot="1">
      <c r="A138" s="1855" t="s">
        <v>1375</v>
      </c>
      <c r="B138" s="1859" t="s">
        <v>2070</v>
      </c>
      <c r="C138" s="1860">
        <v>0.105</v>
      </c>
      <c r="D138" s="1860">
        <v>0.125</v>
      </c>
      <c r="E138" s="1860">
        <v>0.112</v>
      </c>
      <c r="F138" s="1868"/>
    </row>
    <row r="139" spans="1:6" ht="15" thickBot="1">
      <c r="A139" s="1855" t="s">
        <v>1375</v>
      </c>
      <c r="B139" s="1859" t="s">
        <v>2071</v>
      </c>
      <c r="C139" s="1860">
        <v>0.127</v>
      </c>
      <c r="D139" s="1860">
        <v>0.127</v>
      </c>
      <c r="E139" s="1860">
        <v>0.122</v>
      </c>
      <c r="F139" s="1861">
        <v>0.13</v>
      </c>
    </row>
    <row r="140" spans="1:6" ht="15" thickBot="1">
      <c r="A140" s="1855" t="s">
        <v>1375</v>
      </c>
      <c r="B140" s="1859" t="s">
        <v>2072</v>
      </c>
      <c r="C140" s="1860">
        <v>0.125</v>
      </c>
      <c r="D140" s="1860">
        <v>0.125</v>
      </c>
      <c r="E140" s="1860">
        <v>0.11899999999999999</v>
      </c>
      <c r="F140" s="1861">
        <v>0.13</v>
      </c>
    </row>
    <row r="141" spans="1:6" ht="15" thickBot="1">
      <c r="A141" s="1855" t="s">
        <v>1375</v>
      </c>
      <c r="B141" s="1859" t="s">
        <v>1314</v>
      </c>
      <c r="C141" s="1860">
        <v>0.125</v>
      </c>
      <c r="D141" s="1860">
        <v>0.125</v>
      </c>
      <c r="E141" s="1860">
        <v>0.11700000000000001</v>
      </c>
      <c r="F141" s="1868"/>
    </row>
    <row r="142" spans="1:6" ht="15" thickBot="1">
      <c r="A142" s="1855" t="s">
        <v>1375</v>
      </c>
      <c r="B142" s="1859" t="s">
        <v>1319</v>
      </c>
      <c r="C142" s="1860">
        <v>0.125</v>
      </c>
      <c r="D142" s="1860">
        <v>0.125</v>
      </c>
      <c r="E142" s="1860">
        <v>0.115</v>
      </c>
      <c r="F142" s="1868"/>
    </row>
    <row r="143" spans="1:6" ht="15" thickBot="1">
      <c r="A143" s="1855" t="s">
        <v>1375</v>
      </c>
      <c r="B143" s="1859" t="s">
        <v>1324</v>
      </c>
      <c r="C143" s="1860">
        <v>0.121</v>
      </c>
      <c r="D143" s="1860">
        <v>0.121</v>
      </c>
      <c r="E143" s="1860">
        <v>0.108</v>
      </c>
      <c r="F143" s="1868"/>
    </row>
    <row r="144" spans="1:6" ht="15" thickBot="1">
      <c r="A144" s="1855" t="s">
        <v>1375</v>
      </c>
      <c r="B144" s="1872" t="s">
        <v>2073</v>
      </c>
      <c r="C144" s="1873">
        <v>0.126</v>
      </c>
      <c r="D144" s="1873">
        <v>0.126</v>
      </c>
      <c r="E144" s="1873">
        <v>0.121</v>
      </c>
      <c r="F144" s="1868"/>
    </row>
    <row r="145" spans="1:6" ht="15" thickBot="1">
      <c r="A145" s="1863" t="s">
        <v>1375</v>
      </c>
      <c r="B145" s="1874" t="s">
        <v>2074</v>
      </c>
      <c r="C145" s="1875"/>
      <c r="D145" s="1875"/>
      <c r="E145" s="1875"/>
      <c r="F145" s="1876">
        <v>0.05</v>
      </c>
    </row>
    <row r="146" spans="1:6" ht="24.6" thickBot="1">
      <c r="A146" s="1877" t="s">
        <v>1375</v>
      </c>
      <c r="B146" s="1862" t="s">
        <v>2075</v>
      </c>
      <c r="C146" s="1869"/>
      <c r="D146" s="1869"/>
      <c r="E146" s="1869"/>
      <c r="F146" s="1878">
        <v>0.05</v>
      </c>
    </row>
    <row r="147" spans="1:6" ht="24.6" thickBot="1">
      <c r="A147" s="1855" t="s">
        <v>1375</v>
      </c>
      <c r="B147" s="1859" t="s">
        <v>2076</v>
      </c>
      <c r="C147" s="1869"/>
      <c r="D147" s="1869"/>
      <c r="E147" s="1869"/>
      <c r="F147" s="1861">
        <v>0.05</v>
      </c>
    </row>
    <row r="148" spans="1:6" ht="24.6" thickBot="1">
      <c r="A148" s="1855" t="s">
        <v>1375</v>
      </c>
      <c r="B148" s="1859" t="s">
        <v>2077</v>
      </c>
      <c r="C148" s="1869"/>
      <c r="D148" s="1869"/>
      <c r="E148" s="1869"/>
      <c r="F148" s="1861">
        <v>0.05</v>
      </c>
    </row>
    <row r="149" spans="1:6" ht="24.6" thickBot="1">
      <c r="A149" s="1855" t="s">
        <v>1375</v>
      </c>
      <c r="B149" s="1859" t="s">
        <v>2078</v>
      </c>
      <c r="C149" s="1869"/>
      <c r="D149" s="1869"/>
      <c r="E149" s="1869"/>
      <c r="F149" s="1861">
        <v>0.05</v>
      </c>
    </row>
    <row r="150" spans="1:6" ht="24.6" thickBot="1">
      <c r="A150" s="1855" t="s">
        <v>1375</v>
      </c>
      <c r="B150" s="1859" t="s">
        <v>2079</v>
      </c>
      <c r="C150" s="1869"/>
      <c r="D150" s="1869"/>
      <c r="E150" s="1869"/>
      <c r="F150" s="1861">
        <v>0.05</v>
      </c>
    </row>
    <row r="151" spans="1:6" ht="24.6" thickBot="1">
      <c r="A151" s="1855" t="s">
        <v>1375</v>
      </c>
      <c r="B151" s="1859" t="s">
        <v>2080</v>
      </c>
      <c r="C151" s="1869"/>
      <c r="D151" s="1869"/>
      <c r="E151" s="1869"/>
      <c r="F151" s="1861">
        <v>0.05</v>
      </c>
    </row>
    <row r="152" spans="1:6" ht="24.6" thickBot="1">
      <c r="A152" s="1855" t="s">
        <v>1375</v>
      </c>
      <c r="B152" s="1859" t="s">
        <v>1357</v>
      </c>
      <c r="C152" s="1869"/>
      <c r="D152" s="1869"/>
      <c r="E152" s="1869"/>
      <c r="F152" s="1861">
        <v>0.05</v>
      </c>
    </row>
    <row r="153" spans="1:6" ht="15" thickBot="1">
      <c r="A153" s="1855" t="s">
        <v>1375</v>
      </c>
      <c r="B153" s="1859" t="s">
        <v>2081</v>
      </c>
      <c r="C153" s="1869"/>
      <c r="D153" s="1869"/>
      <c r="E153" s="1869"/>
      <c r="F153" s="1861">
        <v>0.05</v>
      </c>
    </row>
    <row r="154" spans="1:6" ht="15" thickBot="1">
      <c r="A154" s="1855" t="s">
        <v>1375</v>
      </c>
      <c r="B154" s="1859" t="s">
        <v>2082</v>
      </c>
      <c r="C154" s="1869"/>
      <c r="D154" s="1869"/>
      <c r="E154" s="1869"/>
      <c r="F154" s="1861">
        <v>0.05</v>
      </c>
    </row>
    <row r="155" spans="1:6" ht="24.6" thickBot="1">
      <c r="A155" s="1855" t="s">
        <v>1375</v>
      </c>
      <c r="B155" s="1859" t="s">
        <v>2083</v>
      </c>
      <c r="C155" s="1869"/>
      <c r="D155" s="1869"/>
      <c r="E155" s="1869"/>
      <c r="F155" s="1861">
        <v>0.05</v>
      </c>
    </row>
    <row r="156" spans="1:6" ht="24.6" thickBot="1">
      <c r="A156" s="1855" t="s">
        <v>1375</v>
      </c>
      <c r="B156" s="1859" t="s">
        <v>2084</v>
      </c>
      <c r="C156" s="1869"/>
      <c r="D156" s="1869"/>
      <c r="E156" s="1869"/>
      <c r="F156" s="1861">
        <v>0.05</v>
      </c>
    </row>
    <row r="157" spans="1:6" ht="24.6" thickBot="1">
      <c r="A157" s="1863" t="s">
        <v>1375</v>
      </c>
      <c r="B157" s="1870" t="s">
        <v>2085</v>
      </c>
      <c r="C157" s="1866"/>
      <c r="D157" s="1866"/>
      <c r="E157" s="1866"/>
      <c r="F157" s="1871">
        <v>0.05</v>
      </c>
    </row>
    <row r="158" spans="1:6" ht="15" thickBot="1">
      <c r="A158" s="1855" t="s">
        <v>1377</v>
      </c>
      <c r="B158" s="1856" t="s">
        <v>2086</v>
      </c>
      <c r="C158" s="1857">
        <v>0.13</v>
      </c>
      <c r="D158" s="1857">
        <v>0.13</v>
      </c>
      <c r="E158" s="1857">
        <v>0.13</v>
      </c>
      <c r="F158" s="1858">
        <v>0.13</v>
      </c>
    </row>
    <row r="159" spans="1:6" ht="15" thickBot="1">
      <c r="A159" s="1855" t="s">
        <v>1377</v>
      </c>
      <c r="B159" s="1859" t="s">
        <v>1042</v>
      </c>
      <c r="C159" s="1860">
        <v>0.13</v>
      </c>
      <c r="D159" s="1860">
        <v>0.13</v>
      </c>
      <c r="E159" s="1860">
        <v>0.13</v>
      </c>
      <c r="F159" s="1861">
        <v>0.13</v>
      </c>
    </row>
    <row r="160" spans="1:6" ht="15" thickBot="1">
      <c r="A160" s="1855" t="s">
        <v>1377</v>
      </c>
      <c r="B160" s="1859" t="s">
        <v>1056</v>
      </c>
      <c r="C160" s="1860">
        <v>0.13</v>
      </c>
      <c r="D160" s="1860">
        <v>0.13</v>
      </c>
      <c r="E160" s="1860">
        <v>0.129</v>
      </c>
      <c r="F160" s="1861">
        <v>0.13</v>
      </c>
    </row>
    <row r="161" spans="1:6" ht="15" thickBot="1">
      <c r="A161" s="1855" t="s">
        <v>1377</v>
      </c>
      <c r="B161" s="1859" t="s">
        <v>1069</v>
      </c>
      <c r="C161" s="1860">
        <v>0.128</v>
      </c>
      <c r="D161" s="1860">
        <v>0.128</v>
      </c>
      <c r="E161" s="1860">
        <v>0.125</v>
      </c>
      <c r="F161" s="1861">
        <v>0.13</v>
      </c>
    </row>
    <row r="162" spans="1:6" ht="15" thickBot="1">
      <c r="A162" s="1855" t="s">
        <v>1377</v>
      </c>
      <c r="B162" s="1859" t="s">
        <v>1083</v>
      </c>
      <c r="C162" s="1860">
        <v>0.122</v>
      </c>
      <c r="D162" s="1860">
        <v>0.122</v>
      </c>
      <c r="E162" s="1860">
        <v>0.126</v>
      </c>
      <c r="F162" s="1861">
        <v>0.122</v>
      </c>
    </row>
    <row r="163" spans="1:6" ht="15" thickBot="1">
      <c r="A163" s="1855" t="s">
        <v>1377</v>
      </c>
      <c r="B163" s="1859" t="s">
        <v>1094</v>
      </c>
      <c r="C163" s="1860">
        <v>0.13</v>
      </c>
      <c r="D163" s="1860">
        <v>0.13</v>
      </c>
      <c r="E163" s="1860">
        <v>0.125</v>
      </c>
      <c r="F163" s="1861">
        <v>0.13</v>
      </c>
    </row>
    <row r="164" spans="1:6" ht="15" thickBot="1">
      <c r="A164" s="1855" t="s">
        <v>1377</v>
      </c>
      <c r="B164" s="1859" t="s">
        <v>1105</v>
      </c>
      <c r="C164" s="1860">
        <v>0.13</v>
      </c>
      <c r="D164" s="1860">
        <v>0.13</v>
      </c>
      <c r="E164" s="1860">
        <v>0.13</v>
      </c>
      <c r="F164" s="1861">
        <v>0.13</v>
      </c>
    </row>
    <row r="165" spans="1:6" ht="15" thickBot="1">
      <c r="A165" s="1855" t="s">
        <v>1377</v>
      </c>
      <c r="B165" s="1859" t="s">
        <v>1116</v>
      </c>
      <c r="C165" s="1860">
        <v>0.13</v>
      </c>
      <c r="D165" s="1860">
        <v>0.13</v>
      </c>
      <c r="E165" s="1860">
        <v>0.124</v>
      </c>
      <c r="F165" s="1861">
        <v>0.13</v>
      </c>
    </row>
    <row r="166" spans="1:6" ht="15" thickBot="1">
      <c r="A166" s="1855" t="s">
        <v>1377</v>
      </c>
      <c r="B166" s="1859" t="s">
        <v>1128</v>
      </c>
      <c r="C166" s="1860">
        <v>0.13</v>
      </c>
      <c r="D166" s="1860">
        <v>0.13</v>
      </c>
      <c r="E166" s="1860">
        <v>0.13</v>
      </c>
      <c r="F166" s="1861">
        <v>0.13</v>
      </c>
    </row>
    <row r="167" spans="1:6" ht="15" thickBot="1">
      <c r="A167" s="1855" t="s">
        <v>1377</v>
      </c>
      <c r="B167" s="1859" t="s">
        <v>1138</v>
      </c>
      <c r="C167" s="1860">
        <v>0.125</v>
      </c>
      <c r="D167" s="1860">
        <v>0.125</v>
      </c>
      <c r="E167" s="1860">
        <v>0.121</v>
      </c>
      <c r="F167" s="1868"/>
    </row>
    <row r="168" spans="1:6" ht="15" thickBot="1">
      <c r="A168" s="1855" t="s">
        <v>1377</v>
      </c>
      <c r="B168" s="1859" t="s">
        <v>1148</v>
      </c>
      <c r="C168" s="1860">
        <v>0.13</v>
      </c>
      <c r="D168" s="1860">
        <v>0.13</v>
      </c>
      <c r="E168" s="1860">
        <v>0.126</v>
      </c>
      <c r="F168" s="1868"/>
    </row>
    <row r="169" spans="1:6" ht="15" thickBot="1">
      <c r="A169" s="1855" t="s">
        <v>1377</v>
      </c>
      <c r="B169" s="1859" t="s">
        <v>1158</v>
      </c>
      <c r="C169" s="1860">
        <v>0.128</v>
      </c>
      <c r="D169" s="1860">
        <v>0.129</v>
      </c>
      <c r="E169" s="1860">
        <v>0.13</v>
      </c>
      <c r="F169" s="1868"/>
    </row>
    <row r="170" spans="1:6" ht="15" thickBot="1">
      <c r="A170" s="1855" t="s">
        <v>1377</v>
      </c>
      <c r="B170" s="1859" t="s">
        <v>1168</v>
      </c>
      <c r="C170" s="1860">
        <v>0.14099999999999999</v>
      </c>
      <c r="D170" s="1860">
        <v>0.13</v>
      </c>
      <c r="E170" s="1860">
        <v>0.125</v>
      </c>
      <c r="F170" s="1868"/>
    </row>
    <row r="171" spans="1:6" ht="15" thickBot="1">
      <c r="A171" s="1855" t="s">
        <v>1377</v>
      </c>
      <c r="B171" s="1859" t="s">
        <v>2087</v>
      </c>
      <c r="C171" s="1860">
        <v>0.127</v>
      </c>
      <c r="D171" s="1860">
        <v>0.126</v>
      </c>
      <c r="E171" s="1860">
        <v>0.126</v>
      </c>
      <c r="F171" s="1861">
        <v>0.11799999999999999</v>
      </c>
    </row>
    <row r="172" spans="1:6" ht="15" thickBot="1">
      <c r="A172" s="1855" t="s">
        <v>1377</v>
      </c>
      <c r="B172" s="1859" t="s">
        <v>2088</v>
      </c>
      <c r="C172" s="1860">
        <v>0.13</v>
      </c>
      <c r="D172" s="1860">
        <v>0.13</v>
      </c>
      <c r="E172" s="1860">
        <v>0.13</v>
      </c>
      <c r="F172" s="1868"/>
    </row>
    <row r="173" spans="1:6" ht="15" thickBot="1">
      <c r="A173" s="1855" t="s">
        <v>1377</v>
      </c>
      <c r="B173" s="1859" t="s">
        <v>1198</v>
      </c>
      <c r="C173" s="1860">
        <v>0.13</v>
      </c>
      <c r="D173" s="1860">
        <v>0.13</v>
      </c>
      <c r="E173" s="1860">
        <v>0.13</v>
      </c>
      <c r="F173" s="1868"/>
    </row>
    <row r="174" spans="1:6" ht="15" thickBot="1">
      <c r="A174" s="1855" t="s">
        <v>1377</v>
      </c>
      <c r="B174" s="1859" t="s">
        <v>2089</v>
      </c>
      <c r="C174" s="1860">
        <v>0.13</v>
      </c>
      <c r="D174" s="1860">
        <v>0.13</v>
      </c>
      <c r="E174" s="1860">
        <v>0.13</v>
      </c>
      <c r="F174" s="1861">
        <v>0.13</v>
      </c>
    </row>
    <row r="175" spans="1:6" ht="15" thickBot="1">
      <c r="A175" s="1855" t="s">
        <v>1377</v>
      </c>
      <c r="B175" s="1859" t="s">
        <v>2090</v>
      </c>
      <c r="C175" s="1860">
        <v>0.13</v>
      </c>
      <c r="D175" s="1860">
        <v>0.13</v>
      </c>
      <c r="E175" s="1860">
        <v>0.13</v>
      </c>
      <c r="F175" s="1861">
        <v>0.13</v>
      </c>
    </row>
    <row r="176" spans="1:6" ht="15" thickBot="1">
      <c r="A176" s="1855" t="s">
        <v>1377</v>
      </c>
      <c r="B176" s="1859" t="s">
        <v>1228</v>
      </c>
      <c r="C176" s="1860">
        <v>0.13</v>
      </c>
      <c r="D176" s="1860">
        <v>0.13</v>
      </c>
      <c r="E176" s="1860">
        <v>0.13</v>
      </c>
      <c r="F176" s="1861">
        <v>0.13</v>
      </c>
    </row>
    <row r="177" spans="1:6" ht="15" thickBot="1">
      <c r="A177" s="1855" t="s">
        <v>1377</v>
      </c>
      <c r="B177" s="1859" t="s">
        <v>2091</v>
      </c>
      <c r="C177" s="1860">
        <v>0.13</v>
      </c>
      <c r="D177" s="1860">
        <v>0.13</v>
      </c>
      <c r="E177" s="1860">
        <v>0.13</v>
      </c>
      <c r="F177" s="1861">
        <v>0.13</v>
      </c>
    </row>
    <row r="178" spans="1:6" ht="15" thickBot="1">
      <c r="A178" s="1855" t="s">
        <v>1377</v>
      </c>
      <c r="B178" s="1859" t="s">
        <v>1246</v>
      </c>
      <c r="C178" s="1860">
        <v>0.13</v>
      </c>
      <c r="D178" s="1860">
        <v>0.13</v>
      </c>
      <c r="E178" s="1860">
        <v>0.13</v>
      </c>
      <c r="F178" s="1861">
        <v>0.127</v>
      </c>
    </row>
    <row r="179" spans="1:6" ht="15" thickBot="1">
      <c r="A179" s="1855" t="s">
        <v>1377</v>
      </c>
      <c r="B179" s="1859" t="s">
        <v>1254</v>
      </c>
      <c r="C179" s="1860">
        <v>0.13</v>
      </c>
      <c r="D179" s="1860">
        <v>0.13</v>
      </c>
      <c r="E179" s="1860">
        <v>0.13</v>
      </c>
      <c r="F179" s="1868"/>
    </row>
    <row r="180" spans="1:6" ht="15" thickBot="1">
      <c r="A180" s="1855" t="s">
        <v>1377</v>
      </c>
      <c r="B180" s="1859" t="s">
        <v>2092</v>
      </c>
      <c r="C180" s="1860">
        <v>0.13</v>
      </c>
      <c r="D180" s="1860">
        <v>0.13</v>
      </c>
      <c r="E180" s="1860">
        <v>0.125</v>
      </c>
      <c r="F180" s="1861">
        <v>0.13</v>
      </c>
    </row>
    <row r="181" spans="1:6" ht="15" thickBot="1">
      <c r="A181" s="1855" t="s">
        <v>1377</v>
      </c>
      <c r="B181" s="1859" t="s">
        <v>1268</v>
      </c>
      <c r="C181" s="1860">
        <v>0.122</v>
      </c>
      <c r="D181" s="1860">
        <v>0.123</v>
      </c>
      <c r="E181" s="1860">
        <v>0.126</v>
      </c>
      <c r="F181" s="1861">
        <v>0.121</v>
      </c>
    </row>
    <row r="182" spans="1:6" ht="15" thickBot="1">
      <c r="A182" s="1855" t="s">
        <v>1377</v>
      </c>
      <c r="B182" s="1859" t="s">
        <v>1275</v>
      </c>
      <c r="C182" s="1860">
        <v>0.125</v>
      </c>
      <c r="D182" s="1860">
        <v>0.125</v>
      </c>
      <c r="E182" s="1860">
        <v>0.11700000000000001</v>
      </c>
      <c r="F182" s="1861">
        <v>0.13</v>
      </c>
    </row>
    <row r="183" spans="1:6" ht="15" thickBot="1">
      <c r="A183" s="1855" t="s">
        <v>1377</v>
      </c>
      <c r="B183" s="1859" t="s">
        <v>1282</v>
      </c>
      <c r="C183" s="1860">
        <v>0.127</v>
      </c>
      <c r="D183" s="1860">
        <v>0.127</v>
      </c>
      <c r="E183" s="1860">
        <v>0.128</v>
      </c>
      <c r="F183" s="1868"/>
    </row>
    <row r="184" spans="1:6" ht="15" thickBot="1">
      <c r="A184" s="1855" t="s">
        <v>1377</v>
      </c>
      <c r="B184" s="1859" t="s">
        <v>1289</v>
      </c>
      <c r="C184" s="1860">
        <v>0.125</v>
      </c>
      <c r="D184" s="1860">
        <v>0.125</v>
      </c>
      <c r="E184" s="1860">
        <v>0.127</v>
      </c>
      <c r="F184" s="1868"/>
    </row>
    <row r="185" spans="1:6" ht="15" thickBot="1">
      <c r="A185" s="1855" t="s">
        <v>1377</v>
      </c>
      <c r="B185" s="1859" t="s">
        <v>2093</v>
      </c>
      <c r="C185" s="1860">
        <v>0.127</v>
      </c>
      <c r="D185" s="1860">
        <v>0.127</v>
      </c>
      <c r="E185" s="1860">
        <v>0.128</v>
      </c>
      <c r="F185" s="1861">
        <v>0.13</v>
      </c>
    </row>
    <row r="186" spans="1:6" ht="24.6" thickBot="1">
      <c r="A186" s="1855" t="s">
        <v>1377</v>
      </c>
      <c r="B186" s="1859" t="s">
        <v>2094</v>
      </c>
      <c r="C186" s="1869"/>
      <c r="D186" s="1869"/>
      <c r="E186" s="1869"/>
      <c r="F186" s="1861">
        <v>0.05</v>
      </c>
    </row>
    <row r="187" spans="1:6" ht="15" thickBot="1">
      <c r="A187" s="1855" t="s">
        <v>1377</v>
      </c>
      <c r="B187" s="1859" t="s">
        <v>2095</v>
      </c>
      <c r="C187" s="1869"/>
      <c r="D187" s="1869"/>
      <c r="E187" s="1869"/>
      <c r="F187" s="1861">
        <v>0.05</v>
      </c>
    </row>
    <row r="188" spans="1:6" ht="24.6" thickBot="1">
      <c r="A188" s="1855" t="s">
        <v>1377</v>
      </c>
      <c r="B188" s="1859" t="s">
        <v>2096</v>
      </c>
      <c r="C188" s="1869"/>
      <c r="D188" s="1869"/>
      <c r="E188" s="1869"/>
      <c r="F188" s="1861">
        <v>0.05</v>
      </c>
    </row>
    <row r="189" spans="1:6" ht="24.6" thickBot="1">
      <c r="A189" s="1855" t="s">
        <v>1377</v>
      </c>
      <c r="B189" s="1859" t="s">
        <v>2097</v>
      </c>
      <c r="C189" s="1869"/>
      <c r="D189" s="1869"/>
      <c r="E189" s="1869"/>
      <c r="F189" s="1861">
        <v>0.05</v>
      </c>
    </row>
    <row r="190" spans="1:6" ht="24.6" thickBot="1">
      <c r="A190" s="1855" t="s">
        <v>1377</v>
      </c>
      <c r="B190" s="1859" t="s">
        <v>2098</v>
      </c>
      <c r="C190" s="1869"/>
      <c r="D190" s="1869"/>
      <c r="E190" s="1869"/>
      <c r="F190" s="1861">
        <v>0.05</v>
      </c>
    </row>
    <row r="191" spans="1:6" ht="24.6" thickBot="1">
      <c r="A191" s="1855" t="s">
        <v>1377</v>
      </c>
      <c r="B191" s="1859" t="s">
        <v>2099</v>
      </c>
      <c r="C191" s="1869"/>
      <c r="D191" s="1869"/>
      <c r="E191" s="1869"/>
      <c r="F191" s="1861">
        <v>0.05</v>
      </c>
    </row>
    <row r="192" spans="1:6" ht="24.6" thickBot="1">
      <c r="A192" s="1855" t="s">
        <v>1377</v>
      </c>
      <c r="B192" s="1859" t="s">
        <v>2100</v>
      </c>
      <c r="C192" s="1869"/>
      <c r="D192" s="1869"/>
      <c r="E192" s="1869"/>
      <c r="F192" s="1861">
        <v>0.05</v>
      </c>
    </row>
    <row r="193" spans="1:6" ht="24.6" thickBot="1">
      <c r="A193" s="1855" t="s">
        <v>1377</v>
      </c>
      <c r="B193" s="1859" t="s">
        <v>2101</v>
      </c>
      <c r="C193" s="1869"/>
      <c r="D193" s="1869"/>
      <c r="E193" s="1869"/>
      <c r="F193" s="1861">
        <v>0.05</v>
      </c>
    </row>
    <row r="194" spans="1:6" ht="24.6" thickBot="1">
      <c r="A194" s="1855" t="s">
        <v>1377</v>
      </c>
      <c r="B194" s="1859" t="s">
        <v>2102</v>
      </c>
      <c r="C194" s="1869"/>
      <c r="D194" s="1869"/>
      <c r="E194" s="1869"/>
      <c r="F194" s="1861">
        <v>0.05</v>
      </c>
    </row>
    <row r="195" spans="1:6" ht="15" thickBot="1">
      <c r="A195" s="1855" t="s">
        <v>1377</v>
      </c>
      <c r="B195" s="1859" t="s">
        <v>2103</v>
      </c>
      <c r="C195" s="1869"/>
      <c r="D195" s="1869"/>
      <c r="E195" s="1869"/>
      <c r="F195" s="1861">
        <v>0.05</v>
      </c>
    </row>
    <row r="196" spans="1:6" ht="24.6" thickBot="1">
      <c r="A196" s="1855" t="s">
        <v>1377</v>
      </c>
      <c r="B196" s="1859" t="s">
        <v>2104</v>
      </c>
      <c r="C196" s="1869"/>
      <c r="D196" s="1869"/>
      <c r="E196" s="1869"/>
      <c r="F196" s="1861">
        <v>0.05</v>
      </c>
    </row>
    <row r="197" spans="1:6" ht="24.6" thickBot="1">
      <c r="A197" s="1855" t="s">
        <v>1377</v>
      </c>
      <c r="B197" s="1859" t="s">
        <v>2105</v>
      </c>
      <c r="C197" s="1869"/>
      <c r="D197" s="1869"/>
      <c r="E197" s="1869"/>
      <c r="F197" s="1861">
        <v>0.05</v>
      </c>
    </row>
    <row r="198" spans="1:6" ht="24.6" thickBot="1">
      <c r="A198" s="1855" t="s">
        <v>1377</v>
      </c>
      <c r="B198" s="1859" t="s">
        <v>2106</v>
      </c>
      <c r="C198" s="1869"/>
      <c r="D198" s="1869"/>
      <c r="E198" s="1869"/>
      <c r="F198" s="1861">
        <v>0.05</v>
      </c>
    </row>
    <row r="199" spans="1:6" ht="24.6" thickBot="1">
      <c r="A199" s="1855" t="s">
        <v>1377</v>
      </c>
      <c r="B199" s="1859" t="s">
        <v>2107</v>
      </c>
      <c r="C199" s="1869"/>
      <c r="D199" s="1869"/>
      <c r="E199" s="1869"/>
      <c r="F199" s="1861">
        <v>0.05</v>
      </c>
    </row>
    <row r="200" spans="1:6" ht="24.6" thickBot="1">
      <c r="A200" s="1855" t="s">
        <v>1377</v>
      </c>
      <c r="B200" s="1859" t="s">
        <v>2108</v>
      </c>
      <c r="C200" s="1869"/>
      <c r="D200" s="1869"/>
      <c r="E200" s="1869"/>
      <c r="F200" s="1861">
        <v>0.05</v>
      </c>
    </row>
    <row r="201" spans="1:6" ht="24.6" thickBot="1">
      <c r="A201" s="1855" t="s">
        <v>1377</v>
      </c>
      <c r="B201" s="1859" t="s">
        <v>2109</v>
      </c>
      <c r="C201" s="1869"/>
      <c r="D201" s="1869"/>
      <c r="E201" s="1869"/>
      <c r="F201" s="1861">
        <v>0.05</v>
      </c>
    </row>
    <row r="202" spans="1:6" ht="24.6" thickBot="1">
      <c r="A202" s="1855" t="s">
        <v>1377</v>
      </c>
      <c r="B202" s="1859" t="s">
        <v>2110</v>
      </c>
      <c r="C202" s="1869"/>
      <c r="D202" s="1869"/>
      <c r="E202" s="1869"/>
      <c r="F202" s="1861">
        <v>0.05</v>
      </c>
    </row>
    <row r="203" spans="1:6" ht="24.6" thickBot="1">
      <c r="A203" s="1855" t="s">
        <v>1377</v>
      </c>
      <c r="B203" s="1859" t="s">
        <v>2111</v>
      </c>
      <c r="C203" s="1869"/>
      <c r="D203" s="1869"/>
      <c r="E203" s="1869"/>
      <c r="F203" s="1861">
        <v>0.05</v>
      </c>
    </row>
    <row r="204" spans="1:6" ht="15" thickBot="1">
      <c r="A204" s="1855" t="s">
        <v>1377</v>
      </c>
      <c r="B204" s="1859" t="s">
        <v>2112</v>
      </c>
      <c r="C204" s="1869"/>
      <c r="D204" s="1869"/>
      <c r="E204" s="1869"/>
      <c r="F204" s="1861">
        <v>0.05</v>
      </c>
    </row>
    <row r="205" spans="1:6" ht="15" thickBot="1">
      <c r="A205" s="1863" t="s">
        <v>1377</v>
      </c>
      <c r="B205" s="1870" t="s">
        <v>2113</v>
      </c>
      <c r="C205" s="1866"/>
      <c r="D205" s="1866"/>
      <c r="E205" s="1866"/>
      <c r="F205" s="1871">
        <v>0.05</v>
      </c>
    </row>
    <row r="206" spans="1:6" ht="15" thickBot="1">
      <c r="A206" s="1855" t="s">
        <v>1379</v>
      </c>
      <c r="B206" s="1856" t="s">
        <v>2114</v>
      </c>
      <c r="C206" s="1857">
        <v>0.15</v>
      </c>
      <c r="D206" s="1857">
        <v>0.15</v>
      </c>
      <c r="E206" s="1857">
        <v>0.15</v>
      </c>
      <c r="F206" s="1858">
        <v>0.15</v>
      </c>
    </row>
    <row r="207" spans="1:6" ht="15" thickBot="1">
      <c r="A207" s="1855" t="s">
        <v>1379</v>
      </c>
      <c r="B207" s="1859" t="s">
        <v>1043</v>
      </c>
      <c r="C207" s="1860">
        <v>0.15</v>
      </c>
      <c r="D207" s="1860">
        <v>0.15</v>
      </c>
      <c r="E207" s="1860">
        <v>0.15</v>
      </c>
      <c r="F207" s="1861">
        <v>0.14399999999999999</v>
      </c>
    </row>
    <row r="208" spans="1:6" ht="15" thickBot="1">
      <c r="A208" s="1855" t="s">
        <v>1379</v>
      </c>
      <c r="B208" s="1859" t="s">
        <v>1057</v>
      </c>
      <c r="C208" s="1860">
        <v>0.15</v>
      </c>
      <c r="D208" s="1860">
        <v>0.15</v>
      </c>
      <c r="E208" s="1860">
        <v>0.15</v>
      </c>
      <c r="F208" s="1861">
        <v>0.15</v>
      </c>
    </row>
    <row r="209" spans="1:6" ht="15" thickBot="1">
      <c r="A209" s="1855" t="s">
        <v>1379</v>
      </c>
      <c r="B209" s="1859" t="s">
        <v>1070</v>
      </c>
      <c r="C209" s="1860">
        <v>0.13700000000000001</v>
      </c>
      <c r="D209" s="1860">
        <v>0.13700000000000001</v>
      </c>
      <c r="E209" s="1860">
        <v>0.14000000000000001</v>
      </c>
      <c r="F209" s="1861">
        <v>0.11700000000000001</v>
      </c>
    </row>
    <row r="210" spans="1:6" ht="15" thickBot="1">
      <c r="A210" s="1855" t="s">
        <v>1379</v>
      </c>
      <c r="B210" s="1859" t="s">
        <v>2115</v>
      </c>
      <c r="C210" s="1860">
        <v>0.15</v>
      </c>
      <c r="D210" s="1860">
        <v>0.15</v>
      </c>
      <c r="E210" s="1860">
        <v>0.15</v>
      </c>
      <c r="F210" s="1861">
        <v>0.13800000000000001</v>
      </c>
    </row>
    <row r="211" spans="1:6" ht="15" thickBot="1">
      <c r="A211" s="1855" t="s">
        <v>1379</v>
      </c>
      <c r="B211" s="1859" t="s">
        <v>2116</v>
      </c>
      <c r="C211" s="1860">
        <v>0.13700000000000001</v>
      </c>
      <c r="D211" s="1860">
        <v>0.13500000000000001</v>
      </c>
      <c r="E211" s="1860">
        <v>0.13600000000000001</v>
      </c>
      <c r="F211" s="1861">
        <v>0.1</v>
      </c>
    </row>
    <row r="212" spans="1:6" ht="15" thickBot="1">
      <c r="A212" s="1855" t="s">
        <v>1379</v>
      </c>
      <c r="B212" s="1859" t="s">
        <v>2117</v>
      </c>
      <c r="C212" s="1860">
        <v>0.15</v>
      </c>
      <c r="D212" s="1860">
        <v>0.15</v>
      </c>
      <c r="E212" s="1860">
        <v>0.14799999999999999</v>
      </c>
      <c r="F212" s="1861">
        <v>0.13600000000000001</v>
      </c>
    </row>
    <row r="213" spans="1:6" ht="15" thickBot="1">
      <c r="A213" s="1855" t="s">
        <v>1379</v>
      </c>
      <c r="B213" s="1859" t="s">
        <v>1117</v>
      </c>
      <c r="C213" s="1860">
        <v>0.15</v>
      </c>
      <c r="D213" s="1860">
        <v>0.15</v>
      </c>
      <c r="E213" s="1860">
        <v>0.15</v>
      </c>
      <c r="F213" s="1861">
        <v>0.13800000000000001</v>
      </c>
    </row>
    <row r="214" spans="1:6" ht="15" thickBot="1">
      <c r="A214" s="1855" t="s">
        <v>1379</v>
      </c>
      <c r="B214" s="1859" t="s">
        <v>1129</v>
      </c>
      <c r="C214" s="1860">
        <v>9.0999999999999998E-2</v>
      </c>
      <c r="D214" s="1860">
        <v>0.09</v>
      </c>
      <c r="E214" s="1860">
        <v>9.1999999999999998E-2</v>
      </c>
      <c r="F214" s="1868"/>
    </row>
    <row r="215" spans="1:6" ht="15" thickBot="1">
      <c r="A215" s="1855" t="s">
        <v>1379</v>
      </c>
      <c r="B215" s="1859" t="s">
        <v>2118</v>
      </c>
      <c r="C215" s="1860">
        <v>0.15</v>
      </c>
      <c r="D215" s="1860">
        <v>0.15</v>
      </c>
      <c r="E215" s="1860">
        <v>0.15</v>
      </c>
      <c r="F215" s="1861">
        <v>0.15</v>
      </c>
    </row>
    <row r="216" spans="1:6" ht="15" thickBot="1">
      <c r="A216" s="1855" t="s">
        <v>1379</v>
      </c>
      <c r="B216" s="1859" t="s">
        <v>1149</v>
      </c>
      <c r="C216" s="1860">
        <v>0.14699999999999999</v>
      </c>
      <c r="D216" s="1860">
        <v>0.14699999999999999</v>
      </c>
      <c r="E216" s="1860">
        <v>0.15</v>
      </c>
      <c r="F216" s="1861">
        <v>0.14000000000000001</v>
      </c>
    </row>
    <row r="217" spans="1:6" ht="15" thickBot="1">
      <c r="A217" s="1855" t="s">
        <v>1379</v>
      </c>
      <c r="B217" s="1859" t="s">
        <v>1159</v>
      </c>
      <c r="C217" s="1860">
        <v>0.15</v>
      </c>
      <c r="D217" s="1860">
        <v>0.15</v>
      </c>
      <c r="E217" s="1860">
        <v>0.15</v>
      </c>
      <c r="F217" s="1861">
        <v>0.15</v>
      </c>
    </row>
    <row r="218" spans="1:6" ht="15" thickBot="1">
      <c r="A218" s="1855" t="s">
        <v>1379</v>
      </c>
      <c r="B218" s="1859" t="s">
        <v>2119</v>
      </c>
      <c r="C218" s="1860">
        <v>0.15</v>
      </c>
      <c r="D218" s="1860">
        <v>0.15</v>
      </c>
      <c r="E218" s="1860">
        <v>0.15</v>
      </c>
      <c r="F218" s="1861">
        <v>0.15</v>
      </c>
    </row>
    <row r="219" spans="1:6" ht="15" thickBot="1">
      <c r="A219" s="1855" t="s">
        <v>1379</v>
      </c>
      <c r="B219" s="1859" t="s">
        <v>1179</v>
      </c>
      <c r="C219" s="1860">
        <v>0.15</v>
      </c>
      <c r="D219" s="1860">
        <v>0.15</v>
      </c>
      <c r="E219" s="1860">
        <v>0.15</v>
      </c>
      <c r="F219" s="1861">
        <v>0.14799999999999999</v>
      </c>
    </row>
    <row r="220" spans="1:6" ht="15" thickBot="1">
      <c r="A220" s="1855" t="s">
        <v>1379</v>
      </c>
      <c r="B220" s="1859" t="s">
        <v>2120</v>
      </c>
      <c r="C220" s="1860">
        <v>0.15</v>
      </c>
      <c r="D220" s="1860">
        <v>0.15</v>
      </c>
      <c r="E220" s="1860">
        <v>0.15</v>
      </c>
      <c r="F220" s="1861">
        <v>0.15</v>
      </c>
    </row>
    <row r="221" spans="1:6" ht="15" thickBot="1">
      <c r="A221" s="1855" t="s">
        <v>1379</v>
      </c>
      <c r="B221" s="1859" t="s">
        <v>1199</v>
      </c>
      <c r="C221" s="1860"/>
      <c r="D221" s="1869"/>
      <c r="E221" s="1869"/>
      <c r="F221" s="1861">
        <v>0.14799999999999999</v>
      </c>
    </row>
    <row r="222" spans="1:6" ht="15" thickBot="1">
      <c r="A222" s="1855" t="s">
        <v>1379</v>
      </c>
      <c r="B222" s="1859" t="s">
        <v>1209</v>
      </c>
      <c r="C222" s="1860"/>
      <c r="D222" s="1869"/>
      <c r="E222" s="1869"/>
      <c r="F222" s="1861">
        <v>0.1</v>
      </c>
    </row>
    <row r="223" spans="1:6" ht="15" thickBot="1">
      <c r="A223" s="1855" t="s">
        <v>1379</v>
      </c>
      <c r="B223" s="1859" t="s">
        <v>1219</v>
      </c>
      <c r="C223" s="1860"/>
      <c r="D223" s="1869"/>
      <c r="E223" s="1869"/>
      <c r="F223" s="1861">
        <v>0.15</v>
      </c>
    </row>
    <row r="224" spans="1:6" ht="15" thickBot="1">
      <c r="A224" s="1855" t="s">
        <v>1379</v>
      </c>
      <c r="B224" s="1859" t="s">
        <v>1229</v>
      </c>
      <c r="C224" s="1860"/>
      <c r="D224" s="1869"/>
      <c r="E224" s="1869"/>
      <c r="F224" s="1861">
        <v>0.15</v>
      </c>
    </row>
    <row r="225" spans="1:6" ht="15" thickBot="1">
      <c r="A225" s="1855" t="s">
        <v>1379</v>
      </c>
      <c r="B225" s="1859" t="s">
        <v>2121</v>
      </c>
      <c r="C225" s="1860">
        <v>0.15</v>
      </c>
      <c r="D225" s="1860">
        <v>0.15</v>
      </c>
      <c r="E225" s="1860">
        <v>0.15</v>
      </c>
      <c r="F225" s="1861">
        <v>0.15</v>
      </c>
    </row>
    <row r="226" spans="1:6" ht="15" thickBot="1">
      <c r="A226" s="1855" t="s">
        <v>1379</v>
      </c>
      <c r="B226" s="1859" t="s">
        <v>1247</v>
      </c>
      <c r="C226" s="1860">
        <v>0.15</v>
      </c>
      <c r="D226" s="1860">
        <v>0.15</v>
      </c>
      <c r="E226" s="1860">
        <v>0.15</v>
      </c>
      <c r="F226" s="1861">
        <v>0.14799999999999999</v>
      </c>
    </row>
    <row r="227" spans="1:6" ht="15" thickBot="1">
      <c r="A227" s="1855" t="s">
        <v>1379</v>
      </c>
      <c r="B227" s="1859" t="s">
        <v>2122</v>
      </c>
      <c r="C227" s="1860">
        <v>0.15</v>
      </c>
      <c r="D227" s="1860">
        <v>0.15</v>
      </c>
      <c r="E227" s="1860">
        <v>0.15</v>
      </c>
      <c r="F227" s="1861">
        <v>0.15</v>
      </c>
    </row>
    <row r="228" spans="1:6" ht="15" thickBot="1">
      <c r="A228" s="1855" t="s">
        <v>1379</v>
      </c>
      <c r="B228" s="1859" t="s">
        <v>1262</v>
      </c>
      <c r="C228" s="1860">
        <v>0.15</v>
      </c>
      <c r="D228" s="1860">
        <v>0.15</v>
      </c>
      <c r="E228" s="1860">
        <v>0.15</v>
      </c>
      <c r="F228" s="1861">
        <v>0.15</v>
      </c>
    </row>
    <row r="229" spans="1:6" ht="15" thickBot="1">
      <c r="A229" s="1855" t="s">
        <v>1379</v>
      </c>
      <c r="B229" s="1859" t="s">
        <v>1269</v>
      </c>
      <c r="C229" s="1860">
        <v>0.15</v>
      </c>
      <c r="D229" s="1860">
        <v>0.15</v>
      </c>
      <c r="E229" s="1860">
        <v>0.15</v>
      </c>
      <c r="F229" s="1868"/>
    </row>
    <row r="230" spans="1:6" ht="15" thickBot="1">
      <c r="A230" s="1855" t="s">
        <v>1379</v>
      </c>
      <c r="B230" s="1859" t="s">
        <v>1276</v>
      </c>
      <c r="C230" s="1860">
        <v>0.14499999999999999</v>
      </c>
      <c r="D230" s="1860">
        <v>0.14499999999999999</v>
      </c>
      <c r="E230" s="1860">
        <v>0.14399999999999999</v>
      </c>
      <c r="F230" s="1868"/>
    </row>
    <row r="231" spans="1:6" ht="15" thickBot="1">
      <c r="A231" s="1855" t="s">
        <v>1379</v>
      </c>
      <c r="B231" s="1859" t="s">
        <v>2123</v>
      </c>
      <c r="C231" s="1860">
        <v>0.128</v>
      </c>
      <c r="D231" s="1860">
        <v>0.125</v>
      </c>
      <c r="E231" s="1860">
        <v>0.13200000000000001</v>
      </c>
      <c r="F231" s="1868"/>
    </row>
    <row r="232" spans="1:6" ht="15" thickBot="1">
      <c r="A232" s="1855" t="s">
        <v>1379</v>
      </c>
      <c r="B232" s="1859" t="s">
        <v>2124</v>
      </c>
      <c r="C232" s="1860">
        <v>0.14499999999999999</v>
      </c>
      <c r="D232" s="1860">
        <v>0.14399999999999999</v>
      </c>
      <c r="E232" s="1860">
        <v>0.14599999999999999</v>
      </c>
      <c r="F232" s="1861">
        <v>0.13800000000000001</v>
      </c>
    </row>
    <row r="233" spans="1:6" ht="15" thickBot="1">
      <c r="A233" s="1855" t="s">
        <v>1379</v>
      </c>
      <c r="B233" s="1859" t="s">
        <v>2125</v>
      </c>
      <c r="C233" s="1860">
        <v>0.14499999999999999</v>
      </c>
      <c r="D233" s="1860">
        <v>0.14299999999999999</v>
      </c>
      <c r="E233" s="1860">
        <v>0.14199999999999999</v>
      </c>
      <c r="F233" s="1868"/>
    </row>
    <row r="234" spans="1:6" ht="15" thickBot="1">
      <c r="A234" s="1855" t="s">
        <v>1379</v>
      </c>
      <c r="B234" s="1859" t="s">
        <v>2126</v>
      </c>
      <c r="C234" s="1860">
        <v>0.14000000000000001</v>
      </c>
      <c r="D234" s="1860">
        <v>0.14000000000000001</v>
      </c>
      <c r="E234" s="1860">
        <v>0.14399999999999999</v>
      </c>
      <c r="F234" s="1868"/>
    </row>
    <row r="235" spans="1:6" ht="15" thickBot="1">
      <c r="A235" s="1855" t="s">
        <v>1379</v>
      </c>
      <c r="B235" s="1859" t="s">
        <v>2127</v>
      </c>
      <c r="C235" s="1860">
        <v>0.14099999999999999</v>
      </c>
      <c r="D235" s="1860">
        <v>0.14199999999999999</v>
      </c>
      <c r="E235" s="1860">
        <v>0.14499999999999999</v>
      </c>
      <c r="F235" s="1861">
        <v>0.15</v>
      </c>
    </row>
    <row r="236" spans="1:6" ht="15" thickBot="1">
      <c r="A236" s="1855" t="s">
        <v>1379</v>
      </c>
      <c r="B236" s="1859" t="s">
        <v>1311</v>
      </c>
      <c r="C236" s="1869"/>
      <c r="D236" s="1869"/>
      <c r="E236" s="1869"/>
      <c r="F236" s="1861">
        <v>0.14299999999999999</v>
      </c>
    </row>
    <row r="237" spans="1:6" ht="24.6" thickBot="1">
      <c r="A237" s="1855" t="s">
        <v>1379</v>
      </c>
      <c r="B237" s="1859" t="s">
        <v>2128</v>
      </c>
      <c r="C237" s="1869"/>
      <c r="D237" s="1869"/>
      <c r="E237" s="1869"/>
      <c r="F237" s="1861">
        <v>0.05</v>
      </c>
    </row>
    <row r="238" spans="1:6" ht="24.6" thickBot="1">
      <c r="A238" s="1855" t="s">
        <v>1379</v>
      </c>
      <c r="B238" s="1859" t="s">
        <v>2129</v>
      </c>
      <c r="C238" s="1869"/>
      <c r="D238" s="1869"/>
      <c r="E238" s="1869"/>
      <c r="F238" s="1861">
        <v>0.05</v>
      </c>
    </row>
    <row r="239" spans="1:6" ht="24.6" thickBot="1">
      <c r="A239" s="1855" t="s">
        <v>1379</v>
      </c>
      <c r="B239" s="1859" t="s">
        <v>2130</v>
      </c>
      <c r="C239" s="1869"/>
      <c r="D239" s="1869"/>
      <c r="E239" s="1869"/>
      <c r="F239" s="1861">
        <v>0.05</v>
      </c>
    </row>
    <row r="240" spans="1:6" ht="24.6" thickBot="1">
      <c r="A240" s="1855" t="s">
        <v>1379</v>
      </c>
      <c r="B240" s="1859" t="s">
        <v>2131</v>
      </c>
      <c r="C240" s="1869"/>
      <c r="D240" s="1869"/>
      <c r="E240" s="1869"/>
      <c r="F240" s="1861">
        <v>0.05</v>
      </c>
    </row>
    <row r="241" spans="1:6" ht="24.6" thickBot="1">
      <c r="A241" s="1855" t="s">
        <v>1379</v>
      </c>
      <c r="B241" s="1859" t="s">
        <v>2132</v>
      </c>
      <c r="C241" s="1869"/>
      <c r="D241" s="1869"/>
      <c r="E241" s="1869"/>
      <c r="F241" s="1861">
        <v>0.05</v>
      </c>
    </row>
    <row r="242" spans="1:6" ht="24.6" thickBot="1">
      <c r="A242" s="1855" t="s">
        <v>1379</v>
      </c>
      <c r="B242" s="1859" t="s">
        <v>2133</v>
      </c>
      <c r="C242" s="1869"/>
      <c r="D242" s="1869"/>
      <c r="E242" s="1869"/>
      <c r="F242" s="1861">
        <v>0.05</v>
      </c>
    </row>
    <row r="243" spans="1:6" ht="24.6" thickBot="1">
      <c r="A243" s="1855" t="s">
        <v>1379</v>
      </c>
      <c r="B243" s="1859" t="s">
        <v>2134</v>
      </c>
      <c r="C243" s="1869"/>
      <c r="D243" s="1869"/>
      <c r="E243" s="1869"/>
      <c r="F243" s="1861">
        <v>0.05</v>
      </c>
    </row>
    <row r="244" spans="1:6" ht="24.6" thickBot="1">
      <c r="A244" s="1863" t="s">
        <v>1379</v>
      </c>
      <c r="B244" s="1870" t="s">
        <v>2135</v>
      </c>
      <c r="C244" s="1866"/>
      <c r="D244" s="1866"/>
      <c r="E244" s="1866"/>
      <c r="F244" s="1871">
        <v>0.05</v>
      </c>
    </row>
    <row r="245" spans="1:6" ht="15" thickBot="1">
      <c r="A245" s="1855" t="s">
        <v>1381</v>
      </c>
      <c r="B245" s="1856" t="s">
        <v>2136</v>
      </c>
      <c r="C245" s="1857">
        <v>0.15</v>
      </c>
      <c r="D245" s="1857">
        <v>0.15</v>
      </c>
      <c r="E245" s="1857">
        <v>0.15</v>
      </c>
      <c r="F245" s="1858">
        <v>0.14299999999999999</v>
      </c>
    </row>
    <row r="246" spans="1:6" ht="15" thickBot="1">
      <c r="A246" s="1855" t="s">
        <v>1381</v>
      </c>
      <c r="B246" s="1859" t="s">
        <v>1044</v>
      </c>
      <c r="C246" s="1860">
        <v>0.15</v>
      </c>
      <c r="D246" s="1860">
        <v>0.15</v>
      </c>
      <c r="E246" s="1860">
        <v>0.15</v>
      </c>
      <c r="F246" s="1861">
        <v>0.114</v>
      </c>
    </row>
    <row r="247" spans="1:6" ht="15" thickBot="1">
      <c r="A247" s="1855" t="s">
        <v>1381</v>
      </c>
      <c r="B247" s="1859" t="s">
        <v>2137</v>
      </c>
      <c r="C247" s="1860">
        <v>0.15</v>
      </c>
      <c r="D247" s="1860">
        <v>0.15</v>
      </c>
      <c r="E247" s="1860">
        <v>0.15</v>
      </c>
      <c r="F247" s="1861">
        <v>0.15</v>
      </c>
    </row>
    <row r="248" spans="1:6" ht="15" thickBot="1">
      <c r="A248" s="1855" t="s">
        <v>1381</v>
      </c>
      <c r="B248" s="1859" t="s">
        <v>2138</v>
      </c>
      <c r="C248" s="1860">
        <v>0.15</v>
      </c>
      <c r="D248" s="1860">
        <v>0.15</v>
      </c>
      <c r="E248" s="1860">
        <v>0.15</v>
      </c>
      <c r="F248" s="1861">
        <v>0.14000000000000001</v>
      </c>
    </row>
    <row r="249" spans="1:6" ht="15" thickBot="1">
      <c r="A249" s="1855" t="s">
        <v>1381</v>
      </c>
      <c r="B249" s="1859" t="s">
        <v>2139</v>
      </c>
      <c r="C249" s="1860">
        <v>0.15</v>
      </c>
      <c r="D249" s="1860">
        <v>0.14899999999999999</v>
      </c>
      <c r="E249" s="1860">
        <v>0.15</v>
      </c>
      <c r="F249" s="1861">
        <v>0.1</v>
      </c>
    </row>
    <row r="250" spans="1:6" ht="15" thickBot="1">
      <c r="A250" s="1855" t="s">
        <v>1381</v>
      </c>
      <c r="B250" s="1859" t="s">
        <v>2140</v>
      </c>
      <c r="C250" s="1860">
        <v>0.15</v>
      </c>
      <c r="D250" s="1860">
        <v>0.15</v>
      </c>
      <c r="E250" s="1860">
        <v>0.15</v>
      </c>
      <c r="F250" s="1861">
        <v>0.14399999999999999</v>
      </c>
    </row>
    <row r="251" spans="1:6" ht="15" thickBot="1">
      <c r="A251" s="1855" t="s">
        <v>1381</v>
      </c>
      <c r="B251" s="1859" t="s">
        <v>1107</v>
      </c>
      <c r="C251" s="1860">
        <v>0.15</v>
      </c>
      <c r="D251" s="1860">
        <v>0.15</v>
      </c>
      <c r="E251" s="1860">
        <v>0.15</v>
      </c>
      <c r="F251" s="1861">
        <v>0.14299999999999999</v>
      </c>
    </row>
    <row r="252" spans="1:6" ht="15" thickBot="1">
      <c r="A252" s="1855" t="s">
        <v>1381</v>
      </c>
      <c r="B252" s="1859" t="s">
        <v>1118</v>
      </c>
      <c r="C252" s="1860">
        <v>0.15</v>
      </c>
      <c r="D252" s="1860">
        <v>0.15</v>
      </c>
      <c r="E252" s="1860">
        <v>0.15</v>
      </c>
      <c r="F252" s="1861">
        <v>0.1</v>
      </c>
    </row>
    <row r="253" spans="1:6" ht="15" thickBot="1">
      <c r="A253" s="1855" t="s">
        <v>1381</v>
      </c>
      <c r="B253" s="1859" t="s">
        <v>1130</v>
      </c>
      <c r="C253" s="1860">
        <v>0.15</v>
      </c>
      <c r="D253" s="1860">
        <v>0.15</v>
      </c>
      <c r="E253" s="1860">
        <v>0.15</v>
      </c>
      <c r="F253" s="1861">
        <v>0.1</v>
      </c>
    </row>
    <row r="254" spans="1:6" ht="15" thickBot="1">
      <c r="A254" s="1855" t="s">
        <v>1381</v>
      </c>
      <c r="B254" s="1859" t="s">
        <v>1140</v>
      </c>
      <c r="C254" s="1869"/>
      <c r="D254" s="1869"/>
      <c r="E254" s="1869"/>
      <c r="F254" s="1861">
        <v>0.15</v>
      </c>
    </row>
    <row r="255" spans="1:6" ht="15" thickBot="1">
      <c r="A255" s="1855" t="s">
        <v>1381</v>
      </c>
      <c r="B255" s="1859" t="s">
        <v>1150</v>
      </c>
      <c r="C255" s="1869"/>
      <c r="D255" s="1869"/>
      <c r="E255" s="1869"/>
      <c r="F255" s="1861">
        <v>0.14299999999999999</v>
      </c>
    </row>
    <row r="256" spans="1:6" ht="15" thickBot="1">
      <c r="A256" s="1855" t="s">
        <v>1381</v>
      </c>
      <c r="B256" s="1859" t="s">
        <v>2141</v>
      </c>
      <c r="C256" s="1860">
        <v>0.14599999999999999</v>
      </c>
      <c r="D256" s="1860">
        <v>0.14699999999999999</v>
      </c>
      <c r="E256" s="1860">
        <v>0.15</v>
      </c>
      <c r="F256" s="1861">
        <v>0.13200000000000001</v>
      </c>
    </row>
    <row r="257" spans="1:6" ht="15" thickBot="1">
      <c r="A257" s="1855" t="s">
        <v>1381</v>
      </c>
      <c r="B257" s="1859" t="s">
        <v>1170</v>
      </c>
      <c r="C257" s="1860">
        <v>0.15</v>
      </c>
      <c r="D257" s="1860">
        <v>0.15</v>
      </c>
      <c r="E257" s="1860">
        <v>0.15</v>
      </c>
      <c r="F257" s="1861">
        <v>0.13900000000000001</v>
      </c>
    </row>
    <row r="258" spans="1:6" ht="15" thickBot="1">
      <c r="A258" s="1855" t="s">
        <v>1381</v>
      </c>
      <c r="B258" s="1859" t="s">
        <v>1180</v>
      </c>
      <c r="C258" s="1860">
        <v>0.15</v>
      </c>
      <c r="D258" s="1860">
        <v>0.15</v>
      </c>
      <c r="E258" s="1860">
        <v>0.15</v>
      </c>
      <c r="F258" s="1861">
        <v>0.13</v>
      </c>
    </row>
    <row r="259" spans="1:6" ht="15" thickBot="1">
      <c r="A259" s="1855" t="s">
        <v>1381</v>
      </c>
      <c r="B259" s="1859" t="s">
        <v>2142</v>
      </c>
      <c r="C259" s="1860">
        <v>0.14799999999999999</v>
      </c>
      <c r="D259" s="1860">
        <v>0.14899999999999999</v>
      </c>
      <c r="E259" s="1860">
        <v>0.15</v>
      </c>
      <c r="F259" s="1861">
        <v>0.13700000000000001</v>
      </c>
    </row>
    <row r="260" spans="1:6" ht="15" thickBot="1">
      <c r="A260" s="1855" t="s">
        <v>1381</v>
      </c>
      <c r="B260" s="1859" t="s">
        <v>1200</v>
      </c>
      <c r="C260" s="1860">
        <v>0.15</v>
      </c>
      <c r="D260" s="1860">
        <v>0.15</v>
      </c>
      <c r="E260" s="1860">
        <v>0.15</v>
      </c>
      <c r="F260" s="1861">
        <v>0.14199999999999999</v>
      </c>
    </row>
    <row r="261" spans="1:6" ht="15" thickBot="1">
      <c r="A261" s="1855" t="s">
        <v>1381</v>
      </c>
      <c r="B261" s="1859" t="s">
        <v>1210</v>
      </c>
      <c r="C261" s="1860">
        <v>0.15</v>
      </c>
      <c r="D261" s="1860">
        <v>0.15</v>
      </c>
      <c r="E261" s="1860">
        <v>0.14899999999999999</v>
      </c>
      <c r="F261" s="1861">
        <v>0.14799999999999999</v>
      </c>
    </row>
    <row r="262" spans="1:6" ht="15" thickBot="1">
      <c r="A262" s="1855" t="s">
        <v>1381</v>
      </c>
      <c r="B262" s="1859" t="s">
        <v>1220</v>
      </c>
      <c r="C262" s="1860">
        <v>0.15</v>
      </c>
      <c r="D262" s="1860">
        <v>0.15</v>
      </c>
      <c r="E262" s="1860">
        <v>0.15</v>
      </c>
      <c r="F262" s="1868"/>
    </row>
    <row r="263" spans="1:6" ht="15" thickBot="1">
      <c r="A263" s="1855" t="s">
        <v>1381</v>
      </c>
      <c r="B263" s="1859" t="s">
        <v>2143</v>
      </c>
      <c r="C263" s="1860">
        <v>0.14899999999999999</v>
      </c>
      <c r="D263" s="1860">
        <v>0.14899999999999999</v>
      </c>
      <c r="E263" s="1860">
        <v>0.15</v>
      </c>
      <c r="F263" s="1861">
        <v>0.13</v>
      </c>
    </row>
    <row r="264" spans="1:6" ht="15" thickBot="1">
      <c r="A264" s="1855" t="s">
        <v>1381</v>
      </c>
      <c r="B264" s="1859" t="s">
        <v>1239</v>
      </c>
      <c r="C264" s="1860">
        <v>0.14799999999999999</v>
      </c>
      <c r="D264" s="1860">
        <v>0.14699999999999999</v>
      </c>
      <c r="E264" s="1860">
        <v>0.15</v>
      </c>
      <c r="F264" s="1861">
        <v>7.8E-2</v>
      </c>
    </row>
    <row r="265" spans="1:6" ht="15" thickBot="1">
      <c r="A265" s="1855" t="s">
        <v>1381</v>
      </c>
      <c r="B265" s="1859" t="s">
        <v>1248</v>
      </c>
      <c r="C265" s="1860">
        <v>0.15</v>
      </c>
      <c r="D265" s="1860">
        <v>0.15</v>
      </c>
      <c r="E265" s="1860">
        <v>0.15</v>
      </c>
      <c r="F265" s="1861">
        <v>7.3999999999999996E-2</v>
      </c>
    </row>
    <row r="266" spans="1:6" ht="15" thickBot="1">
      <c r="A266" s="1855" t="s">
        <v>1381</v>
      </c>
      <c r="B266" s="1859" t="s">
        <v>1256</v>
      </c>
      <c r="C266" s="1860">
        <v>0.14699999999999999</v>
      </c>
      <c r="D266" s="1860">
        <v>0.14699999999999999</v>
      </c>
      <c r="E266" s="1860">
        <v>0.15</v>
      </c>
      <c r="F266" s="1861">
        <v>0.14299999999999999</v>
      </c>
    </row>
    <row r="267" spans="1:6" ht="15" thickBot="1">
      <c r="A267" s="1855" t="s">
        <v>1381</v>
      </c>
      <c r="B267" s="1859" t="s">
        <v>1263</v>
      </c>
      <c r="C267" s="1860">
        <v>0.14199999999999999</v>
      </c>
      <c r="D267" s="1860">
        <v>0.14299999999999999</v>
      </c>
      <c r="E267" s="1860">
        <v>0.15</v>
      </c>
      <c r="F267" s="1868"/>
    </row>
    <row r="268" spans="1:6" ht="15" thickBot="1">
      <c r="A268" s="1855" t="s">
        <v>1381</v>
      </c>
      <c r="B268" s="1859" t="s">
        <v>2144</v>
      </c>
      <c r="C268" s="1860">
        <v>0.15</v>
      </c>
      <c r="D268" s="1860">
        <v>0.15</v>
      </c>
      <c r="E268" s="1860">
        <v>0.15</v>
      </c>
      <c r="F268" s="1861">
        <v>0.13</v>
      </c>
    </row>
    <row r="269" spans="1:6" ht="15" thickBot="1">
      <c r="A269" s="1855" t="s">
        <v>1381</v>
      </c>
      <c r="B269" s="1859" t="s">
        <v>1277</v>
      </c>
      <c r="C269" s="1860">
        <v>0.15</v>
      </c>
      <c r="D269" s="1860">
        <v>0.15</v>
      </c>
      <c r="E269" s="1860">
        <v>0.15</v>
      </c>
      <c r="F269" s="1861">
        <v>0.14299999999999999</v>
      </c>
    </row>
    <row r="270" spans="1:6" ht="15" thickBot="1">
      <c r="A270" s="1855" t="s">
        <v>1381</v>
      </c>
      <c r="B270" s="1859" t="s">
        <v>1284</v>
      </c>
      <c r="C270" s="1860">
        <v>0.14499999999999999</v>
      </c>
      <c r="D270" s="1860">
        <v>0.14499999999999999</v>
      </c>
      <c r="E270" s="1860">
        <v>0.15</v>
      </c>
      <c r="F270" s="1861">
        <v>0.14699999999999999</v>
      </c>
    </row>
    <row r="271" spans="1:6" ht="15" thickBot="1">
      <c r="A271" s="1855" t="s">
        <v>1381</v>
      </c>
      <c r="B271" s="1859" t="s">
        <v>1291</v>
      </c>
      <c r="C271" s="1860">
        <v>0.15</v>
      </c>
      <c r="D271" s="1860">
        <v>0.15</v>
      </c>
      <c r="E271" s="1860">
        <v>0.15</v>
      </c>
      <c r="F271" s="1861">
        <v>0.13800000000000001</v>
      </c>
    </row>
    <row r="272" spans="1:6" ht="15" thickBot="1">
      <c r="A272" s="1855" t="s">
        <v>1381</v>
      </c>
      <c r="B272" s="1859" t="s">
        <v>1298</v>
      </c>
      <c r="C272" s="1869"/>
      <c r="D272" s="1869"/>
      <c r="E272" s="1869"/>
      <c r="F272" s="1861">
        <v>0.14000000000000001</v>
      </c>
    </row>
    <row r="273" spans="1:6" ht="15" thickBot="1">
      <c r="A273" s="1855" t="s">
        <v>1381</v>
      </c>
      <c r="B273" s="1859" t="s">
        <v>2145</v>
      </c>
      <c r="C273" s="1860">
        <v>0.14199999999999999</v>
      </c>
      <c r="D273" s="1860">
        <v>0.14299999999999999</v>
      </c>
      <c r="E273" s="1860">
        <v>0.15</v>
      </c>
      <c r="F273" s="1861">
        <v>0.1</v>
      </c>
    </row>
    <row r="274" spans="1:6" ht="15" thickBot="1">
      <c r="A274" s="1855" t="s">
        <v>1381</v>
      </c>
      <c r="B274" s="1859" t="s">
        <v>2146</v>
      </c>
      <c r="C274" s="1860">
        <v>0.14799999999999999</v>
      </c>
      <c r="D274" s="1860">
        <v>0.14799999999999999</v>
      </c>
      <c r="E274" s="1860">
        <v>0.15</v>
      </c>
      <c r="F274" s="1861">
        <v>6.7000000000000004E-2</v>
      </c>
    </row>
    <row r="275" spans="1:6" ht="15" thickBot="1">
      <c r="A275" s="1855" t="s">
        <v>1381</v>
      </c>
      <c r="B275" s="1859" t="s">
        <v>2147</v>
      </c>
      <c r="C275" s="1860">
        <v>0.15</v>
      </c>
      <c r="D275" s="1860">
        <v>0.15</v>
      </c>
      <c r="E275" s="1860">
        <v>0.15</v>
      </c>
      <c r="F275" s="1861">
        <v>0.15</v>
      </c>
    </row>
    <row r="276" spans="1:6" ht="15" thickBot="1">
      <c r="A276" s="1855" t="s">
        <v>1381</v>
      </c>
      <c r="B276" s="1859" t="s">
        <v>2148</v>
      </c>
      <c r="C276" s="1860">
        <v>0.14499999999999999</v>
      </c>
      <c r="D276" s="1860">
        <v>0.14299999999999999</v>
      </c>
      <c r="E276" s="1860">
        <v>0.15</v>
      </c>
      <c r="F276" s="1861">
        <v>5.8999999999999997E-2</v>
      </c>
    </row>
    <row r="277" spans="1:6" ht="15" thickBot="1">
      <c r="A277" s="1855" t="s">
        <v>1381</v>
      </c>
      <c r="B277" s="1859" t="s">
        <v>2149</v>
      </c>
      <c r="C277" s="1860">
        <v>0.15</v>
      </c>
      <c r="D277" s="1860">
        <v>0.15</v>
      </c>
      <c r="E277" s="1860">
        <v>0.15</v>
      </c>
      <c r="F277" s="1861">
        <v>0.121</v>
      </c>
    </row>
    <row r="278" spans="1:6" ht="15" thickBot="1">
      <c r="A278" s="1855" t="s">
        <v>1381</v>
      </c>
      <c r="B278" s="1859" t="s">
        <v>2150</v>
      </c>
      <c r="C278" s="1860">
        <v>0.15</v>
      </c>
      <c r="D278" s="1860">
        <v>0.15</v>
      </c>
      <c r="E278" s="1860">
        <v>0.15</v>
      </c>
      <c r="F278" s="1861">
        <v>0.13800000000000001</v>
      </c>
    </row>
    <row r="279" spans="1:6" ht="24.6" thickBot="1">
      <c r="A279" s="1855" t="s">
        <v>1381</v>
      </c>
      <c r="B279" s="1859" t="s">
        <v>2151</v>
      </c>
      <c r="C279" s="1869"/>
      <c r="D279" s="1869"/>
      <c r="E279" s="1869"/>
      <c r="F279" s="1861">
        <v>0.05</v>
      </c>
    </row>
    <row r="280" spans="1:6" ht="24.6" thickBot="1">
      <c r="A280" s="1855" t="s">
        <v>1381</v>
      </c>
      <c r="B280" s="1859" t="s">
        <v>2152</v>
      </c>
      <c r="C280" s="1869"/>
      <c r="D280" s="1869"/>
      <c r="E280" s="1869"/>
      <c r="F280" s="1861">
        <v>0.05</v>
      </c>
    </row>
    <row r="281" spans="1:6" ht="24.6" thickBot="1">
      <c r="A281" s="1855" t="s">
        <v>1381</v>
      </c>
      <c r="B281" s="1859" t="s">
        <v>2153</v>
      </c>
      <c r="C281" s="1869"/>
      <c r="D281" s="1869"/>
      <c r="E281" s="1869"/>
      <c r="F281" s="1861">
        <v>0.05</v>
      </c>
    </row>
    <row r="282" spans="1:6" ht="24.6" thickBot="1">
      <c r="A282" s="1855" t="s">
        <v>1381</v>
      </c>
      <c r="B282" s="1859" t="s">
        <v>2154</v>
      </c>
      <c r="C282" s="1869"/>
      <c r="D282" s="1869"/>
      <c r="E282" s="1869"/>
      <c r="F282" s="1861">
        <v>0.05</v>
      </c>
    </row>
    <row r="283" spans="1:6" ht="24.6" thickBot="1">
      <c r="A283" s="1855" t="s">
        <v>1381</v>
      </c>
      <c r="B283" s="1859" t="s">
        <v>2155</v>
      </c>
      <c r="C283" s="1869"/>
      <c r="D283" s="1869"/>
      <c r="E283" s="1869"/>
      <c r="F283" s="1861">
        <v>0.05</v>
      </c>
    </row>
    <row r="284" spans="1:6" ht="24.6" thickBot="1">
      <c r="A284" s="1855" t="s">
        <v>1381</v>
      </c>
      <c r="B284" s="1859" t="s">
        <v>2156</v>
      </c>
      <c r="C284" s="1869"/>
      <c r="D284" s="1869"/>
      <c r="E284" s="1869"/>
      <c r="F284" s="1861">
        <v>0.05</v>
      </c>
    </row>
    <row r="285" spans="1:6" ht="24.6" thickBot="1">
      <c r="A285" s="1855" t="s">
        <v>1381</v>
      </c>
      <c r="B285" s="1859" t="s">
        <v>2157</v>
      </c>
      <c r="C285" s="1869"/>
      <c r="D285" s="1869"/>
      <c r="E285" s="1869"/>
      <c r="F285" s="1861">
        <v>0.05</v>
      </c>
    </row>
    <row r="286" spans="1:6" ht="24.6" thickBot="1">
      <c r="A286" s="1855" t="s">
        <v>1381</v>
      </c>
      <c r="B286" s="1859" t="s">
        <v>2158</v>
      </c>
      <c r="C286" s="1869"/>
      <c r="D286" s="1869"/>
      <c r="E286" s="1869"/>
      <c r="F286" s="1861">
        <v>0.05</v>
      </c>
    </row>
    <row r="287" spans="1:6" ht="24.6" thickBot="1">
      <c r="A287" s="1855" t="s">
        <v>1381</v>
      </c>
      <c r="B287" s="1859" t="s">
        <v>2159</v>
      </c>
      <c r="C287" s="1869"/>
      <c r="D287" s="1869"/>
      <c r="E287" s="1869"/>
      <c r="F287" s="1861">
        <v>0.05</v>
      </c>
    </row>
    <row r="288" spans="1:6" ht="24.6" thickBot="1">
      <c r="A288" s="1855" t="s">
        <v>1381</v>
      </c>
      <c r="B288" s="1859" t="s">
        <v>2160</v>
      </c>
      <c r="C288" s="1869"/>
      <c r="D288" s="1869"/>
      <c r="E288" s="1869"/>
      <c r="F288" s="1861">
        <v>0.05</v>
      </c>
    </row>
    <row r="289" spans="1:6" ht="24.6" thickBot="1">
      <c r="A289" s="1863" t="s">
        <v>1381</v>
      </c>
      <c r="B289" s="1870" t="s">
        <v>2161</v>
      </c>
      <c r="C289" s="1866"/>
      <c r="D289" s="1866"/>
      <c r="E289" s="1866"/>
      <c r="F289" s="1871">
        <v>0.05</v>
      </c>
    </row>
    <row r="290" spans="1:6" ht="15" thickBot="1">
      <c r="A290" s="1855" t="s">
        <v>1385</v>
      </c>
      <c r="B290" s="1856" t="s">
        <v>2162</v>
      </c>
      <c r="C290" s="1857">
        <v>0.15</v>
      </c>
      <c r="D290" s="1857">
        <v>0.15</v>
      </c>
      <c r="E290" s="1857">
        <v>0.15</v>
      </c>
      <c r="F290" s="1879"/>
    </row>
    <row r="291" spans="1:6" ht="15" thickBot="1">
      <c r="A291" s="1855" t="s">
        <v>1385</v>
      </c>
      <c r="B291" s="1859" t="s">
        <v>1045</v>
      </c>
      <c r="C291" s="1860">
        <v>0.15</v>
      </c>
      <c r="D291" s="1860">
        <v>0.15</v>
      </c>
      <c r="E291" s="1860">
        <v>0.15</v>
      </c>
      <c r="F291" s="1868"/>
    </row>
    <row r="292" spans="1:6" ht="15" thickBot="1">
      <c r="A292" s="1855" t="s">
        <v>1385</v>
      </c>
      <c r="B292" s="1859" t="s">
        <v>2163</v>
      </c>
      <c r="C292" s="1860">
        <v>0.15</v>
      </c>
      <c r="D292" s="1860">
        <v>0.15</v>
      </c>
      <c r="E292" s="1860">
        <v>0.15</v>
      </c>
      <c r="F292" s="1861">
        <v>0.14699999999999999</v>
      </c>
    </row>
    <row r="293" spans="1:6" ht="15" thickBot="1">
      <c r="A293" s="1855" t="s">
        <v>1385</v>
      </c>
      <c r="B293" s="1859" t="s">
        <v>2164</v>
      </c>
      <c r="C293" s="1869"/>
      <c r="D293" s="1869"/>
      <c r="E293" s="1869"/>
      <c r="F293" s="1861">
        <v>0.1</v>
      </c>
    </row>
    <row r="294" spans="1:6" ht="15" thickBot="1">
      <c r="A294" s="1855" t="s">
        <v>1385</v>
      </c>
      <c r="B294" s="1859" t="s">
        <v>2165</v>
      </c>
      <c r="C294" s="1860">
        <v>0.15</v>
      </c>
      <c r="D294" s="1860">
        <v>0.15</v>
      </c>
      <c r="E294" s="1860">
        <v>0.15</v>
      </c>
      <c r="F294" s="1861">
        <v>0.15</v>
      </c>
    </row>
    <row r="295" spans="1:6" ht="15" thickBot="1">
      <c r="A295" s="1855" t="s">
        <v>1385</v>
      </c>
      <c r="B295" s="1859" t="s">
        <v>1086</v>
      </c>
      <c r="C295" s="1860">
        <v>0.15</v>
      </c>
      <c r="D295" s="1860">
        <v>0.15</v>
      </c>
      <c r="E295" s="1860">
        <v>0.15</v>
      </c>
      <c r="F295" s="1861">
        <v>0.15</v>
      </c>
    </row>
    <row r="296" spans="1:6" ht="15" thickBot="1">
      <c r="A296" s="1855" t="s">
        <v>1385</v>
      </c>
      <c r="B296" s="1859" t="s">
        <v>2166</v>
      </c>
      <c r="C296" s="1860">
        <v>0.15</v>
      </c>
      <c r="D296" s="1860">
        <v>0.15</v>
      </c>
      <c r="E296" s="1860">
        <v>0.15</v>
      </c>
      <c r="F296" s="1861">
        <v>0.15</v>
      </c>
    </row>
    <row r="297" spans="1:6" ht="15" thickBot="1">
      <c r="A297" s="1855" t="s">
        <v>1385</v>
      </c>
      <c r="B297" s="1859" t="s">
        <v>2167</v>
      </c>
      <c r="C297" s="1860">
        <v>0.14799999999999999</v>
      </c>
      <c r="D297" s="1860">
        <v>0.14899999999999999</v>
      </c>
      <c r="E297" s="1860">
        <v>0.15</v>
      </c>
      <c r="F297" s="1861">
        <v>0.13700000000000001</v>
      </c>
    </row>
    <row r="298" spans="1:6" ht="15" thickBot="1">
      <c r="A298" s="1855" t="s">
        <v>1385</v>
      </c>
      <c r="B298" s="1859" t="s">
        <v>1119</v>
      </c>
      <c r="C298" s="1860">
        <v>0.13400000000000001</v>
      </c>
      <c r="D298" s="1860">
        <v>0.13400000000000001</v>
      </c>
      <c r="E298" s="1860">
        <v>0.14499999999999999</v>
      </c>
      <c r="F298" s="1861">
        <v>0.14799999999999999</v>
      </c>
    </row>
    <row r="299" spans="1:6" ht="15" thickBot="1">
      <c r="A299" s="1855" t="s">
        <v>1385</v>
      </c>
      <c r="B299" s="1859" t="s">
        <v>1131</v>
      </c>
      <c r="C299" s="1860">
        <v>0.15</v>
      </c>
      <c r="D299" s="1860">
        <v>0.15</v>
      </c>
      <c r="E299" s="1860">
        <v>0.15</v>
      </c>
      <c r="F299" s="1868"/>
    </row>
    <row r="300" spans="1:6" ht="15" thickBot="1">
      <c r="A300" s="1855" t="s">
        <v>1385</v>
      </c>
      <c r="B300" s="1859" t="s">
        <v>2168</v>
      </c>
      <c r="C300" s="1860">
        <v>0.15</v>
      </c>
      <c r="D300" s="1860">
        <v>0.15</v>
      </c>
      <c r="E300" s="1860">
        <v>0.15</v>
      </c>
      <c r="F300" s="1861">
        <v>0.15</v>
      </c>
    </row>
    <row r="301" spans="1:6" ht="15" thickBot="1">
      <c r="A301" s="1855" t="s">
        <v>1385</v>
      </c>
      <c r="B301" s="1859" t="s">
        <v>1151</v>
      </c>
      <c r="C301" s="1860">
        <v>0.15</v>
      </c>
      <c r="D301" s="1860">
        <v>0.15</v>
      </c>
      <c r="E301" s="1860">
        <v>0.15</v>
      </c>
      <c r="F301" s="1868"/>
    </row>
    <row r="302" spans="1:6" ht="15" thickBot="1">
      <c r="A302" s="1855" t="s">
        <v>1385</v>
      </c>
      <c r="B302" s="1859" t="s">
        <v>2169</v>
      </c>
      <c r="C302" s="1860">
        <v>0.15</v>
      </c>
      <c r="D302" s="1860">
        <v>0.15</v>
      </c>
      <c r="E302" s="1860">
        <v>0.15</v>
      </c>
      <c r="F302" s="1861">
        <v>0.15</v>
      </c>
    </row>
    <row r="303" spans="1:6" ht="15" thickBot="1">
      <c r="A303" s="1855" t="s">
        <v>1385</v>
      </c>
      <c r="B303" s="1859" t="s">
        <v>1171</v>
      </c>
      <c r="C303" s="1860">
        <v>0.15</v>
      </c>
      <c r="D303" s="1860">
        <v>0.15</v>
      </c>
      <c r="E303" s="1860">
        <v>0.15</v>
      </c>
      <c r="F303" s="1861">
        <v>0.15</v>
      </c>
    </row>
    <row r="304" spans="1:6" ht="15" thickBot="1">
      <c r="A304" s="1855" t="s">
        <v>1385</v>
      </c>
      <c r="B304" s="1859" t="s">
        <v>1181</v>
      </c>
      <c r="C304" s="1860">
        <v>0.15</v>
      </c>
      <c r="D304" s="1860">
        <v>0.15</v>
      </c>
      <c r="E304" s="1860">
        <v>0.15</v>
      </c>
      <c r="F304" s="1868"/>
    </row>
    <row r="305" spans="1:6" ht="15" thickBot="1">
      <c r="A305" s="1855" t="s">
        <v>1385</v>
      </c>
      <c r="B305" s="1859" t="s">
        <v>2170</v>
      </c>
      <c r="C305" s="1860">
        <v>0.15</v>
      </c>
      <c r="D305" s="1860">
        <v>0.15</v>
      </c>
      <c r="E305" s="1860">
        <v>0.15</v>
      </c>
      <c r="F305" s="1861">
        <v>0.14000000000000001</v>
      </c>
    </row>
    <row r="306" spans="1:6" ht="15" thickBot="1">
      <c r="A306" s="1855" t="s">
        <v>1385</v>
      </c>
      <c r="B306" s="1859" t="s">
        <v>1201</v>
      </c>
      <c r="C306" s="1860">
        <v>0.15</v>
      </c>
      <c r="D306" s="1860">
        <v>0.15</v>
      </c>
      <c r="E306" s="1860">
        <v>0.15</v>
      </c>
      <c r="F306" s="1868"/>
    </row>
    <row r="307" spans="1:6" ht="15" thickBot="1">
      <c r="A307" s="1855" t="s">
        <v>1385</v>
      </c>
      <c r="B307" s="1859" t="s">
        <v>2171</v>
      </c>
      <c r="C307" s="1860">
        <v>0.15</v>
      </c>
      <c r="D307" s="1860">
        <v>0.15</v>
      </c>
      <c r="E307" s="1860">
        <v>0.15</v>
      </c>
      <c r="F307" s="1861">
        <v>0.14299999999999999</v>
      </c>
    </row>
    <row r="308" spans="1:6" ht="15" thickBot="1">
      <c r="A308" s="1855" t="s">
        <v>1385</v>
      </c>
      <c r="B308" s="1859" t="s">
        <v>1221</v>
      </c>
      <c r="C308" s="1860">
        <v>0.15</v>
      </c>
      <c r="D308" s="1860">
        <v>0.15</v>
      </c>
      <c r="E308" s="1860">
        <v>0.15</v>
      </c>
      <c r="F308" s="1861">
        <v>0.15</v>
      </c>
    </row>
    <row r="309" spans="1:6" ht="15" thickBot="1">
      <c r="A309" s="1855" t="s">
        <v>1385</v>
      </c>
      <c r="B309" s="1859" t="s">
        <v>1231</v>
      </c>
      <c r="C309" s="1860">
        <v>0.15</v>
      </c>
      <c r="D309" s="1860">
        <v>0.15</v>
      </c>
      <c r="E309" s="1860">
        <v>0.15</v>
      </c>
      <c r="F309" s="1868"/>
    </row>
    <row r="310" spans="1:6" ht="15" thickBot="1">
      <c r="A310" s="1855" t="s">
        <v>1385</v>
      </c>
      <c r="B310" s="1859" t="s">
        <v>2172</v>
      </c>
      <c r="C310" s="1860">
        <v>0.15</v>
      </c>
      <c r="D310" s="1860">
        <v>0.15</v>
      </c>
      <c r="E310" s="1860">
        <v>0.15</v>
      </c>
      <c r="F310" s="1861">
        <v>0.13700000000000001</v>
      </c>
    </row>
    <row r="311" spans="1:6" ht="15" thickBot="1">
      <c r="A311" s="1855" t="s">
        <v>1385</v>
      </c>
      <c r="B311" s="1859" t="s">
        <v>2173</v>
      </c>
      <c r="C311" s="1860">
        <v>0.15</v>
      </c>
      <c r="D311" s="1860">
        <v>0.15</v>
      </c>
      <c r="E311" s="1860">
        <v>0.15</v>
      </c>
      <c r="F311" s="1861">
        <v>0.15</v>
      </c>
    </row>
    <row r="312" spans="1:6" ht="15" thickBot="1">
      <c r="A312" s="1855" t="s">
        <v>1385</v>
      </c>
      <c r="B312" s="1859" t="s">
        <v>1257</v>
      </c>
      <c r="C312" s="1860">
        <v>0.15</v>
      </c>
      <c r="D312" s="1860">
        <v>0.15</v>
      </c>
      <c r="E312" s="1860">
        <v>0.15</v>
      </c>
      <c r="F312" s="1861">
        <v>0.1</v>
      </c>
    </row>
    <row r="313" spans="1:6" ht="15" thickBot="1">
      <c r="A313" s="1855" t="s">
        <v>1385</v>
      </c>
      <c r="B313" s="1859" t="s">
        <v>2174</v>
      </c>
      <c r="C313" s="1860">
        <v>0.15</v>
      </c>
      <c r="D313" s="1860">
        <v>0.15</v>
      </c>
      <c r="E313" s="1860">
        <v>0.15</v>
      </c>
      <c r="F313" s="1861">
        <v>0.15</v>
      </c>
    </row>
    <row r="314" spans="1:6" ht="24.6" thickBot="1">
      <c r="A314" s="1855" t="s">
        <v>1385</v>
      </c>
      <c r="B314" s="1859" t="s">
        <v>2175</v>
      </c>
      <c r="C314" s="1869"/>
      <c r="D314" s="1869"/>
      <c r="E314" s="1869"/>
      <c r="F314" s="1861">
        <v>0.05</v>
      </c>
    </row>
    <row r="315" spans="1:6" ht="24.6" thickBot="1">
      <c r="A315" s="1855" t="s">
        <v>1385</v>
      </c>
      <c r="B315" s="1859" t="s">
        <v>2176</v>
      </c>
      <c r="C315" s="1869"/>
      <c r="D315" s="1869"/>
      <c r="E315" s="1869"/>
      <c r="F315" s="1861">
        <v>0.05</v>
      </c>
    </row>
    <row r="316" spans="1:6" ht="24.6" thickBot="1">
      <c r="A316" s="1863" t="s">
        <v>1385</v>
      </c>
      <c r="B316" s="1870" t="s">
        <v>2177</v>
      </c>
      <c r="C316" s="1866"/>
      <c r="D316" s="1866"/>
      <c r="E316" s="1866"/>
      <c r="F316" s="1871">
        <v>0.05</v>
      </c>
    </row>
    <row r="317" spans="1:6" ht="15" thickBot="1">
      <c r="A317" s="1855" t="s">
        <v>2178</v>
      </c>
      <c r="B317" s="1856" t="s">
        <v>2179</v>
      </c>
      <c r="C317" s="1857">
        <v>0.15</v>
      </c>
      <c r="D317" s="1857">
        <v>0.15</v>
      </c>
      <c r="E317" s="1857">
        <v>0.15</v>
      </c>
      <c r="F317" s="1858">
        <v>0.15</v>
      </c>
    </row>
    <row r="318" spans="1:6" ht="15" thickBot="1">
      <c r="A318" s="1855" t="s">
        <v>2178</v>
      </c>
      <c r="B318" s="1859" t="s">
        <v>2180</v>
      </c>
      <c r="C318" s="1860">
        <v>0.107</v>
      </c>
      <c r="D318" s="1860">
        <v>0.11</v>
      </c>
      <c r="E318" s="1860">
        <v>0.112</v>
      </c>
      <c r="F318" s="1868"/>
    </row>
    <row r="319" spans="1:6" ht="15" thickBot="1">
      <c r="A319" s="1855" t="s">
        <v>2178</v>
      </c>
      <c r="B319" s="1859" t="s">
        <v>2181</v>
      </c>
      <c r="C319" s="1860">
        <v>0.15</v>
      </c>
      <c r="D319" s="1860">
        <v>0.15</v>
      </c>
      <c r="E319" s="1860">
        <v>0.15</v>
      </c>
      <c r="F319" s="1861">
        <v>0.15</v>
      </c>
    </row>
    <row r="320" spans="1:6" ht="15" thickBot="1">
      <c r="A320" s="1855" t="s">
        <v>2178</v>
      </c>
      <c r="B320" s="1859" t="s">
        <v>1073</v>
      </c>
      <c r="C320" s="1860">
        <v>0.15</v>
      </c>
      <c r="D320" s="1860">
        <v>0.15</v>
      </c>
      <c r="E320" s="1860">
        <v>0.15</v>
      </c>
      <c r="F320" s="1868"/>
    </row>
    <row r="321" spans="1:6" ht="15" thickBot="1">
      <c r="A321" s="1855" t="s">
        <v>2178</v>
      </c>
      <c r="B321" s="1859" t="s">
        <v>2182</v>
      </c>
      <c r="C321" s="1860">
        <v>0.15</v>
      </c>
      <c r="D321" s="1860">
        <v>0.15</v>
      </c>
      <c r="E321" s="1860">
        <v>0.15</v>
      </c>
      <c r="F321" s="1868"/>
    </row>
    <row r="322" spans="1:6" ht="15" thickBot="1">
      <c r="A322" s="1855" t="s">
        <v>2178</v>
      </c>
      <c r="B322" s="1859" t="s">
        <v>2183</v>
      </c>
      <c r="C322" s="1860">
        <v>0.15</v>
      </c>
      <c r="D322" s="1860">
        <v>0.15</v>
      </c>
      <c r="E322" s="1860">
        <v>0.15</v>
      </c>
      <c r="F322" s="1861">
        <v>0.15</v>
      </c>
    </row>
    <row r="323" spans="1:6" ht="15" thickBot="1">
      <c r="A323" s="1855" t="s">
        <v>2178</v>
      </c>
      <c r="B323" s="1859" t="s">
        <v>2184</v>
      </c>
      <c r="C323" s="1860">
        <v>0.15</v>
      </c>
      <c r="D323" s="1860">
        <v>0.15</v>
      </c>
      <c r="E323" s="1860">
        <v>0.15</v>
      </c>
      <c r="F323" s="1868"/>
    </row>
    <row r="324" spans="1:6" ht="15" thickBot="1">
      <c r="A324" s="1855" t="s">
        <v>2178</v>
      </c>
      <c r="B324" s="1859" t="s">
        <v>2185</v>
      </c>
      <c r="C324" s="1860">
        <v>0.15</v>
      </c>
      <c r="D324" s="1860">
        <v>0.15</v>
      </c>
      <c r="E324" s="1860">
        <v>0.15</v>
      </c>
      <c r="F324" s="1868"/>
    </row>
    <row r="325" spans="1:6" ht="15" thickBot="1">
      <c r="A325" s="1855" t="s">
        <v>2178</v>
      </c>
      <c r="B325" s="1859" t="s">
        <v>2186</v>
      </c>
      <c r="C325" s="1860">
        <v>0.15</v>
      </c>
      <c r="D325" s="1860">
        <v>0.15</v>
      </c>
      <c r="E325" s="1860">
        <v>0.15</v>
      </c>
      <c r="F325" s="1861">
        <v>0.14699999999999999</v>
      </c>
    </row>
    <row r="326" spans="1:6" ht="15" thickBot="1">
      <c r="A326" s="1855" t="s">
        <v>2178</v>
      </c>
      <c r="B326" s="1859" t="s">
        <v>1142</v>
      </c>
      <c r="C326" s="1860">
        <v>0.15</v>
      </c>
      <c r="D326" s="1860">
        <v>0.15</v>
      </c>
      <c r="E326" s="1860">
        <v>0.15</v>
      </c>
      <c r="F326" s="1868"/>
    </row>
    <row r="327" spans="1:6" ht="15" thickBot="1">
      <c r="A327" s="1855" t="s">
        <v>2178</v>
      </c>
      <c r="B327" s="1859" t="s">
        <v>2187</v>
      </c>
      <c r="C327" s="1860">
        <v>0.15</v>
      </c>
      <c r="D327" s="1860">
        <v>0.15</v>
      </c>
      <c r="E327" s="1860">
        <v>0.15</v>
      </c>
      <c r="F327" s="1861">
        <v>0.15</v>
      </c>
    </row>
    <row r="328" spans="1:6" ht="15" thickBot="1">
      <c r="A328" s="1855" t="s">
        <v>2178</v>
      </c>
      <c r="B328" s="1859" t="s">
        <v>1162</v>
      </c>
      <c r="C328" s="1860">
        <v>0.15</v>
      </c>
      <c r="D328" s="1860">
        <v>0.15</v>
      </c>
      <c r="E328" s="1860">
        <v>0.15</v>
      </c>
      <c r="F328" s="1861">
        <v>0.14099999999999999</v>
      </c>
    </row>
    <row r="329" spans="1:6" ht="15" thickBot="1">
      <c r="A329" s="1855" t="s">
        <v>2178</v>
      </c>
      <c r="B329" s="1859" t="s">
        <v>1172</v>
      </c>
      <c r="C329" s="1860">
        <v>0.15</v>
      </c>
      <c r="D329" s="1860">
        <v>0.15</v>
      </c>
      <c r="E329" s="1860">
        <v>0.15</v>
      </c>
      <c r="F329" s="1861">
        <v>0.15</v>
      </c>
    </row>
    <row r="330" spans="1:6" ht="15" thickBot="1">
      <c r="A330" s="1855" t="s">
        <v>2178</v>
      </c>
      <c r="B330" s="1859" t="s">
        <v>1182</v>
      </c>
      <c r="C330" s="1860">
        <v>0.15</v>
      </c>
      <c r="D330" s="1860">
        <v>0.15</v>
      </c>
      <c r="E330" s="1860">
        <v>0.15</v>
      </c>
      <c r="F330" s="1868"/>
    </row>
    <row r="331" spans="1:6" ht="15" thickBot="1">
      <c r="A331" s="1855" t="s">
        <v>2178</v>
      </c>
      <c r="B331" s="1859" t="s">
        <v>2188</v>
      </c>
      <c r="C331" s="1860">
        <v>0.15</v>
      </c>
      <c r="D331" s="1860">
        <v>0.15</v>
      </c>
      <c r="E331" s="1860">
        <v>0.15</v>
      </c>
      <c r="F331" s="1861">
        <v>0.15</v>
      </c>
    </row>
    <row r="332" spans="1:6" ht="15" thickBot="1">
      <c r="A332" s="1855" t="s">
        <v>2178</v>
      </c>
      <c r="B332" s="1859" t="s">
        <v>1202</v>
      </c>
      <c r="C332" s="1860">
        <v>0.15</v>
      </c>
      <c r="D332" s="1860">
        <v>0.15</v>
      </c>
      <c r="E332" s="1860">
        <v>0.15</v>
      </c>
      <c r="F332" s="1861">
        <v>0.15</v>
      </c>
    </row>
    <row r="333" spans="1:6" ht="15" thickBot="1">
      <c r="A333" s="1855" t="s">
        <v>2178</v>
      </c>
      <c r="B333" s="1859" t="s">
        <v>2189</v>
      </c>
      <c r="C333" s="1860">
        <v>0.15</v>
      </c>
      <c r="D333" s="1860">
        <v>0.15</v>
      </c>
      <c r="E333" s="1860">
        <v>0.15</v>
      </c>
      <c r="F333" s="1861">
        <v>0.14099999999999999</v>
      </c>
    </row>
    <row r="334" spans="1:6" ht="15" thickBot="1">
      <c r="A334" s="1855" t="s">
        <v>2178</v>
      </c>
      <c r="B334" s="1859" t="s">
        <v>1222</v>
      </c>
      <c r="C334" s="1860">
        <v>0.15</v>
      </c>
      <c r="D334" s="1860">
        <v>0.15</v>
      </c>
      <c r="E334" s="1860">
        <v>0.15</v>
      </c>
      <c r="F334" s="1861">
        <v>0.15</v>
      </c>
    </row>
    <row r="335" spans="1:6" ht="15" thickBot="1">
      <c r="A335" s="1855" t="s">
        <v>2178</v>
      </c>
      <c r="B335" s="1859" t="s">
        <v>1232</v>
      </c>
      <c r="C335" s="1860">
        <v>0.15</v>
      </c>
      <c r="D335" s="1860">
        <v>0.15</v>
      </c>
      <c r="E335" s="1860">
        <v>0.15</v>
      </c>
      <c r="F335" s="1868"/>
    </row>
    <row r="336" spans="1:6" ht="15" thickBot="1">
      <c r="A336" s="1855" t="s">
        <v>2178</v>
      </c>
      <c r="B336" s="1859" t="s">
        <v>2190</v>
      </c>
      <c r="C336" s="1860">
        <v>0.15</v>
      </c>
      <c r="D336" s="1860">
        <v>0.15</v>
      </c>
      <c r="E336" s="1860">
        <v>0.15</v>
      </c>
      <c r="F336" s="1861">
        <v>0.11799999999999999</v>
      </c>
    </row>
    <row r="337" spans="1:6" ht="15" thickBot="1">
      <c r="A337" s="1863" t="s">
        <v>2178</v>
      </c>
      <c r="B337" s="1870" t="s">
        <v>1250</v>
      </c>
      <c r="C337" s="1866"/>
      <c r="D337" s="1866"/>
      <c r="E337" s="1866"/>
      <c r="F337" s="1871">
        <v>0.14299999999999999</v>
      </c>
    </row>
    <row r="338" spans="1:6" ht="15" thickBot="1">
      <c r="A338" s="1855" t="s">
        <v>2191</v>
      </c>
      <c r="B338" s="1856" t="s">
        <v>2192</v>
      </c>
      <c r="C338" s="1857">
        <v>0.15</v>
      </c>
      <c r="D338" s="1857">
        <v>0.15</v>
      </c>
      <c r="E338" s="1857">
        <v>0.15</v>
      </c>
      <c r="F338" s="1879"/>
    </row>
    <row r="339" spans="1:6" ht="15" thickBot="1">
      <c r="A339" s="1855" t="s">
        <v>2191</v>
      </c>
      <c r="B339" s="1859" t="s">
        <v>2193</v>
      </c>
      <c r="C339" s="1860">
        <v>0.15</v>
      </c>
      <c r="D339" s="1860">
        <v>0.15</v>
      </c>
      <c r="E339" s="1860">
        <v>0.15</v>
      </c>
      <c r="F339" s="1868"/>
    </row>
    <row r="340" spans="1:6" ht="15" thickBot="1">
      <c r="A340" s="1855" t="s">
        <v>2191</v>
      </c>
      <c r="B340" s="1859" t="s">
        <v>2194</v>
      </c>
      <c r="C340" s="1860">
        <v>0.15</v>
      </c>
      <c r="D340" s="1860">
        <v>0.15</v>
      </c>
      <c r="E340" s="1860">
        <v>0.15</v>
      </c>
      <c r="F340" s="1868"/>
    </row>
    <row r="341" spans="1:6" ht="15" thickBot="1">
      <c r="A341" s="1855" t="s">
        <v>2195</v>
      </c>
      <c r="B341" s="1859" t="s">
        <v>2196</v>
      </c>
      <c r="C341" s="1860">
        <v>0.15</v>
      </c>
      <c r="D341" s="1860">
        <v>0.15</v>
      </c>
      <c r="E341" s="1860">
        <v>0.15</v>
      </c>
      <c r="F341" s="1861">
        <v>0.15</v>
      </c>
    </row>
    <row r="342" spans="1:6" ht="15" thickBot="1">
      <c r="A342" s="1855" t="s">
        <v>2191</v>
      </c>
      <c r="B342" s="1859" t="s">
        <v>2197</v>
      </c>
      <c r="C342" s="1860">
        <v>0.15</v>
      </c>
      <c r="D342" s="1860">
        <v>0.15</v>
      </c>
      <c r="E342" s="1860">
        <v>0.15</v>
      </c>
      <c r="F342" s="1861">
        <v>0.15</v>
      </c>
    </row>
    <row r="343" spans="1:6" ht="15" thickBot="1">
      <c r="A343" s="1855" t="s">
        <v>2191</v>
      </c>
      <c r="B343" s="1859" t="s">
        <v>2198</v>
      </c>
      <c r="C343" s="1860">
        <v>0.15</v>
      </c>
      <c r="D343" s="1860">
        <v>0.15</v>
      </c>
      <c r="E343" s="1860">
        <v>0.15</v>
      </c>
      <c r="F343" s="1861">
        <v>0.15</v>
      </c>
    </row>
    <row r="344" spans="1:6" ht="1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2" t="s">
        <v>2900</v>
      </c>
      <c r="B1" s="3104"/>
      <c r="C1" s="3104"/>
      <c r="D1" s="3104"/>
      <c r="E1" s="3104"/>
      <c r="F1" s="3104"/>
    </row>
    <row r="2" spans="1:6" ht="15.6">
      <c r="A2" s="3105" t="s">
        <v>2895</v>
      </c>
      <c r="B2" s="3106" t="e">
        <f ca="1">SUMIF(B7:B14,"&lt;&gt;#ref!",B7:B14)</f>
        <v>#DIV/0!</v>
      </c>
      <c r="C2" s="3105" t="s">
        <v>2896</v>
      </c>
      <c r="D2" s="3104"/>
      <c r="E2" s="3104"/>
      <c r="F2" s="3104"/>
    </row>
    <row r="3" spans="1:6" ht="15.6">
      <c r="A3" s="3105" t="s">
        <v>2927</v>
      </c>
      <c r="B3" s="3106" t="e">
        <f ca="1">ROUND(B2*10000/E3,0)</f>
        <v>#DIV/0!</v>
      </c>
      <c r="C3" s="3105" t="s">
        <v>2040</v>
      </c>
      <c r="D3" s="3105" t="s">
        <v>2897</v>
      </c>
      <c r="E3" s="3106">
        <f ca="1">SUMIF(E7:E14,"&lt;&gt;#ref!",E7:E14)</f>
        <v>0</v>
      </c>
      <c r="F3" s="3104"/>
    </row>
    <row r="4" spans="1:6" ht="15.6">
      <c r="A4" s="3105" t="s">
        <v>2904</v>
      </c>
      <c r="B4" s="3106" t="e">
        <f ca="1">ROUND(B2*10000/E4,0)</f>
        <v>#DIV/0!</v>
      </c>
      <c r="C4" s="3105" t="s">
        <v>2040</v>
      </c>
      <c r="D4" s="3105" t="s">
        <v>2905</v>
      </c>
      <c r="E4" s="3106">
        <f ca="1">SUMIF(F7:F14,"&lt;&gt;#ref!",F7:F14)</f>
        <v>0</v>
      </c>
      <c r="F4" s="3104"/>
    </row>
    <row r="5" spans="1:6" ht="15.6">
      <c r="A5" s="3107"/>
      <c r="B5" s="1881"/>
      <c r="C5" s="1881"/>
      <c r="D5" s="1881"/>
      <c r="E5" s="1881"/>
      <c r="F5" s="3104"/>
    </row>
    <row r="6" spans="1:6" ht="31.2">
      <c r="A6" s="3108" t="s">
        <v>2901</v>
      </c>
      <c r="B6" s="3105" t="s">
        <v>2898</v>
      </c>
      <c r="C6" s="3106"/>
      <c r="D6" s="1881"/>
      <c r="E6" s="3105" t="s">
        <v>2899</v>
      </c>
      <c r="F6" s="3105" t="s">
        <v>2903</v>
      </c>
    </row>
    <row r="7" spans="1:6" ht="15.6">
      <c r="A7" s="260" t="s">
        <v>2902</v>
      </c>
      <c r="B7" s="3109" t="e">
        <f ca="1">SUMIF(INDIRECT("'"&amp;A7&amp;"'"&amp;"!A:A"),"总价",INDIRECT("'"&amp;A7&amp;"'"&amp;"!B:B"))</f>
        <v>#DIV/0!</v>
      </c>
      <c r="C7" s="3105" t="s">
        <v>2896</v>
      </c>
      <c r="D7" s="1881"/>
      <c r="E7" s="3110">
        <f ca="1">SUMIF(INDIRECT("'"&amp;A7&amp;"'"&amp;"!C:C"),"建筑面积",INDIRECT("'"&amp;A7&amp;"'"&amp;"!D:D"))</f>
        <v>0</v>
      </c>
      <c r="F7" s="3110">
        <f ca="1">SUMIF(INDIRECT("'"&amp;A7&amp;"'"&amp;"!E:E"),"土地面积",INDIRECT("'"&amp;A7&amp;"'"&amp;"!F:F"))</f>
        <v>0</v>
      </c>
    </row>
    <row r="8" spans="1:6" ht="15.6">
      <c r="A8" s="260"/>
      <c r="B8" s="3109" t="e">
        <f t="shared" ref="B8:B14" ca="1" si="0">SUMIF(INDIRECT("'"&amp;A8&amp;"'"&amp;"!A:A"),"总价",INDIRECT("'"&amp;A8&amp;"'"&amp;"!B:B"))</f>
        <v>#REF!</v>
      </c>
      <c r="C8" s="3105" t="s">
        <v>2896</v>
      </c>
      <c r="D8" s="1881"/>
      <c r="E8" s="3110" t="e">
        <f t="shared" ref="E8:E14" ca="1" si="1">SUMIF(INDIRECT("'"&amp;A8&amp;"'"&amp;"!C:C"),"建筑面积",INDIRECT("'"&amp;A8&amp;"'"&amp;"!D:D"))</f>
        <v>#REF!</v>
      </c>
      <c r="F8" s="3110" t="e">
        <f t="shared" ref="F8:F14" ca="1" si="2">SUMIF(INDIRECT("'"&amp;A8&amp;"'"&amp;"!E:E"),"土地面积",INDIRECT("'"&amp;A8&amp;"'"&amp;"!F:F"))</f>
        <v>#REF!</v>
      </c>
    </row>
    <row r="9" spans="1:6" ht="15.6">
      <c r="A9" s="260"/>
      <c r="B9" s="3109" t="e">
        <f t="shared" ca="1" si="0"/>
        <v>#REF!</v>
      </c>
      <c r="C9" s="3105" t="s">
        <v>2896</v>
      </c>
      <c r="D9" s="1881"/>
      <c r="E9" s="3110" t="e">
        <f t="shared" ca="1" si="1"/>
        <v>#REF!</v>
      </c>
      <c r="F9" s="3110" t="e">
        <f t="shared" ca="1" si="2"/>
        <v>#REF!</v>
      </c>
    </row>
    <row r="10" spans="1:6" ht="15.6">
      <c r="A10" s="260"/>
      <c r="B10" s="3109" t="e">
        <f t="shared" ca="1" si="0"/>
        <v>#REF!</v>
      </c>
      <c r="C10" s="3105" t="s">
        <v>2896</v>
      </c>
      <c r="D10" s="1881"/>
      <c r="E10" s="3110" t="e">
        <f t="shared" ca="1" si="1"/>
        <v>#REF!</v>
      </c>
      <c r="F10" s="3110" t="e">
        <f t="shared" ca="1" si="2"/>
        <v>#REF!</v>
      </c>
    </row>
    <row r="11" spans="1:6" ht="15.6">
      <c r="A11" s="260"/>
      <c r="B11" s="3109" t="e">
        <f t="shared" ca="1" si="0"/>
        <v>#REF!</v>
      </c>
      <c r="C11" s="3105" t="s">
        <v>2896</v>
      </c>
      <c r="D11" s="1881"/>
      <c r="E11" s="3110" t="e">
        <f t="shared" ca="1" si="1"/>
        <v>#REF!</v>
      </c>
      <c r="F11" s="3110" t="e">
        <f t="shared" ca="1" si="2"/>
        <v>#REF!</v>
      </c>
    </row>
    <row r="12" spans="1:6" ht="15.6">
      <c r="A12" s="260"/>
      <c r="B12" s="3109" t="e">
        <f t="shared" ca="1" si="0"/>
        <v>#REF!</v>
      </c>
      <c r="C12" s="3105" t="s">
        <v>2896</v>
      </c>
      <c r="D12" s="1881"/>
      <c r="E12" s="3110" t="e">
        <f t="shared" ca="1" si="1"/>
        <v>#REF!</v>
      </c>
      <c r="F12" s="3110" t="e">
        <f t="shared" ca="1" si="2"/>
        <v>#REF!</v>
      </c>
    </row>
    <row r="13" spans="1:6" ht="15.6">
      <c r="A13" s="260"/>
      <c r="B13" s="3109" t="e">
        <f t="shared" ca="1" si="0"/>
        <v>#REF!</v>
      </c>
      <c r="C13" s="3105" t="s">
        <v>2896</v>
      </c>
      <c r="D13" s="1881"/>
      <c r="E13" s="3110" t="e">
        <f t="shared" ca="1" si="1"/>
        <v>#REF!</v>
      </c>
      <c r="F13" s="3110" t="e">
        <f t="shared" ca="1" si="2"/>
        <v>#REF!</v>
      </c>
    </row>
    <row r="14" spans="1:6" ht="15.6">
      <c r="A14" s="3103"/>
      <c r="B14" s="3109" t="e">
        <f t="shared" ca="1" si="0"/>
        <v>#REF!</v>
      </c>
      <c r="C14" s="3105" t="s">
        <v>2896</v>
      </c>
      <c r="D14" s="1881"/>
      <c r="E14" s="3110" t="e">
        <f t="shared" ca="1" si="1"/>
        <v>#REF!</v>
      </c>
      <c r="F14" s="311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2418</v>
      </c>
      <c r="C7" s="53">
        <f ca="1">C8+C12+C14</f>
        <v>0</v>
      </c>
      <c r="D7" s="2496" t="s">
        <v>2421</v>
      </c>
      <c r="E7" s="2490"/>
      <c r="F7" s="2491"/>
      <c r="G7" s="1591"/>
      <c r="H7" s="781">
        <v>1</v>
      </c>
      <c r="I7" s="782" t="s">
        <v>2418</v>
      </c>
      <c r="J7" s="53">
        <f ca="1">J8+J12+J14</f>
        <v>0</v>
      </c>
      <c r="K7" s="2496" t="s">
        <v>2421</v>
      </c>
      <c r="L7" s="2490"/>
      <c r="M7" s="2491"/>
    </row>
    <row r="8" spans="1:25" ht="18" customHeight="1">
      <c r="A8" s="1830" t="s">
        <v>1786</v>
      </c>
      <c r="B8" s="3450" t="s">
        <v>2423</v>
      </c>
      <c r="C8" s="1825">
        <f ca="1">ROUND(F8*F10*F9*(1-F11)/10000,0)</f>
        <v>0</v>
      </c>
      <c r="D8" s="1822" t="s">
        <v>2494</v>
      </c>
      <c r="E8" s="61" t="s">
        <v>602</v>
      </c>
      <c r="F8" s="785">
        <f ca="1">INDIRECT("'数据-取费表'!u"&amp;$G$1)</f>
        <v>0</v>
      </c>
      <c r="G8" s="1591"/>
      <c r="H8" s="2504" t="s">
        <v>1786</v>
      </c>
      <c r="I8" s="3450" t="s">
        <v>2423</v>
      </c>
      <c r="J8" s="783">
        <f ca="1">ROUND(M8*M10*M9*(1-M11)/10000,0)</f>
        <v>0</v>
      </c>
      <c r="K8" s="341" t="s">
        <v>2494</v>
      </c>
      <c r="L8" s="784" t="s">
        <v>1700</v>
      </c>
      <c r="M8" s="785">
        <f ca="1">INDIRECT("'数据-取费表'!z"&amp;$G$1)</f>
        <v>0</v>
      </c>
    </row>
    <row r="9" spans="1:25" ht="18" customHeight="1">
      <c r="A9" s="2500"/>
      <c r="B9" s="3451"/>
      <c r="C9" s="1826"/>
      <c r="D9" s="1823"/>
      <c r="E9" s="61" t="s">
        <v>603</v>
      </c>
      <c r="F9" s="785">
        <f ca="1">IF(INDIRECT("'数据-取费表'!ah"&amp;$G$1)="",INDIRECT("'数据-取费表'!k"&amp;$G$1),INDIRECT("'数据-取费表'!ah"&amp;$G$1))</f>
        <v>0</v>
      </c>
      <c r="G9" s="1591"/>
      <c r="H9" s="2489"/>
      <c r="I9" s="3451"/>
      <c r="J9" s="788"/>
      <c r="K9" s="789"/>
      <c r="L9" s="784" t="s">
        <v>1701</v>
      </c>
      <c r="M9" s="785">
        <f ca="1">F9</f>
        <v>0</v>
      </c>
    </row>
    <row r="10" spans="1:25" ht="18" customHeight="1">
      <c r="A10" s="2493"/>
      <c r="B10" s="3452"/>
      <c r="C10" s="1826"/>
      <c r="D10" s="1823"/>
      <c r="E10" s="61" t="s">
        <v>604</v>
      </c>
      <c r="F10" s="785">
        <f ca="1">INDIRECT("'数据-取费表'!ai"&amp;$G$1)</f>
        <v>0</v>
      </c>
      <c r="G10" s="1591"/>
      <c r="H10" s="2489"/>
      <c r="I10" s="3452"/>
      <c r="J10" s="788"/>
      <c r="K10" s="789"/>
      <c r="L10" s="784" t="s">
        <v>1702</v>
      </c>
      <c r="M10" s="785">
        <f ca="1">INDIRECT("'数据-取费表'!ai"&amp;$G$1)</f>
        <v>0</v>
      </c>
    </row>
    <row r="11" spans="1:25" ht="18" customHeight="1">
      <c r="A11" s="786"/>
      <c r="B11" s="3453"/>
      <c r="C11" s="1826"/>
      <c r="D11" s="1823"/>
      <c r="E11" s="61" t="s">
        <v>605</v>
      </c>
      <c r="F11" s="794">
        <f ca="1">INDIRECT("'数据-取费表'!w"&amp;$G$1)</f>
        <v>0</v>
      </c>
      <c r="G11" s="1591"/>
      <c r="H11" s="2505"/>
      <c r="I11" s="3452"/>
      <c r="J11" s="788"/>
      <c r="K11" s="789"/>
      <c r="L11" s="795" t="s">
        <v>1703</v>
      </c>
      <c r="M11" s="796">
        <f ca="1">INDIRECT("'数据-取费表'!ab"&amp;$G$1)</f>
        <v>0</v>
      </c>
    </row>
    <row r="12" spans="1:25" ht="18" customHeight="1">
      <c r="A12" s="1830" t="s">
        <v>1787</v>
      </c>
      <c r="B12" s="2494" t="s">
        <v>2419</v>
      </c>
      <c r="C12" s="799">
        <f ca="1">ROUND(IF(F12="押一",C8/12*F13,IF(F12="押二",C8/12*2*F13,IF(F12="押三",C8/12*3*F13,C13*F13))),0)</f>
        <v>0</v>
      </c>
      <c r="D12" s="2501" t="s">
        <v>2923</v>
      </c>
      <c r="E12" s="2498" t="s">
        <v>2424</v>
      </c>
      <c r="F12" s="2621"/>
      <c r="G12" s="1591"/>
      <c r="H12" s="2561" t="s">
        <v>1787</v>
      </c>
      <c r="I12" s="2566" t="s">
        <v>2419</v>
      </c>
      <c r="J12" s="783">
        <f ca="1">ROUND(IF(M12="押一",J8/12*M13,IF(M12="押二",J8/12*2*M13,IF(M12="押三",J8/12*3*M13,J13*M13))),0)</f>
        <v>0</v>
      </c>
      <c r="K12" s="2501" t="s">
        <v>2923</v>
      </c>
      <c r="L12" s="2498" t="s">
        <v>2424</v>
      </c>
      <c r="M12" s="2621"/>
    </row>
    <row r="13" spans="1:25" ht="18" customHeight="1">
      <c r="A13" s="790"/>
      <c r="B13" s="2495" t="s">
        <v>2533</v>
      </c>
      <c r="C13" s="2499"/>
      <c r="D13" s="789"/>
      <c r="E13" s="2498" t="s">
        <v>2416</v>
      </c>
      <c r="F13" s="796">
        <f ca="1">'数据-取费表'!B39</f>
        <v>1.4999999999999999E-2</v>
      </c>
      <c r="G13" s="1591"/>
      <c r="H13" s="2562"/>
      <c r="I13" s="2495" t="s">
        <v>2533</v>
      </c>
      <c r="J13" s="2499"/>
      <c r="K13" s="2563"/>
      <c r="L13" s="2498" t="s">
        <v>2416</v>
      </c>
      <c r="M13" s="2492">
        <f ca="1">'数据-取费表'!B39</f>
        <v>1.4999999999999999E-2</v>
      </c>
    </row>
    <row r="14" spans="1:25" ht="18" customHeight="1" thickBot="1">
      <c r="A14" s="2537" t="s">
        <v>2427</v>
      </c>
      <c r="B14" s="2538" t="s">
        <v>2420</v>
      </c>
      <c r="C14" s="2539"/>
      <c r="D14" s="2540"/>
      <c r="E14" s="2541"/>
      <c r="F14" s="2542"/>
      <c r="G14" s="1591"/>
      <c r="H14" s="2551" t="s">
        <v>2427</v>
      </c>
      <c r="I14" s="2564" t="s">
        <v>2420</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2785</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2782</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2783</v>
      </c>
      <c r="C31" s="2544">
        <f ca="1">ROUND((C21+C22+C25+C28)/(1-F23-C26-C29-C30),0)</f>
        <v>0</v>
      </c>
      <c r="D31" s="2545"/>
      <c r="E31" s="2546"/>
      <c r="F31" s="2547"/>
      <c r="G31" s="1592"/>
      <c r="H31" s="823" t="s">
        <v>1834</v>
      </c>
      <c r="I31" s="3012" t="s">
        <v>2784</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49"/>
      <c r="J36" s="2079"/>
      <c r="K36" s="2080"/>
      <c r="L36" s="2079"/>
      <c r="M36" s="2079"/>
    </row>
    <row r="37" spans="1:18" ht="18" customHeight="1">
      <c r="A37" s="815"/>
      <c r="B37" s="793"/>
      <c r="C37" s="69"/>
      <c r="D37" s="816"/>
      <c r="E37" s="784" t="s">
        <v>639</v>
      </c>
      <c r="F37" s="785">
        <f ca="1">INDIRECT("'数据-取费表'!r"&amp;$G$1)</f>
        <v>0</v>
      </c>
      <c r="G37" s="2062"/>
      <c r="H37" s="2065"/>
      <c r="I37" s="3449"/>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1" t="s">
        <v>2912</v>
      </c>
      <c r="F43" s="3122">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8">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3" t="s">
        <v>2914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9" t="str">
        <f ca="1">IF(M48="住宅",0,IF(L49&gt;J52,L61,J61))</f>
        <v>0</v>
      </c>
      <c r="O47" s="2394" t="s">
        <v>2371</v>
      </c>
      <c r="P47" s="1591"/>
      <c r="Q47" s="1603"/>
      <c r="R47" s="1591"/>
    </row>
    <row r="48" spans="1:18" s="2059" customFormat="1" ht="18" customHeight="1" thickBot="1">
      <c r="A48" s="2084"/>
      <c r="C48" s="2087"/>
      <c r="D48" s="2088"/>
      <c r="E48" s="2088"/>
      <c r="F48" s="2089"/>
      <c r="G48" s="2090"/>
      <c r="I48" s="3149" t="s">
        <v>2305</v>
      </c>
      <c r="J48" s="2381"/>
      <c r="K48" s="3156" t="s">
        <v>2310</v>
      </c>
      <c r="L48" s="3160">
        <f ca="1">INDIRECT("'数据-取费表'!d"&amp;$G$1)</f>
        <v>0</v>
      </c>
      <c r="M48" s="3120"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5" t="s">
        <v>2306</v>
      </c>
      <c r="J49" s="2382"/>
      <c r="K49" s="3157"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5" t="s">
        <v>2307</v>
      </c>
      <c r="J50" s="2383"/>
      <c r="K50" s="3158"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5" t="s">
        <v>2308</v>
      </c>
      <c r="J51" s="3153">
        <f>SUMPRODUCT((I64:I66=J48)*(J63:L63=J49)*(J64:L66))</f>
        <v>0</v>
      </c>
      <c r="K51" s="3158" t="s">
        <v>2314</v>
      </c>
      <c r="L51" s="2384"/>
      <c r="O51" s="2401" t="s">
        <v>2344</v>
      </c>
      <c r="P51" s="2399" t="s">
        <v>2368</v>
      </c>
      <c r="Q51" s="2400">
        <f ca="1">C31</f>
        <v>0</v>
      </c>
      <c r="R51" s="2399" t="s">
        <v>2341</v>
      </c>
    </row>
    <row r="52" spans="1:18" s="2059" customFormat="1" ht="18" customHeight="1" thickBot="1">
      <c r="A52" s="2096"/>
      <c r="F52" s="2085"/>
      <c r="I52" s="3150" t="s">
        <v>2309</v>
      </c>
      <c r="J52" s="3154">
        <f>IF(J50="",J51,J50+J51-YEAR('数据-取费表'!B3))</f>
        <v>0</v>
      </c>
      <c r="K52" s="3125" t="s">
        <v>2315</v>
      </c>
      <c r="L52" s="3161">
        <f ca="1">ROUND(-PV(INDIRECT("'数据-取费表'!h"&amp;$G$1),L49,(C40-C14*J36),0),0)</f>
        <v>0</v>
      </c>
      <c r="O52" s="2401" t="s">
        <v>2345</v>
      </c>
      <c r="P52" s="2399" t="s">
        <v>2346</v>
      </c>
      <c r="Q52" s="2402" t="e">
        <f ca="1">J59</f>
        <v>#VALUE!</v>
      </c>
      <c r="R52" s="2403"/>
    </row>
    <row r="53" spans="1:18" s="2059" customFormat="1" ht="18" customHeight="1" thickBot="1">
      <c r="A53" s="2096"/>
      <c r="F53" s="2085"/>
      <c r="I53" s="3151" t="s">
        <v>2382</v>
      </c>
      <c r="J53" s="2385"/>
      <c r="K53" s="3151" t="s">
        <v>2381</v>
      </c>
      <c r="L53" s="2385"/>
      <c r="O53" s="2401" t="s">
        <v>2347</v>
      </c>
      <c r="P53" s="2399" t="s">
        <v>2348</v>
      </c>
      <c r="Q53" s="2402">
        <f>J53</f>
        <v>0</v>
      </c>
      <c r="R53" s="2403"/>
    </row>
    <row r="54" spans="1:18" s="2059" customFormat="1" ht="31.8" thickBot="1">
      <c r="A54" s="2096"/>
      <c r="I54" s="3152" t="s">
        <v>2928</v>
      </c>
      <c r="J54" s="3155">
        <f ca="1">IF(M48="住宅",MAX(J52,L49-'数据-取费表'!B20),MIN(J52,L49-'数据-取费表'!B20))</f>
        <v>-2</v>
      </c>
      <c r="K54" s="3454"/>
      <c r="L54" s="3455"/>
      <c r="O54" s="2401" t="s">
        <v>2349</v>
      </c>
      <c r="P54" s="2399" t="s">
        <v>2350</v>
      </c>
      <c r="Q54" s="2400">
        <f ca="1">J54</f>
        <v>-2</v>
      </c>
      <c r="R54" s="2399" t="s">
        <v>2351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2352</v>
      </c>
      <c r="P55" s="2399" t="s">
        <v>2369</v>
      </c>
      <c r="Q55" s="2400">
        <f ca="1">Q49+Q50</f>
        <v>0</v>
      </c>
      <c r="R55" s="2403" t="s">
        <v>2353</v>
      </c>
    </row>
    <row r="56" spans="1:18" s="2059" customFormat="1" ht="16.2" thickBot="1">
      <c r="A56" s="2096"/>
      <c r="B56" s="2097"/>
      <c r="C56" s="2097"/>
      <c r="I56" s="3164" t="s">
        <v>2316</v>
      </c>
      <c r="J56" s="3100" t="e">
        <f ca="1">ROUND(IF(J48="钢混",J58/J51,1-(1-2%)*(J51-J58)/J51),3)</f>
        <v>#VALUE!</v>
      </c>
      <c r="K56" s="3165" t="s">
        <v>2317</v>
      </c>
      <c r="L56" s="2386"/>
      <c r="O56" s="2404" t="s">
        <v>2372</v>
      </c>
      <c r="P56" s="1591"/>
      <c r="Q56" s="1603"/>
      <c r="R56" s="1591"/>
    </row>
    <row r="57" spans="1:18" s="2059" customFormat="1" ht="47.4" thickBot="1">
      <c r="A57" s="2096"/>
      <c r="B57" s="2097"/>
      <c r="C57" s="2097"/>
      <c r="I57" s="3166" t="s">
        <v>2318</v>
      </c>
      <c r="J57" s="3176" t="s">
        <v>1643</v>
      </c>
      <c r="K57" s="3125" t="s">
        <v>2323</v>
      </c>
      <c r="L57" s="1908">
        <f ca="1">IF(L49&lt;J52,"——",L49-J52)</f>
        <v>0</v>
      </c>
      <c r="O57" s="2395" t="s">
        <v>2336</v>
      </c>
      <c r="P57" s="2396" t="s">
        <v>2337</v>
      </c>
      <c r="Q57" s="2397" t="s">
        <v>2338</v>
      </c>
      <c r="R57" s="2396" t="s">
        <v>2339</v>
      </c>
    </row>
    <row r="58" spans="1:18" s="2059" customFormat="1" ht="31.8" thickBot="1">
      <c r="A58" s="2096"/>
      <c r="B58" s="2097"/>
      <c r="C58" s="2097"/>
      <c r="I58" s="3167" t="s">
        <v>2319</v>
      </c>
      <c r="J58" s="3168" t="str">
        <f ca="1">IF(OR(M48="住宅",J52&lt;L49,J57="是"),"——",J52-L49)</f>
        <v>——</v>
      </c>
      <c r="K58" s="3125" t="s">
        <v>2324</v>
      </c>
      <c r="L58" s="1908">
        <f ca="1">IF(L49&lt;J52,"——",IF(L56="比较法",L50,IF(L56="基准地价",L51,L52)))</f>
        <v>0</v>
      </c>
      <c r="O58" s="2398" t="s">
        <v>2340</v>
      </c>
      <c r="P58" s="2399" t="s">
        <v>2366</v>
      </c>
      <c r="Q58" s="2400">
        <f ca="1">C41+J31</f>
        <v>0</v>
      </c>
      <c r="R58" s="2399" t="s">
        <v>2341</v>
      </c>
    </row>
    <row r="59" spans="1:18" s="2059" customFormat="1" ht="31.8" thickBot="1">
      <c r="A59" s="2096"/>
      <c r="B59" s="2097"/>
      <c r="C59" s="2097"/>
      <c r="I59" s="3167" t="s">
        <v>2320</v>
      </c>
      <c r="J59" s="3101" t="e">
        <f ca="1">IF(J56&lt;0.4,0.4,J56)</f>
        <v>#VALUE!</v>
      </c>
      <c r="K59" s="3125"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31.8" thickBot="1">
      <c r="A60" s="2096"/>
      <c r="B60" s="2097"/>
      <c r="C60" s="2097"/>
      <c r="I60" s="3167" t="s">
        <v>2321</v>
      </c>
      <c r="J60" s="3168" t="str">
        <f ca="1">IF(OR(M48="住宅",J52&lt;L49,J57="是"),"——",ROUND(C30*J59,0))</f>
        <v>——</v>
      </c>
      <c r="K60" s="3125"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6.2" thickBot="1">
      <c r="A61" s="2096"/>
      <c r="B61" s="2097"/>
      <c r="C61" s="2097"/>
      <c r="I61" s="3169" t="s">
        <v>2322</v>
      </c>
      <c r="J61" s="3170" t="str">
        <f ca="1">IF(OR(M48="住宅",J52&lt;L49,J57="是"),"0",ROUND(J60/(1+J53)^J54,0))</f>
        <v>0</v>
      </c>
      <c r="K61" s="3171" t="s">
        <v>2327</v>
      </c>
      <c r="L61" s="3170" t="e">
        <f ca="1">IF(OR(M48="住宅",L49&lt;J52),0,ROUND(L58*(L59/L60-1),0))</f>
        <v>#DIV/0!</v>
      </c>
      <c r="O61" s="2401" t="s">
        <v>2345</v>
      </c>
      <c r="P61" s="2399" t="s">
        <v>2354</v>
      </c>
      <c r="Q61" s="2402">
        <f>L53</f>
        <v>0</v>
      </c>
      <c r="R61" s="2403"/>
    </row>
    <row r="62" spans="1:18" s="2059" customFormat="1" ht="19.2" thickBot="1">
      <c r="A62" s="2096"/>
      <c r="B62" s="2097"/>
      <c r="C62" s="2097"/>
      <c r="K62" s="2086"/>
      <c r="O62" s="2401" t="s">
        <v>2347</v>
      </c>
      <c r="P62" s="2399" t="s">
        <v>2355</v>
      </c>
      <c r="Q62" s="2400">
        <f ca="1">L59</f>
        <v>0</v>
      </c>
      <c r="R62" s="2403" t="s">
        <v>2356</v>
      </c>
    </row>
    <row r="63" spans="1:18" s="2059" customFormat="1" ht="19.2" thickBot="1">
      <c r="A63" s="2096"/>
      <c r="B63" s="2097"/>
      <c r="C63" s="2097"/>
      <c r="I63" s="3172" t="s">
        <v>2328</v>
      </c>
      <c r="J63" s="3173" t="s">
        <v>2329</v>
      </c>
      <c r="K63" s="3173" t="s">
        <v>2330</v>
      </c>
      <c r="L63" s="3173" t="s">
        <v>2311</v>
      </c>
      <c r="M63" s="3174" t="s">
        <v>2893</v>
      </c>
      <c r="O63" s="2401" t="s">
        <v>2349</v>
      </c>
      <c r="P63" s="2399" t="s">
        <v>2357</v>
      </c>
      <c r="Q63" s="2400">
        <f ca="1">L60</f>
        <v>0</v>
      </c>
      <c r="R63" s="2403" t="s">
        <v>2358</v>
      </c>
    </row>
    <row r="64" spans="1:18" s="2059" customFormat="1" ht="16.2" thickBot="1">
      <c r="A64" s="2096"/>
      <c r="B64" s="2097"/>
      <c r="C64" s="2097"/>
      <c r="I64" s="3172" t="s">
        <v>2331</v>
      </c>
      <c r="J64" s="3173">
        <v>70</v>
      </c>
      <c r="K64" s="3173">
        <v>50</v>
      </c>
      <c r="L64" s="3173">
        <v>80</v>
      </c>
      <c r="M64" s="3175">
        <v>0.02</v>
      </c>
      <c r="O64" s="2398" t="s">
        <v>2352</v>
      </c>
      <c r="P64" s="2399" t="s">
        <v>2369</v>
      </c>
      <c r="Q64" s="2400" t="e">
        <f ca="1">Q58+Q59</f>
        <v>#DIV/0!</v>
      </c>
      <c r="R64" s="2403" t="s">
        <v>2353</v>
      </c>
    </row>
    <row r="65" spans="1:18" s="2059" customFormat="1" ht="16.2" thickBot="1">
      <c r="A65" s="2096"/>
      <c r="B65" s="2097"/>
      <c r="C65" s="2097"/>
      <c r="I65" s="3172" t="s">
        <v>2332</v>
      </c>
      <c r="J65" s="3173">
        <v>50</v>
      </c>
      <c r="K65" s="3173">
        <v>35</v>
      </c>
      <c r="L65" s="3173">
        <v>60</v>
      </c>
      <c r="M65" s="846">
        <v>0</v>
      </c>
      <c r="O65" s="2404" t="s">
        <v>2376</v>
      </c>
      <c r="P65" s="1591"/>
      <c r="Q65" s="1603"/>
      <c r="R65" s="1591"/>
    </row>
    <row r="66" spans="1:18" s="2059" customFormat="1" ht="16.2" thickBot="1">
      <c r="A66" s="2096"/>
      <c r="B66" s="2097"/>
      <c r="C66" s="2097"/>
      <c r="I66" s="3172" t="s">
        <v>2333</v>
      </c>
      <c r="J66" s="3173">
        <v>40</v>
      </c>
      <c r="K66" s="3173">
        <v>30</v>
      </c>
      <c r="L66" s="3173">
        <v>50</v>
      </c>
      <c r="M66" s="3175">
        <v>0.02</v>
      </c>
      <c r="O66" s="2395" t="s">
        <v>2336</v>
      </c>
      <c r="P66" s="2396" t="s">
        <v>2337</v>
      </c>
      <c r="Q66" s="2397" t="s">
        <v>2338</v>
      </c>
      <c r="R66" s="2396" t="s">
        <v>2339</v>
      </c>
    </row>
    <row r="67" spans="1:18" s="2059" customFormat="1" ht="16.2" thickBot="1">
      <c r="A67" s="2096"/>
      <c r="B67" s="2097"/>
      <c r="C67" s="2097"/>
      <c r="K67" s="2086"/>
      <c r="O67" s="2398" t="s">
        <v>2340</v>
      </c>
      <c r="P67" s="2399" t="s">
        <v>2366</v>
      </c>
      <c r="Q67" s="2400">
        <f ca="1">C41+J31</f>
        <v>0</v>
      </c>
      <c r="R67" s="2399" t="s">
        <v>2341</v>
      </c>
    </row>
    <row r="68" spans="1:18" s="2059" customFormat="1" ht="19.2" thickBot="1">
      <c r="A68" s="2096"/>
      <c r="B68" s="2097"/>
      <c r="C68" s="2097"/>
      <c r="K68" s="2086"/>
      <c r="O68" s="2398" t="s">
        <v>2342</v>
      </c>
      <c r="P68" s="2399" t="s">
        <v>2373</v>
      </c>
      <c r="Q68" s="2400" t="e">
        <f ca="1">L61</f>
        <v>#DIV/0!</v>
      </c>
      <c r="R68" s="2403" t="s">
        <v>2375</v>
      </c>
    </row>
    <row r="69" spans="1:18" s="2059" customFormat="1" ht="20.399999999999999" thickBot="1">
      <c r="A69" s="2096"/>
      <c r="B69" s="2097"/>
      <c r="C69" s="2097"/>
      <c r="K69" s="2086"/>
      <c r="O69" s="2401" t="s">
        <v>2344</v>
      </c>
      <c r="P69" s="2399" t="s">
        <v>2374</v>
      </c>
      <c r="Q69" s="2405">
        <f ca="1">L52</f>
        <v>0</v>
      </c>
      <c r="R69" s="2406" t="s">
        <v>2377</v>
      </c>
    </row>
    <row r="70" spans="1:18" s="2059" customFormat="1" ht="19.2" thickBot="1">
      <c r="A70" s="2096"/>
      <c r="B70" s="2097"/>
      <c r="C70" s="2097"/>
      <c r="K70" s="2086"/>
      <c r="O70" s="2401" t="s">
        <v>2345</v>
      </c>
      <c r="P70" s="2407" t="s">
        <v>2359</v>
      </c>
      <c r="Q70" s="2400">
        <f ca="1">ROUND(Q71-Q72*Q73,0)</f>
        <v>0</v>
      </c>
      <c r="R70" s="2403"/>
    </row>
    <row r="71" spans="1:18" s="2059" customFormat="1" ht="16.2" thickBot="1">
      <c r="A71" s="2096"/>
      <c r="B71" s="2097"/>
      <c r="C71" s="2097"/>
      <c r="K71" s="2086"/>
      <c r="O71" s="2401" t="s">
        <v>2360</v>
      </c>
      <c r="P71" s="2407" t="s">
        <v>2361</v>
      </c>
      <c r="Q71" s="2400">
        <f ca="1">C42</f>
        <v>0</v>
      </c>
      <c r="R71" s="2399" t="s">
        <v>2341</v>
      </c>
    </row>
    <row r="72" spans="1:18" s="2059" customFormat="1" ht="16.2" thickBot="1">
      <c r="A72" s="2096"/>
      <c r="B72" s="2097"/>
      <c r="C72" s="2097"/>
      <c r="K72" s="2086"/>
      <c r="O72" s="2401" t="s">
        <v>2362</v>
      </c>
      <c r="P72" s="2407" t="s">
        <v>2363</v>
      </c>
      <c r="Q72" s="2400">
        <f ca="1">C15</f>
        <v>0</v>
      </c>
      <c r="R72" s="2399" t="s">
        <v>2341</v>
      </c>
    </row>
    <row r="73" spans="1:18" s="2059" customFormat="1" ht="16.2" thickBot="1">
      <c r="A73" s="2096"/>
      <c r="B73" s="2097"/>
      <c r="C73" s="2097"/>
      <c r="K73" s="2086"/>
      <c r="O73" s="2401" t="s">
        <v>2364</v>
      </c>
      <c r="P73" s="2407" t="s">
        <v>2365</v>
      </c>
      <c r="Q73" s="2402">
        <f ca="1">F43</f>
        <v>0</v>
      </c>
      <c r="R73" s="2403"/>
    </row>
    <row r="74" spans="1:18" s="2059" customFormat="1" ht="16.2" thickBot="1">
      <c r="A74" s="2096"/>
      <c r="B74" s="2097"/>
      <c r="C74" s="2097"/>
      <c r="K74" s="2086"/>
      <c r="O74" s="2401" t="s">
        <v>2347</v>
      </c>
      <c r="P74" s="2399" t="s">
        <v>2354</v>
      </c>
      <c r="Q74" s="2402">
        <f>L53</f>
        <v>0</v>
      </c>
      <c r="R74" s="2403"/>
    </row>
    <row r="75" spans="1:18" s="2059" customFormat="1" ht="19.2" thickBot="1">
      <c r="A75" s="2096"/>
      <c r="B75" s="2097"/>
      <c r="C75" s="2097"/>
      <c r="K75" s="2086"/>
      <c r="O75" s="2401" t="s">
        <v>2349</v>
      </c>
      <c r="P75" s="2399" t="s">
        <v>2355</v>
      </c>
      <c r="Q75" s="2400">
        <f ca="1">L59</f>
        <v>0</v>
      </c>
      <c r="R75" s="2403" t="s">
        <v>2356</v>
      </c>
    </row>
    <row r="76" spans="1:18" s="2059" customFormat="1" ht="19.2" thickBot="1">
      <c r="A76" s="2096"/>
      <c r="B76" s="2097"/>
      <c r="C76" s="2097"/>
      <c r="K76" s="2086"/>
      <c r="O76" s="2401" t="s">
        <v>2378</v>
      </c>
      <c r="P76" s="2399" t="s">
        <v>2357</v>
      </c>
      <c r="Q76" s="2400">
        <f ca="1">L60</f>
        <v>0</v>
      </c>
      <c r="R76" s="2403" t="s">
        <v>2358</v>
      </c>
    </row>
    <row r="77" spans="1:18" s="2059" customFormat="1" ht="16.2"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62" t="s">
        <v>2536</v>
      </c>
      <c r="C1" s="3462"/>
      <c r="D1" s="3462"/>
      <c r="E1" s="3462"/>
      <c r="F1" s="3462"/>
      <c r="G1" s="3461" t="s">
        <v>2537</v>
      </c>
      <c r="H1" s="3461"/>
      <c r="I1" s="3461"/>
      <c r="J1" s="3461"/>
      <c r="K1" s="3461"/>
      <c r="L1" s="3461"/>
      <c r="N1" s="3461" t="s">
        <v>2538</v>
      </c>
      <c r="O1" s="3461"/>
      <c r="P1" s="3461"/>
      <c r="Q1" s="3461"/>
      <c r="R1" s="2654"/>
      <c r="S1" s="3461" t="s">
        <v>2539</v>
      </c>
      <c r="T1" s="3461"/>
      <c r="U1" s="3461"/>
      <c r="V1" s="3461"/>
      <c r="X1" s="3460" t="s">
        <v>2599</v>
      </c>
      <c r="Y1" s="3461"/>
      <c r="Z1" s="3461"/>
      <c r="AA1" s="3461"/>
      <c r="AB1" s="3461"/>
      <c r="AD1" s="3460" t="s">
        <v>2603</v>
      </c>
      <c r="AE1" s="3461"/>
      <c r="AF1" s="3461"/>
      <c r="AG1" s="3461"/>
      <c r="AH1" s="3461"/>
    </row>
    <row r="2" spans="1:34" s="2756" customFormat="1" ht="15" thickBot="1">
      <c r="B2" s="2764" t="s">
        <v>2540</v>
      </c>
      <c r="C2" s="2764" t="s">
        <v>2601</v>
      </c>
      <c r="D2" s="2757" t="s">
        <v>1609</v>
      </c>
      <c r="E2" s="2757" t="s">
        <v>1913</v>
      </c>
      <c r="F2" s="2764" t="s">
        <v>2602</v>
      </c>
      <c r="G2" s="2760"/>
      <c r="H2" s="2759"/>
      <c r="I2" s="2764" t="s">
        <v>2906</v>
      </c>
      <c r="J2" s="2757" t="s">
        <v>2908</v>
      </c>
      <c r="K2" s="2757" t="s">
        <v>2909</v>
      </c>
      <c r="L2" s="2764" t="s">
        <v>2910</v>
      </c>
      <c r="N2" s="2764" t="s">
        <v>2540</v>
      </c>
      <c r="O2" s="2757" t="s">
        <v>2907</v>
      </c>
      <c r="P2" s="2757" t="s">
        <v>1913</v>
      </c>
      <c r="Q2" s="2764" t="s">
        <v>2602</v>
      </c>
      <c r="R2" s="2758"/>
      <c r="S2" s="2764" t="s">
        <v>2540</v>
      </c>
      <c r="T2" s="2757" t="s">
        <v>2907</v>
      </c>
      <c r="U2" s="2757" t="s">
        <v>1913</v>
      </c>
      <c r="V2" s="2764" t="s">
        <v>2602</v>
      </c>
      <c r="X2" s="2764" t="s">
        <v>2540</v>
      </c>
      <c r="Y2" s="2764" t="s">
        <v>2601</v>
      </c>
      <c r="Z2" s="2757" t="s">
        <v>1609</v>
      </c>
      <c r="AA2" s="2757" t="s">
        <v>1913</v>
      </c>
      <c r="AB2" s="2764" t="s">
        <v>2602</v>
      </c>
      <c r="AD2" s="2764" t="s">
        <v>2540</v>
      </c>
      <c r="AE2" s="2764" t="s">
        <v>2601</v>
      </c>
      <c r="AF2" s="2757" t="s">
        <v>1609</v>
      </c>
      <c r="AG2" s="2757" t="s">
        <v>1913</v>
      </c>
      <c r="AH2" s="2764" t="s">
        <v>2602</v>
      </c>
    </row>
    <row r="3" spans="1:34" s="3133" customFormat="1" ht="14.4">
      <c r="A3" s="3145" t="s">
        <v>2918</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4">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2929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2919</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8" thickBot="1">
      <c r="A6" s="2655" t="s">
        <v>2930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2925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2916</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2920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2541</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2542</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5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5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5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933</v>
      </c>
      <c r="B16" s="2661">
        <v>333</v>
      </c>
      <c r="C16" s="2661">
        <v>277</v>
      </c>
      <c r="D16" s="2661">
        <f t="shared" si="45"/>
        <v>277</v>
      </c>
      <c r="E16" s="2661">
        <v>459</v>
      </c>
      <c r="F16" s="2662">
        <v>249</v>
      </c>
      <c r="G16" s="345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5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5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929</v>
      </c>
      <c r="B20" s="2683">
        <v>318</v>
      </c>
      <c r="C20" s="2683">
        <v>268</v>
      </c>
      <c r="D20" s="2683">
        <f t="shared" si="45"/>
        <v>268</v>
      </c>
      <c r="E20" s="2683">
        <v>437</v>
      </c>
      <c r="F20" s="2684">
        <v>237</v>
      </c>
      <c r="G20" s="345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5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5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2543</v>
      </c>
      <c r="B24" s="2661">
        <v>299</v>
      </c>
      <c r="C24" s="2661">
        <v>252</v>
      </c>
      <c r="D24" s="2661">
        <f t="shared" si="45"/>
        <v>252</v>
      </c>
      <c r="E24" s="2661">
        <v>409</v>
      </c>
      <c r="F24" s="2662">
        <v>227</v>
      </c>
      <c r="G24" s="3463">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4"/>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2545</v>
      </c>
      <c r="B26" s="2669">
        <f t="shared" si="54"/>
        <v>288.2649053828776</v>
      </c>
      <c r="C26" s="2669">
        <f t="shared" si="54"/>
        <v>243.64564425013293</v>
      </c>
      <c r="D26" s="2669">
        <f t="shared" si="45"/>
        <v>243.64564425013293</v>
      </c>
      <c r="E26" s="2669">
        <f t="shared" si="55"/>
        <v>393.31080825986544</v>
      </c>
      <c r="F26" s="2669">
        <f t="shared" si="55"/>
        <v>223.07903790551154</v>
      </c>
      <c r="G26" s="3464"/>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2546</v>
      </c>
      <c r="B27" s="2669">
        <f t="shared" si="54"/>
        <v>282.50186729015837</v>
      </c>
      <c r="C27" s="2669">
        <f t="shared" si="54"/>
        <v>238.09796174155468</v>
      </c>
      <c r="D27" s="2669">
        <f t="shared" si="45"/>
        <v>238.09796174155468</v>
      </c>
      <c r="E27" s="2669">
        <f t="shared" si="55"/>
        <v>385.33438646014054</v>
      </c>
      <c r="F27" s="2669">
        <f t="shared" si="55"/>
        <v>221.55034055567739</v>
      </c>
      <c r="G27" s="3465"/>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2547</v>
      </c>
      <c r="B28" s="2699">
        <v>278</v>
      </c>
      <c r="C28" s="2699">
        <v>234</v>
      </c>
      <c r="D28" s="2699">
        <f t="shared" si="45"/>
        <v>234</v>
      </c>
      <c r="E28" s="2699">
        <v>379</v>
      </c>
      <c r="F28" s="2700">
        <v>220</v>
      </c>
      <c r="G28" s="345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2548</v>
      </c>
      <c r="B29" s="2669">
        <f>B28/(1+N28)</f>
        <v>275.49301357645425</v>
      </c>
      <c r="C29" s="2669">
        <f>C28/(1+O28)</f>
        <v>232.41954707985698</v>
      </c>
      <c r="D29" s="2669">
        <f t="shared" si="45"/>
        <v>232.41954707985698</v>
      </c>
      <c r="E29" s="2669">
        <f t="shared" ref="E29:F31" si="56">E28/(1+P28)</f>
        <v>375.32184591008121</v>
      </c>
      <c r="F29" s="2669">
        <f t="shared" si="56"/>
        <v>218.03766105054513</v>
      </c>
      <c r="G29" s="345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2549</v>
      </c>
      <c r="B30" s="2669">
        <f>B29/(1+N29)</f>
        <v>275.24529281292263</v>
      </c>
      <c r="C30" s="2669">
        <f>C29/(1+O29)</f>
        <v>231.74747938962707</v>
      </c>
      <c r="D30" s="2669">
        <f t="shared" si="45"/>
        <v>231.74747938962707</v>
      </c>
      <c r="E30" s="2669">
        <f t="shared" si="56"/>
        <v>375.35938184826603</v>
      </c>
      <c r="F30" s="2669">
        <f t="shared" si="56"/>
        <v>216.78033510692495</v>
      </c>
      <c r="G30" s="345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2550</v>
      </c>
      <c r="B31" s="2669">
        <f>B30/(1+N30)</f>
        <v>275.19025476197027</v>
      </c>
      <c r="C31" s="2701">
        <v>232</v>
      </c>
      <c r="D31" s="2701">
        <f t="shared" si="45"/>
        <v>232</v>
      </c>
      <c r="E31" s="2669">
        <f t="shared" si="56"/>
        <v>375.65990977608692</v>
      </c>
      <c r="F31" s="2669">
        <f t="shared" si="56"/>
        <v>214.12518283971252</v>
      </c>
      <c r="G31" s="345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2551</v>
      </c>
      <c r="B32" s="2661">
        <v>275</v>
      </c>
      <c r="C32" s="2661">
        <v>232</v>
      </c>
      <c r="D32" s="2661">
        <f t="shared" si="45"/>
        <v>232</v>
      </c>
      <c r="E32" s="2661">
        <v>376</v>
      </c>
      <c r="F32" s="2662">
        <v>213</v>
      </c>
      <c r="G32" s="345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2553</v>
      </c>
      <c r="B34" s="2669">
        <f t="shared" si="57"/>
        <v>275.19335084830601</v>
      </c>
      <c r="C34" s="2669">
        <f t="shared" si="57"/>
        <v>230.18088050139744</v>
      </c>
      <c r="D34" s="2669">
        <f t="shared" si="45"/>
        <v>230.18088050139744</v>
      </c>
      <c r="E34" s="2669">
        <f t="shared" si="58"/>
        <v>377.58482925212331</v>
      </c>
      <c r="F34" s="2669">
        <f t="shared" si="58"/>
        <v>210.90687997847917</v>
      </c>
      <c r="G34" s="345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2554</v>
      </c>
      <c r="B35" s="2669">
        <f t="shared" si="57"/>
        <v>276.29854502841971</v>
      </c>
      <c r="C35" s="2669">
        <f t="shared" si="57"/>
        <v>229.79023709833027</v>
      </c>
      <c r="D35" s="2669">
        <f t="shared" si="45"/>
        <v>229.79023709833027</v>
      </c>
      <c r="E35" s="2669">
        <f t="shared" si="58"/>
        <v>379.78759731655936</v>
      </c>
      <c r="F35" s="2669">
        <f t="shared" si="58"/>
        <v>211.32953905659235</v>
      </c>
      <c r="G35" s="345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2555</v>
      </c>
      <c r="B36" s="2661">
        <v>269</v>
      </c>
      <c r="C36" s="2661">
        <v>221</v>
      </c>
      <c r="D36" s="2661">
        <f t="shared" si="45"/>
        <v>221</v>
      </c>
      <c r="E36" s="2661">
        <v>373</v>
      </c>
      <c r="F36" s="2662">
        <v>196</v>
      </c>
      <c r="G36" s="345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2557</v>
      </c>
      <c r="B38" s="2669">
        <f t="shared" si="59"/>
        <v>242.95398227588385</v>
      </c>
      <c r="C38" s="2669">
        <f t="shared" si="59"/>
        <v>199.59137053614126</v>
      </c>
      <c r="D38" s="2669">
        <f t="shared" si="45"/>
        <v>199.59137053614126</v>
      </c>
      <c r="E38" s="2669">
        <f t="shared" si="60"/>
        <v>335.92189522342125</v>
      </c>
      <c r="F38" s="2669">
        <f t="shared" si="60"/>
        <v>183.10139991109489</v>
      </c>
      <c r="G38" s="345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2558</v>
      </c>
      <c r="B39" s="2669">
        <f t="shared" si="59"/>
        <v>232.06990378821649</v>
      </c>
      <c r="C39" s="2669">
        <f t="shared" si="59"/>
        <v>192.74878854286936</v>
      </c>
      <c r="D39" s="2669">
        <f t="shared" si="45"/>
        <v>192.74878854286936</v>
      </c>
      <c r="E39" s="2669">
        <f t="shared" si="60"/>
        <v>319.71247284992984</v>
      </c>
      <c r="F39" s="2669">
        <f t="shared" si="60"/>
        <v>175.67053622862409</v>
      </c>
      <c r="G39" s="345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2559</v>
      </c>
      <c r="B40" s="2661">
        <v>220</v>
      </c>
      <c r="C40" s="2661">
        <v>187</v>
      </c>
      <c r="D40" s="2661">
        <f t="shared" si="45"/>
        <v>187</v>
      </c>
      <c r="E40" s="2661">
        <v>301</v>
      </c>
      <c r="F40" s="2662">
        <v>168</v>
      </c>
      <c r="G40" s="345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2561</v>
      </c>
      <c r="B42" s="2669">
        <f t="shared" si="61"/>
        <v>210.630522469011</v>
      </c>
      <c r="C42" s="2669">
        <f t="shared" si="61"/>
        <v>181.69567812247232</v>
      </c>
      <c r="D42" s="2669">
        <f t="shared" si="45"/>
        <v>181.69567812247232</v>
      </c>
      <c r="E42" s="2669">
        <f t="shared" si="62"/>
        <v>286.13517466736738</v>
      </c>
      <c r="F42" s="2669">
        <f t="shared" si="62"/>
        <v>165.47535084591149</v>
      </c>
      <c r="G42" s="345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2562</v>
      </c>
      <c r="B43" s="2669">
        <f t="shared" si="61"/>
        <v>208.83454537875372</v>
      </c>
      <c r="C43" s="2669">
        <f t="shared" si="61"/>
        <v>183.77230517090351</v>
      </c>
      <c r="D43" s="2669">
        <f t="shared" si="45"/>
        <v>183.77230517090351</v>
      </c>
      <c r="E43" s="2669">
        <f t="shared" si="62"/>
        <v>281.10342338870947</v>
      </c>
      <c r="F43" s="2669">
        <f t="shared" si="62"/>
        <v>168.97309388942256</v>
      </c>
      <c r="G43" s="345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2563</v>
      </c>
      <c r="B44" s="2699">
        <v>214</v>
      </c>
      <c r="C44" s="2699">
        <v>188</v>
      </c>
      <c r="D44" s="2699">
        <f t="shared" si="45"/>
        <v>188</v>
      </c>
      <c r="E44" s="2699">
        <v>289</v>
      </c>
      <c r="F44" s="2700">
        <v>166</v>
      </c>
      <c r="G44" s="345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2565</v>
      </c>
      <c r="B46" s="2669">
        <f t="shared" si="63"/>
        <v>206.31694671589116</v>
      </c>
      <c r="C46" s="2669">
        <f t="shared" si="63"/>
        <v>183.61041121036101</v>
      </c>
      <c r="D46" s="2669">
        <f t="shared" si="45"/>
        <v>183.61041121036101</v>
      </c>
      <c r="E46" s="2669">
        <f t="shared" si="64"/>
        <v>276.66850301795557</v>
      </c>
      <c r="F46" s="2669">
        <f t="shared" si="64"/>
        <v>165.1360938278614</v>
      </c>
      <c r="G46" s="345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2566</v>
      </c>
      <c r="B47" s="2702">
        <f t="shared" si="63"/>
        <v>196.62341248059772</v>
      </c>
      <c r="C47" s="2702">
        <f t="shared" si="63"/>
        <v>170.99125648199012</v>
      </c>
      <c r="D47" s="2702">
        <f t="shared" si="45"/>
        <v>170.99125648199012</v>
      </c>
      <c r="E47" s="2702">
        <f t="shared" si="64"/>
        <v>266.07857570490052</v>
      </c>
      <c r="F47" s="2702">
        <f t="shared" si="64"/>
        <v>154.53499328828505</v>
      </c>
      <c r="G47" s="345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2567</v>
      </c>
      <c r="B48" s="2661">
        <v>188</v>
      </c>
      <c r="C48" s="2661">
        <v>165</v>
      </c>
      <c r="D48" s="2661">
        <f t="shared" si="45"/>
        <v>165</v>
      </c>
      <c r="E48" s="2661">
        <v>254</v>
      </c>
      <c r="F48" s="2662">
        <v>148</v>
      </c>
      <c r="G48" s="345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2569</v>
      </c>
      <c r="B50" s="2669">
        <f t="shared" si="67"/>
        <v>168.82017748715555</v>
      </c>
      <c r="C50" s="2669">
        <f t="shared" si="67"/>
        <v>148.06267029972753</v>
      </c>
      <c r="D50" s="2669">
        <f t="shared" si="45"/>
        <v>148.06267029972753</v>
      </c>
      <c r="E50" s="2669">
        <f t="shared" si="68"/>
        <v>216.46288379323747</v>
      </c>
      <c r="F50" s="2669">
        <f t="shared" si="68"/>
        <v>134.23529411764704</v>
      </c>
      <c r="G50" s="345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2570</v>
      </c>
      <c r="B51" s="2669">
        <f t="shared" si="67"/>
        <v>163.84913591779542</v>
      </c>
      <c r="C51" s="2669">
        <f t="shared" si="67"/>
        <v>145.0283378746594</v>
      </c>
      <c r="D51" s="2669">
        <f t="shared" si="45"/>
        <v>145.0283378746594</v>
      </c>
      <c r="E51" s="2669">
        <f t="shared" si="68"/>
        <v>204.95180722891567</v>
      </c>
      <c r="F51" s="2669">
        <f t="shared" si="68"/>
        <v>125.95920303605313</v>
      </c>
      <c r="G51" s="345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2571</v>
      </c>
      <c r="B52" s="2683">
        <v>159</v>
      </c>
      <c r="C52" s="2683">
        <v>141</v>
      </c>
      <c r="D52" s="2683">
        <f t="shared" si="45"/>
        <v>141</v>
      </c>
      <c r="E52" s="2683">
        <v>195</v>
      </c>
      <c r="F52" s="2684">
        <v>122</v>
      </c>
      <c r="G52" s="345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2573</v>
      </c>
      <c r="B54" s="2669">
        <f t="shared" si="71"/>
        <v>146.57412060301507</v>
      </c>
      <c r="C54" s="2669">
        <f t="shared" si="71"/>
        <v>136.46831955922866</v>
      </c>
      <c r="D54" s="2669">
        <f t="shared" si="45"/>
        <v>136.46831955922866</v>
      </c>
      <c r="E54" s="2669">
        <f t="shared" si="72"/>
        <v>166.73864894795128</v>
      </c>
      <c r="F54" s="2669">
        <f t="shared" si="72"/>
        <v>115.05882352941177</v>
      </c>
      <c r="G54" s="345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2574</v>
      </c>
      <c r="B55" s="2669">
        <f t="shared" si="71"/>
        <v>144.04145728643215</v>
      </c>
      <c r="C55" s="2669">
        <f t="shared" si="71"/>
        <v>136.12396694214877</v>
      </c>
      <c r="D55" s="2669">
        <f t="shared" si="45"/>
        <v>136.12396694214877</v>
      </c>
      <c r="E55" s="2669">
        <f t="shared" si="72"/>
        <v>158.32225913621264</v>
      </c>
      <c r="F55" s="2669">
        <f t="shared" si="72"/>
        <v>114.04278074866311</v>
      </c>
      <c r="G55" s="345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2575</v>
      </c>
      <c r="B56" s="2683">
        <v>138</v>
      </c>
      <c r="C56" s="2683">
        <v>131</v>
      </c>
      <c r="D56" s="2683">
        <f t="shared" si="45"/>
        <v>131</v>
      </c>
      <c r="E56" s="2683">
        <v>155</v>
      </c>
      <c r="F56" s="2684">
        <v>114</v>
      </c>
      <c r="G56" s="345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2577</v>
      </c>
      <c r="B58" s="2669">
        <f t="shared" si="75"/>
        <v>124.29032258064517</v>
      </c>
      <c r="C58" s="2669">
        <f t="shared" si="75"/>
        <v>123.8968609865471</v>
      </c>
      <c r="D58" s="2669">
        <f t="shared" si="45"/>
        <v>123.8968609865471</v>
      </c>
      <c r="E58" s="2669">
        <f t="shared" si="76"/>
        <v>138.00507614213197</v>
      </c>
      <c r="F58" s="2669">
        <f t="shared" si="76"/>
        <v>107.96106557377048</v>
      </c>
      <c r="G58" s="345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2578</v>
      </c>
      <c r="B59" s="2669">
        <f t="shared" si="75"/>
        <v>122.57204301075269</v>
      </c>
      <c r="C59" s="2669">
        <f t="shared" si="75"/>
        <v>123.4932735426009</v>
      </c>
      <c r="D59" s="2669">
        <f t="shared" si="45"/>
        <v>123.4932735426009</v>
      </c>
      <c r="E59" s="2669">
        <f t="shared" si="76"/>
        <v>129.82233502538071</v>
      </c>
      <c r="F59" s="2669">
        <f t="shared" si="76"/>
        <v>107.39446721311475</v>
      </c>
      <c r="G59" s="345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2579</v>
      </c>
      <c r="B60" s="2699">
        <v>121</v>
      </c>
      <c r="C60" s="2699">
        <v>122</v>
      </c>
      <c r="D60" s="2699">
        <f t="shared" si="45"/>
        <v>122</v>
      </c>
      <c r="E60" s="2699">
        <v>124</v>
      </c>
      <c r="F60" s="2700">
        <v>107</v>
      </c>
      <c r="G60" s="345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2581</v>
      </c>
      <c r="B62" s="2669">
        <f t="shared" si="79"/>
        <v>116.99099099099099</v>
      </c>
      <c r="C62" s="2669">
        <f t="shared" si="79"/>
        <v>118.84848484848486</v>
      </c>
      <c r="D62" s="2669">
        <f t="shared" si="45"/>
        <v>118.84848484848486</v>
      </c>
      <c r="E62" s="2669">
        <f t="shared" si="80"/>
        <v>117.60960960960961</v>
      </c>
      <c r="F62" s="2669">
        <f t="shared" si="80"/>
        <v>104</v>
      </c>
      <c r="G62" s="345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2582</v>
      </c>
      <c r="B63" s="2702">
        <f t="shared" si="79"/>
        <v>112.48648648648648</v>
      </c>
      <c r="C63" s="2702">
        <f t="shared" si="79"/>
        <v>115.21212121212122</v>
      </c>
      <c r="D63" s="2702">
        <f t="shared" si="45"/>
        <v>115.21212121212122</v>
      </c>
      <c r="E63" s="2702">
        <f t="shared" si="80"/>
        <v>110.4024024024024</v>
      </c>
      <c r="F63" s="2702">
        <f t="shared" si="80"/>
        <v>104</v>
      </c>
      <c r="G63" s="345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2583</v>
      </c>
      <c r="B64" s="2720">
        <v>111</v>
      </c>
      <c r="C64" s="2720">
        <v>114</v>
      </c>
      <c r="D64" s="2720">
        <f t="shared" si="45"/>
        <v>114</v>
      </c>
      <c r="E64" s="2720">
        <v>108</v>
      </c>
      <c r="F64" s="2721">
        <v>104</v>
      </c>
      <c r="G64" s="3456">
        <v>2003</v>
      </c>
      <c r="H64" s="2710">
        <v>4</v>
      </c>
      <c r="I64" s="2722"/>
      <c r="J64" s="2722"/>
      <c r="K64" s="2722"/>
      <c r="L64" s="2722"/>
      <c r="N64" s="2723"/>
      <c r="O64" s="2722"/>
      <c r="P64" s="2722"/>
      <c r="Q64" s="2722"/>
      <c r="S64" s="2723"/>
      <c r="T64" s="2722"/>
      <c r="U64" s="2722"/>
      <c r="V64" s="2722"/>
      <c r="X64" s="2714"/>
      <c r="Y64" s="2714"/>
      <c r="Z64" s="2714"/>
    </row>
    <row r="65" spans="1:26">
      <c r="A65" s="2655" t="s">
        <v>2584</v>
      </c>
      <c r="B65" s="2724">
        <f t="shared" ref="B65:C67" si="81">B66+(B$64-B$68)/4</f>
        <v>109.75</v>
      </c>
      <c r="C65" s="2724">
        <f t="shared" si="81"/>
        <v>112.25</v>
      </c>
      <c r="D65" s="2724">
        <f t="shared" si="45"/>
        <v>112.25</v>
      </c>
      <c r="E65" s="2724">
        <f t="shared" ref="E65:F67" si="82">E66+(E$64-E$68)/4</f>
        <v>107.25</v>
      </c>
      <c r="F65" s="2724">
        <f t="shared" si="82"/>
        <v>103.5</v>
      </c>
      <c r="G65" s="3457">
        <v>2003</v>
      </c>
      <c r="H65" s="2680">
        <v>3</v>
      </c>
      <c r="I65" s="2722"/>
      <c r="J65" s="2722"/>
      <c r="K65" s="2722"/>
      <c r="L65" s="2722"/>
      <c r="X65" s="2714"/>
      <c r="Y65" s="2714"/>
      <c r="Z65" s="2714"/>
    </row>
    <row r="66" spans="1:26">
      <c r="A66" s="2655" t="s">
        <v>2585</v>
      </c>
      <c r="B66" s="2724">
        <f t="shared" si="81"/>
        <v>108.5</v>
      </c>
      <c r="C66" s="2724">
        <f t="shared" si="81"/>
        <v>110.5</v>
      </c>
      <c r="D66" s="2724">
        <f t="shared" si="45"/>
        <v>110.5</v>
      </c>
      <c r="E66" s="2724">
        <f t="shared" si="82"/>
        <v>106.5</v>
      </c>
      <c r="F66" s="2724">
        <f t="shared" si="82"/>
        <v>103</v>
      </c>
      <c r="G66" s="3457">
        <v>2003</v>
      </c>
      <c r="H66" s="2660">
        <v>2</v>
      </c>
      <c r="I66" s="2722"/>
      <c r="J66" s="2722"/>
      <c r="K66" s="2722"/>
      <c r="L66" s="2722"/>
      <c r="X66" s="2714"/>
      <c r="Y66" s="2714"/>
      <c r="Z66" s="2714"/>
    </row>
    <row r="67" spans="1:26" ht="13.8" thickBot="1">
      <c r="A67" s="2655" t="s">
        <v>2586</v>
      </c>
      <c r="B67" s="2724">
        <f t="shared" si="81"/>
        <v>107.25</v>
      </c>
      <c r="C67" s="2724">
        <f t="shared" si="81"/>
        <v>108.75</v>
      </c>
      <c r="D67" s="2724">
        <f t="shared" si="45"/>
        <v>108.75</v>
      </c>
      <c r="E67" s="2724">
        <f t="shared" si="82"/>
        <v>105.75</v>
      </c>
      <c r="F67" s="2724">
        <f t="shared" si="82"/>
        <v>102.5</v>
      </c>
      <c r="G67" s="3458">
        <v>2003</v>
      </c>
      <c r="H67" s="2725">
        <v>1</v>
      </c>
      <c r="I67" s="2722"/>
      <c r="J67" s="2722"/>
      <c r="K67" s="2722"/>
      <c r="L67" s="2722"/>
      <c r="S67" s="2664"/>
      <c r="T67" s="2665"/>
      <c r="U67" s="2665"/>
      <c r="X67" s="2714"/>
      <c r="Y67" s="2714"/>
      <c r="Z67" s="2714"/>
    </row>
    <row r="68" spans="1:26" ht="13.8" thickBot="1">
      <c r="A68" s="2655" t="s">
        <v>2587</v>
      </c>
      <c r="B68" s="2726">
        <v>106</v>
      </c>
      <c r="C68" s="2726">
        <v>107</v>
      </c>
      <c r="D68" s="2726">
        <f t="shared" si="45"/>
        <v>107</v>
      </c>
      <c r="E68" s="2726">
        <v>105</v>
      </c>
      <c r="F68" s="2727">
        <v>102</v>
      </c>
      <c r="G68" s="3456">
        <v>2002</v>
      </c>
      <c r="H68" s="2675">
        <v>4</v>
      </c>
      <c r="I68" s="2722"/>
      <c r="J68" s="2722"/>
      <c r="K68" s="2722"/>
      <c r="L68" s="2722"/>
      <c r="N68" s="2723"/>
      <c r="O68" s="2722"/>
      <c r="P68" s="2722"/>
      <c r="Q68" s="2722"/>
      <c r="S68" s="2723"/>
      <c r="T68" s="2722"/>
      <c r="U68" s="2722"/>
      <c r="V68" s="2722"/>
      <c r="X68" s="2714"/>
      <c r="Y68" s="2714"/>
      <c r="Z68" s="2714"/>
    </row>
    <row r="69" spans="1:26">
      <c r="A69" s="2655" t="s">
        <v>2588</v>
      </c>
      <c r="B69" s="2724">
        <f t="shared" ref="B69:C71" si="83">B70+(B$68-B$72)/4</f>
        <v>105</v>
      </c>
      <c r="C69" s="2724">
        <f t="shared" si="83"/>
        <v>106</v>
      </c>
      <c r="D69" s="2724">
        <f t="shared" si="45"/>
        <v>106</v>
      </c>
      <c r="E69" s="2724">
        <f t="shared" ref="E69:F71" si="84">E70+(E$68-E$72)/4</f>
        <v>104.5</v>
      </c>
      <c r="F69" s="2724">
        <f t="shared" si="84"/>
        <v>101.5</v>
      </c>
      <c r="G69" s="3457">
        <v>2002</v>
      </c>
      <c r="H69" s="2680">
        <v>3</v>
      </c>
      <c r="I69" s="2722"/>
      <c r="J69" s="2722"/>
      <c r="K69" s="2722"/>
      <c r="L69" s="2722"/>
      <c r="X69" s="2714"/>
      <c r="Y69" s="2714"/>
      <c r="Z69" s="2714"/>
    </row>
    <row r="70" spans="1:26">
      <c r="A70" s="2655" t="s">
        <v>2589</v>
      </c>
      <c r="B70" s="2724">
        <f t="shared" si="83"/>
        <v>104</v>
      </c>
      <c r="C70" s="2724">
        <f t="shared" si="83"/>
        <v>105</v>
      </c>
      <c r="D70" s="2724">
        <f t="shared" si="45"/>
        <v>105</v>
      </c>
      <c r="E70" s="2724">
        <f t="shared" si="84"/>
        <v>104</v>
      </c>
      <c r="F70" s="2724">
        <f t="shared" si="84"/>
        <v>101</v>
      </c>
      <c r="G70" s="3457">
        <v>2002</v>
      </c>
      <c r="H70" s="2660">
        <v>2</v>
      </c>
      <c r="I70" s="2722"/>
      <c r="J70" s="2722"/>
      <c r="K70" s="2722"/>
      <c r="L70" s="2722"/>
      <c r="X70" s="2714"/>
      <c r="Y70" s="2714"/>
      <c r="Z70" s="2714"/>
    </row>
    <row r="71" spans="1:26" s="2691" customFormat="1" ht="13.8" thickBot="1">
      <c r="A71" s="2687" t="s">
        <v>2590</v>
      </c>
      <c r="B71" s="2728">
        <f t="shared" si="83"/>
        <v>103</v>
      </c>
      <c r="C71" s="2728">
        <f t="shared" si="83"/>
        <v>104</v>
      </c>
      <c r="D71" s="2728">
        <f t="shared" si="45"/>
        <v>104</v>
      </c>
      <c r="E71" s="2728">
        <f t="shared" si="84"/>
        <v>103.5</v>
      </c>
      <c r="F71" s="2728">
        <f t="shared" si="84"/>
        <v>100.5</v>
      </c>
      <c r="G71" s="3458">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2591</v>
      </c>
      <c r="G74" s="2738"/>
      <c r="N74" s="2738"/>
      <c r="S74" s="2738"/>
    </row>
    <row r="75" spans="1:26" s="2737" customFormat="1">
      <c r="A75" s="2737" t="s">
        <v>2592</v>
      </c>
      <c r="G75" s="2738"/>
      <c r="N75" s="2738"/>
      <c r="S75" s="2738"/>
    </row>
    <row r="76" spans="1:26" s="2737" customFormat="1">
      <c r="A76" s="2737" t="s">
        <v>2593</v>
      </c>
      <c r="G76" s="2738"/>
      <c r="I76" s="2739"/>
      <c r="J76" s="2739"/>
      <c r="K76" s="2739"/>
      <c r="L76" s="2739"/>
      <c r="N76" s="2740"/>
      <c r="O76" s="2739"/>
      <c r="P76" s="2739"/>
      <c r="Q76" s="2739"/>
      <c r="S76" s="2740"/>
      <c r="T76" s="2739"/>
      <c r="U76" s="2739"/>
      <c r="V76" s="2739"/>
    </row>
    <row r="77" spans="1:26" s="2737" customFormat="1">
      <c r="A77" s="2737" t="s">
        <v>2594</v>
      </c>
      <c r="G77" s="2738"/>
      <c r="N77" s="2738"/>
      <c r="S77" s="2738"/>
    </row>
    <row r="84" spans="7:22" ht="13.8" thickBot="1"/>
    <row r="85" spans="7:22">
      <c r="G85" s="2663"/>
      <c r="S85" s="2741" t="s">
        <v>2595</v>
      </c>
      <c r="T85" s="2742" t="s">
        <v>2596</v>
      </c>
      <c r="U85" s="2742" t="s">
        <v>2597</v>
      </c>
      <c r="V85" s="2742" t="s">
        <v>2598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52.2">
      <c r="A7" s="1795" t="s">
        <v>2707</v>
      </c>
    </row>
    <row r="8" spans="1:4" ht="17.399999999999999">
      <c r="A8" s="1794" t="s">
        <v>1868</v>
      </c>
    </row>
    <row r="9" spans="1:4" ht="69.599999999999994">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2018年8月31日（评估专业人员勘察现场之日）</v>
      </c>
    </row>
    <row r="12" spans="1:4" ht="17.399999999999999">
      <c r="A12" s="1797" t="s">
        <v>1987</v>
      </c>
    </row>
    <row r="13" spans="1:4" ht="17.399999999999999">
      <c r="A13" s="1791" t="s">
        <v>2892</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17.399999999999999">
      <c r="A21" s="1791" t="s">
        <v>2036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本次估价对象为出让国有建设用地使用权，证载土地终止日期为商业2058年5月29日、办公2058年5月29日、地下车库2058年5月29日。截至估价期日，出让国有建设用地使用权剩余土地使用年限为。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D45" sqref="D45"/>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2961</v>
      </c>
      <c r="D1" s="3124" t="s">
        <v>3129</v>
      </c>
      <c r="E1" s="2387" t="s">
        <v>2335</v>
      </c>
      <c r="F1" s="2388">
        <f ca="1">J53</f>
        <v>37.76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305368</v>
      </c>
      <c r="C2" s="2057"/>
      <c r="D2" s="2055"/>
      <c r="E2" s="2056"/>
      <c r="F2" s="2056"/>
      <c r="G2" s="1589"/>
      <c r="H2" s="2057"/>
      <c r="I2" s="2057"/>
      <c r="J2" s="2057"/>
      <c r="K2" s="2058"/>
      <c r="L2" s="2057"/>
      <c r="M2" s="2057"/>
    </row>
    <row r="3" spans="1:33" ht="18" customHeight="1" thickBot="1">
      <c r="A3" s="833" t="s">
        <v>1689</v>
      </c>
      <c r="B3" s="834">
        <f ca="1">IF(ISERROR(B2*10000/F43),0,ROUND(B2*10000/F43,0))</f>
        <v>86802</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2418</v>
      </c>
      <c r="C5" s="55">
        <f ca="1">C6+C10+C12</f>
        <v>19671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19646</v>
      </c>
      <c r="D6" s="2497" t="s">
        <v>2422</v>
      </c>
      <c r="E6" s="784" t="s">
        <v>1700</v>
      </c>
      <c r="F6" s="785">
        <f ca="1">INDIRECT("'数据-取费表'!u"&amp;$G$1)</f>
        <v>17</v>
      </c>
      <c r="G6" s="1591"/>
      <c r="H6" s="2504" t="s">
        <v>2428</v>
      </c>
      <c r="I6" s="3450" t="s">
        <v>2423</v>
      </c>
      <c r="J6" s="783">
        <f ca="1">ROUND(M6*M8*M7*(1-M9)/10000,0)</f>
        <v>0</v>
      </c>
      <c r="K6" s="341" t="s">
        <v>1699</v>
      </c>
      <c r="L6" s="784" t="s">
        <v>1700</v>
      </c>
      <c r="M6" s="785">
        <f ca="1">INDIRECT("'数据-取费表'!z"&amp;$G$1)</f>
        <v>0</v>
      </c>
    </row>
    <row r="7" spans="1:33" ht="18" customHeight="1">
      <c r="A7" s="2500"/>
      <c r="B7" s="3451"/>
      <c r="C7" s="788"/>
      <c r="D7" s="789"/>
      <c r="E7" s="784" t="s">
        <v>1701</v>
      </c>
      <c r="F7" s="785">
        <f ca="1">IF(INDIRECT("'数据-取费表'!ah"&amp;$G$1)="",INDIRECT("'数据-取费表'!k"&amp;$G$1),INDIRECT("'数据-取费表'!ah"&amp;$G$1))</f>
        <v>35180</v>
      </c>
      <c r="G7" s="1591"/>
      <c r="H7" s="2489"/>
      <c r="I7" s="3451"/>
      <c r="J7" s="788"/>
      <c r="K7" s="789"/>
      <c r="L7" s="784" t="s">
        <v>1701</v>
      </c>
      <c r="M7" s="785">
        <f ca="1">F7</f>
        <v>35180</v>
      </c>
    </row>
    <row r="8" spans="1:33" ht="18" customHeight="1">
      <c r="A8" s="2493"/>
      <c r="B8" s="3452"/>
      <c r="C8" s="788"/>
      <c r="D8" s="789"/>
      <c r="E8" s="784" t="s">
        <v>1702</v>
      </c>
      <c r="F8" s="785">
        <f ca="1">INDIRECT("'数据-取费表'!ai"&amp;$G$1)</f>
        <v>365</v>
      </c>
      <c r="G8" s="1591"/>
      <c r="H8" s="2489"/>
      <c r="I8" s="3452"/>
      <c r="J8" s="788"/>
      <c r="K8" s="789"/>
      <c r="L8" s="784" t="s">
        <v>1702</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2426</v>
      </c>
      <c r="B10" s="2494" t="s">
        <v>2419</v>
      </c>
      <c r="C10" s="799">
        <f ca="1">ROUND(IF(F10="押一",C6/12*F11,IF(F10="押二",C6/12*2*F11,IF(F10="押三",C6/12*3*F11,C11*F11))),0)</f>
        <v>25</v>
      </c>
      <c r="D10" s="2501" t="s">
        <v>2923</v>
      </c>
      <c r="E10" s="2498" t="s">
        <v>2424</v>
      </c>
      <c r="F10" s="2621" t="s">
        <v>3126</v>
      </c>
      <c r="G10" s="1591"/>
      <c r="H10" s="2561" t="s">
        <v>2429</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2425</v>
      </c>
      <c r="F11" s="796">
        <f ca="1">'数据-取费表'!B39</f>
        <v>1.4999999999999999E-2</v>
      </c>
      <c r="G11" s="1591"/>
      <c r="H11" s="2562"/>
      <c r="I11" s="2495" t="s">
        <v>2533</v>
      </c>
      <c r="J11" s="2499"/>
      <c r="K11" s="2563"/>
      <c r="L11" s="2498" t="s">
        <v>2425</v>
      </c>
      <c r="M11" s="2492">
        <f ca="1">'数据-取费表'!B39</f>
        <v>1.4999999999999999E-2</v>
      </c>
    </row>
    <row r="12" spans="1:33" ht="18" customHeight="1" thickBot="1">
      <c r="A12" s="2537" t="s">
        <v>2427</v>
      </c>
      <c r="B12" s="2538" t="s">
        <v>2420</v>
      </c>
      <c r="C12" s="2539"/>
      <c r="D12" s="2540"/>
      <c r="E12" s="2541"/>
      <c r="F12" s="2542"/>
      <c r="G12" s="1591"/>
      <c r="H12" s="2551" t="s">
        <v>2430</v>
      </c>
      <c r="I12" s="2564" t="s">
        <v>2420</v>
      </c>
      <c r="J12" s="2565"/>
      <c r="K12" s="2540"/>
      <c r="L12" s="2541"/>
      <c r="M12" s="2554"/>
    </row>
    <row r="13" spans="1:33" ht="18" customHeight="1" thickTop="1">
      <c r="A13" s="1829">
        <v>2</v>
      </c>
      <c r="B13" s="1827" t="s">
        <v>1704</v>
      </c>
      <c r="C13" s="792">
        <f ca="1">ROUND(C29*F13,0)</f>
        <v>32392</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20295</v>
      </c>
      <c r="D14" s="1979" t="s">
        <v>1707</v>
      </c>
      <c r="E14" s="1980"/>
      <c r="F14" s="805"/>
      <c r="G14" s="1591"/>
      <c r="H14" s="1648" t="s">
        <v>1792</v>
      </c>
      <c r="I14" s="2231" t="s">
        <v>2786</v>
      </c>
      <c r="J14" s="53">
        <f ca="1">C29</f>
        <v>32392</v>
      </c>
      <c r="K14" s="26"/>
      <c r="L14" s="801"/>
      <c r="M14" s="802"/>
    </row>
    <row r="15" spans="1:33" s="2064" customFormat="1" ht="18" customHeight="1" thickBot="1">
      <c r="A15" s="1647" t="s">
        <v>1847</v>
      </c>
      <c r="B15" s="784" t="s">
        <v>612</v>
      </c>
      <c r="C15" s="53">
        <f ca="1">ROUND(C14*F15,0)</f>
        <v>1015</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3536</v>
      </c>
      <c r="K16" s="1821" t="s">
        <v>1712</v>
      </c>
      <c r="L16" s="2486"/>
      <c r="M16" s="2491"/>
    </row>
    <row r="17" spans="1:33" s="2064" customFormat="1" ht="18" customHeight="1">
      <c r="A17" s="1647" t="s">
        <v>1849</v>
      </c>
      <c r="B17" s="784" t="s">
        <v>618</v>
      </c>
      <c r="C17" s="53">
        <f ca="1">ROUND(F17*(F43+INDIRECT("'数据-取费表'!S"&amp;$G$1))/10000,0)</f>
        <v>920</v>
      </c>
      <c r="D17" s="784" t="s">
        <v>1713</v>
      </c>
      <c r="E17" s="784" t="s">
        <v>1714</v>
      </c>
      <c r="F17" s="56">
        <f>'数据-取费表'!B35</f>
        <v>200</v>
      </c>
      <c r="G17" s="1592"/>
      <c r="H17" s="1648" t="s">
        <v>1792</v>
      </c>
      <c r="I17" s="784" t="s">
        <v>621</v>
      </c>
      <c r="J17" s="53">
        <f ca="1">ROUND(IF(项目基本情况!B11="自然人",J5*M17,J18+J19+J20),0)</f>
        <v>2726</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304</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22534</v>
      </c>
      <c r="D19" s="261" t="s">
        <v>1719</v>
      </c>
      <c r="E19" s="1982"/>
      <c r="F19" s="56"/>
      <c r="G19" s="1591"/>
      <c r="H19" s="1647" t="s">
        <v>1847</v>
      </c>
      <c r="I19" s="784" t="s">
        <v>1720</v>
      </c>
      <c r="J19" s="53">
        <f ca="1">IF(K19="按租金收入计税",ROUND(J5*M19,1),ROUND(C29*F33*0.7,1))</f>
        <v>2720.9</v>
      </c>
      <c r="K19" s="811" t="s">
        <v>630</v>
      </c>
      <c r="L19" s="784" t="s">
        <v>1709</v>
      </c>
      <c r="M19" s="809">
        <f>IF(K19="按租金收入计税",'数据-取费表'!B51,'数据-取费表'!B50)</f>
        <v>1.2E-2</v>
      </c>
    </row>
    <row r="20" spans="1:33" s="2064" customFormat="1" ht="18" customHeight="1">
      <c r="A20" s="1648" t="s">
        <v>1851</v>
      </c>
      <c r="B20" s="784" t="s">
        <v>631</v>
      </c>
      <c r="C20" s="53">
        <f ca="1">ROUND(C19*F20,0)</f>
        <v>451</v>
      </c>
      <c r="D20" s="812" t="s">
        <v>1721</v>
      </c>
      <c r="E20" s="784" t="s">
        <v>1709</v>
      </c>
      <c r="F20" s="809">
        <f>'数据-取费表'!B37</f>
        <v>0.02</v>
      </c>
      <c r="G20" s="1592"/>
      <c r="H20" s="1650" t="s">
        <v>1842</v>
      </c>
      <c r="I20" s="341" t="s">
        <v>1722</v>
      </c>
      <c r="J20" s="54">
        <f ca="1">ROUND(M20*M21/10000,0)</f>
        <v>5</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3955.35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810</v>
      </c>
      <c r="K22" s="2484" t="s">
        <v>1731</v>
      </c>
      <c r="L22" s="784" t="s">
        <v>1709</v>
      </c>
      <c r="M22" s="817">
        <f ca="1">INDIRECT("'数据-取费表'!Ak"&amp;$G$1)</f>
        <v>2.5000000000000001E-2</v>
      </c>
    </row>
    <row r="23" spans="1:33" s="2064" customFormat="1" ht="18" customHeight="1">
      <c r="A23" s="1647" t="s">
        <v>1793</v>
      </c>
      <c r="B23" s="784" t="s">
        <v>2495</v>
      </c>
      <c r="C23" s="53">
        <f ca="1">ROUND(IF('数据-取费表'!B22&lt;=1,(C19+C20)*F24*F23/2,(C19+C20)*(POWER((1+F24),F23/2)-1)),0)</f>
        <v>1092</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2.5000000000000001E-3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2.5000000000000001E-2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2782</v>
      </c>
      <c r="J25" s="792">
        <f ca="1">J5-J16</f>
        <v>-3536</v>
      </c>
      <c r="K25" s="2548" t="s">
        <v>1739</v>
      </c>
      <c r="L25" s="2549"/>
      <c r="M25" s="2550"/>
    </row>
    <row r="26" spans="1:33" ht="18" customHeight="1">
      <c r="A26" s="1647" t="s">
        <v>1793</v>
      </c>
      <c r="B26" s="784" t="s">
        <v>2399</v>
      </c>
      <c r="C26" s="53">
        <f ca="1">ROUND((C19+C20)*F26,0)</f>
        <v>5746</v>
      </c>
      <c r="D26" s="812" t="s">
        <v>1740</v>
      </c>
      <c r="E26" s="795" t="s">
        <v>1741</v>
      </c>
      <c r="F26" s="794">
        <f ca="1">INDIRECT("'数据-取费表'!q"&amp;$G$1)</f>
        <v>0.25</v>
      </c>
      <c r="G26" s="1591"/>
      <c r="H26" s="2502" t="s">
        <v>1742</v>
      </c>
      <c r="I26" s="2232" t="s">
        <v>2787</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32392</v>
      </c>
      <c r="D29" s="2545"/>
      <c r="E29" s="2546"/>
      <c r="F29" s="2547"/>
      <c r="G29" s="1592"/>
      <c r="H29" s="823" t="s">
        <v>1749</v>
      </c>
      <c r="I29" s="824" t="s">
        <v>1750</v>
      </c>
      <c r="J29" s="825">
        <f ca="1">ROUND(J26/(1+F40)^F41,0)</f>
        <v>0</v>
      </c>
      <c r="K29" s="826" t="s">
        <v>1751</v>
      </c>
      <c r="L29" s="827"/>
      <c r="M29" s="828">
        <f ca="1">INDIRECT("'数据-取费表'!k"&amp;$G$1)</f>
        <v>35180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4797</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3414.3</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1049.0999999999999</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2360.5</v>
      </c>
      <c r="D33" s="811" t="s">
        <v>3127</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4.7</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3955.35</v>
      </c>
      <c r="G35" s="2062"/>
      <c r="H35" s="2065"/>
      <c r="I35" s="837" t="s">
        <v>1776</v>
      </c>
      <c r="J35" s="838">
        <f ca="1">ROUND(C13*J36,0)</f>
        <v>2753</v>
      </c>
      <c r="K35" s="2078"/>
      <c r="L35" s="2077"/>
      <c r="M35" s="2077"/>
    </row>
    <row r="36" spans="1:18" ht="18" customHeight="1">
      <c r="A36" s="1648" t="s">
        <v>1851</v>
      </c>
      <c r="B36" s="784" t="s">
        <v>1764</v>
      </c>
      <c r="C36" s="53">
        <f ca="1">ROUND(C29*F36,1)</f>
        <v>809.8</v>
      </c>
      <c r="D36" s="1977" t="s">
        <v>1765</v>
      </c>
      <c r="E36" s="784" t="s">
        <v>1758</v>
      </c>
      <c r="F36" s="817">
        <f ca="1">INDIRECT("'数据-取费表'!Ak"&amp;$G$1)</f>
        <v>2.5000000000000001E-2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81</v>
      </c>
      <c r="D37" s="1977" t="s">
        <v>1766</v>
      </c>
      <c r="E37" s="784" t="s">
        <v>1758</v>
      </c>
      <c r="F37" s="818">
        <f ca="1">INDIRECT("'数据-取费表'!Al"&amp;$G$1)</f>
        <v>2.5000000000000001E-3</v>
      </c>
      <c r="G37" s="2062"/>
      <c r="H37" s="2077"/>
      <c r="I37" s="841" t="s">
        <v>1778</v>
      </c>
      <c r="J37" s="842"/>
      <c r="K37" s="2082"/>
      <c r="L37" s="2077"/>
      <c r="M37" s="2077"/>
    </row>
    <row r="38" spans="1:18" ht="18" customHeight="1" thickBot="1">
      <c r="A38" s="2551" t="s">
        <v>1853</v>
      </c>
      <c r="B38" s="2546" t="s">
        <v>631</v>
      </c>
      <c r="C38" s="2544">
        <f ca="1">ROUND(C5*F38,1)</f>
        <v>491.8</v>
      </c>
      <c r="D38" s="2545" t="s">
        <v>1767</v>
      </c>
      <c r="E38" s="2546" t="s">
        <v>1758</v>
      </c>
      <c r="F38" s="2542">
        <f ca="1">INDIRECT("'数据-取费表'!Am"&amp;$G$1)</f>
        <v>2.5000000000000001E-2</v>
      </c>
      <c r="G38" s="2062"/>
      <c r="H38" s="2077"/>
      <c r="I38" s="843" t="s">
        <v>1779</v>
      </c>
      <c r="J38" s="844"/>
      <c r="K38" s="2083"/>
      <c r="L38" s="2077"/>
      <c r="M38" s="2077"/>
    </row>
    <row r="39" spans="1:18" ht="24.6" customHeight="1" thickTop="1">
      <c r="A39" s="1829" t="s">
        <v>1856</v>
      </c>
      <c r="B39" s="3010" t="s">
        <v>2782</v>
      </c>
      <c r="C39" s="792">
        <f ca="1">C5-C30</f>
        <v>14874</v>
      </c>
      <c r="D39" s="2548" t="s">
        <v>1768</v>
      </c>
      <c r="E39" s="2549"/>
      <c r="F39" s="2550"/>
      <c r="G39" s="2062"/>
      <c r="H39" s="2077"/>
      <c r="I39" s="837" t="s">
        <v>1780</v>
      </c>
      <c r="J39" s="845">
        <f ca="1">ROUND(J35/C39,3)</f>
        <v>0.185</v>
      </c>
      <c r="K39" s="2083"/>
      <c r="L39" s="2077"/>
      <c r="M39" s="2077"/>
    </row>
    <row r="40" spans="1:18" ht="18" customHeight="1">
      <c r="A40" s="781" t="s">
        <v>1857</v>
      </c>
      <c r="B40" s="2232" t="s">
        <v>2263</v>
      </c>
      <c r="C40" s="783">
        <f ca="1">ROUND(C39*(1-((1+F42)/(1+F40))^F41)/(F40-F42),0)</f>
        <v>305368</v>
      </c>
      <c r="D40" s="814" t="s">
        <v>1769</v>
      </c>
      <c r="E40" s="784" t="s">
        <v>2380</v>
      </c>
      <c r="F40" s="794">
        <f ca="1">INDIRECT("'数据-取费表'!I"&amp;$G$1)</f>
        <v>0.06</v>
      </c>
      <c r="G40" s="2062"/>
      <c r="H40" s="2062"/>
      <c r="I40" s="837" t="s">
        <v>1781</v>
      </c>
      <c r="J40" s="845">
        <f ca="1">1-J39</f>
        <v>0.81499999999999995</v>
      </c>
      <c r="K40" s="2083"/>
      <c r="L40" s="2062"/>
      <c r="M40" s="2062"/>
    </row>
    <row r="41" spans="1:18" ht="18" customHeight="1">
      <c r="A41" s="786"/>
      <c r="B41" s="787"/>
      <c r="C41" s="788"/>
      <c r="D41" s="821" t="s">
        <v>1770</v>
      </c>
      <c r="E41" s="784" t="s">
        <v>2913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0.106</v>
      </c>
      <c r="K42" s="2082"/>
      <c r="L42" s="1988"/>
      <c r="M42" s="1988"/>
    </row>
    <row r="43" spans="1:18" ht="18" customHeight="1" thickBot="1">
      <c r="A43" s="823" t="s">
        <v>1749</v>
      </c>
      <c r="B43" s="824" t="s">
        <v>1772</v>
      </c>
      <c r="C43" s="825">
        <f ca="1">ROUND(C40*10000/F43,0)</f>
        <v>86802</v>
      </c>
      <c r="D43" s="826" t="s">
        <v>1773</v>
      </c>
      <c r="E43" s="827" t="s">
        <v>1774</v>
      </c>
      <c r="F43" s="828">
        <f ca="1">INDIRECT("'数据-取费表'!k"&amp;$G$1)</f>
        <v>35180</v>
      </c>
      <c r="G43" s="2062"/>
      <c r="H43" s="1988"/>
      <c r="I43" s="847" t="s">
        <v>1784</v>
      </c>
      <c r="J43" s="848">
        <f ca="1">1-J42</f>
        <v>0.89400000000000002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-318647</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3128</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2497</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305368</v>
      </c>
      <c r="R48" s="2399" t="s">
        <v>2341</v>
      </c>
    </row>
    <row r="49" spans="1:18" s="2059" customFormat="1" ht="18" customHeight="1" thickBot="1">
      <c r="A49" s="786"/>
      <c r="B49" s="787"/>
      <c r="C49" s="788"/>
      <c r="D49" s="789"/>
      <c r="E49" s="784" t="s">
        <v>1701</v>
      </c>
      <c r="F49" s="785">
        <f ca="1">F7</f>
        <v>35180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5" t="s">
        <v>2308</v>
      </c>
      <c r="J50" s="3153">
        <f>SUMPRODUCT((I63:I65=J47)*(J62:L62=J48)*(J63:L65))</f>
        <v>60</v>
      </c>
      <c r="K50" s="3158" t="s">
        <v>2314</v>
      </c>
      <c r="L50" s="2384"/>
      <c r="O50" s="2401" t="s">
        <v>2344</v>
      </c>
      <c r="P50" s="2399" t="s">
        <v>2368</v>
      </c>
      <c r="Q50" s="2400">
        <f ca="1">C29</f>
        <v>32392</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222548</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2924</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305368</v>
      </c>
      <c r="R54" s="2403" t="s">
        <v>2353</v>
      </c>
    </row>
    <row r="55" spans="1:18" s="2059" customFormat="1" ht="18" customHeight="1" thickTop="1" thickBot="1">
      <c r="A55" s="797">
        <v>2</v>
      </c>
      <c r="B55" s="798" t="s">
        <v>609</v>
      </c>
      <c r="C55" s="799">
        <f ca="1">C13</f>
        <v>32392</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2264</v>
      </c>
      <c r="C56" s="53">
        <f ca="1">C29</f>
        <v>32392</v>
      </c>
      <c r="D56" s="2639"/>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896</v>
      </c>
      <c r="D57" s="26" t="s">
        <v>1712</v>
      </c>
      <c r="E57" s="2640"/>
      <c r="F57" s="56"/>
      <c r="I57" s="3167" t="s">
        <v>2319</v>
      </c>
      <c r="J57" s="3168" t="str">
        <f ca="1">IF(OR(M47="住宅",J51&lt;L48,J56="是"),"——",J51-L48)</f>
        <v>——</v>
      </c>
      <c r="K57" s="3125" t="s">
        <v>2324</v>
      </c>
      <c r="L57" s="1908" t="str">
        <f ca="1">IF(L48&lt;J51,"——",IF(L55="比较法",L49,IF(L55="基准地价",L50,L51)))</f>
        <v>——</v>
      </c>
      <c r="O57" s="2398" t="s">
        <v>2340</v>
      </c>
      <c r="P57" s="2399" t="s">
        <v>2370</v>
      </c>
      <c r="Q57" s="2400">
        <f ca="1">C40+J29</f>
        <v>305368</v>
      </c>
      <c r="R57" s="2399" t="s">
        <v>2341</v>
      </c>
    </row>
    <row r="58" spans="1:18" s="2059" customFormat="1" ht="28.5" customHeight="1" thickBot="1">
      <c r="A58" s="1648" t="s">
        <v>1786</v>
      </c>
      <c r="B58" s="784" t="s">
        <v>621</v>
      </c>
      <c r="C58" s="53">
        <f ca="1">ROUND(IF(项目基本情况!B11="自然人",C47*F58,C59+C60+C61),1)</f>
        <v>4.7</v>
      </c>
      <c r="D58" s="2638" t="s">
        <v>622</v>
      </c>
      <c r="E58" s="2639"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4.7</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3955.35</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809.8</v>
      </c>
      <c r="D63" s="2639" t="s">
        <v>1765</v>
      </c>
      <c r="E63" s="784" t="s">
        <v>1709</v>
      </c>
      <c r="F63" s="817">
        <f t="shared" ca="1" si="0"/>
        <v>2.5000000000000001E-2</v>
      </c>
      <c r="I63" s="3172" t="s">
        <v>2331</v>
      </c>
      <c r="J63" s="3173">
        <v>70</v>
      </c>
      <c r="K63" s="3173">
        <v>50</v>
      </c>
      <c r="L63" s="3173">
        <v>80</v>
      </c>
      <c r="M63" s="3175">
        <v>0.02</v>
      </c>
      <c r="O63" s="2398" t="s">
        <v>2352</v>
      </c>
      <c r="P63" s="2399" t="s">
        <v>2369</v>
      </c>
      <c r="Q63" s="2400">
        <f ca="1">Q57+Q58</f>
        <v>305368</v>
      </c>
      <c r="R63" s="2403" t="s">
        <v>2353</v>
      </c>
    </row>
    <row r="64" spans="1:18" s="2059" customFormat="1" ht="16.2" thickBot="1">
      <c r="A64" s="1648" t="s">
        <v>1852</v>
      </c>
      <c r="B64" s="784" t="s">
        <v>644</v>
      </c>
      <c r="C64" s="53">
        <f ca="1">ROUND(C55*F64,1)</f>
        <v>81</v>
      </c>
      <c r="D64" s="2639" t="s">
        <v>645</v>
      </c>
      <c r="E64" s="784" t="s">
        <v>1709</v>
      </c>
      <c r="F64" s="818">
        <f t="shared" ca="1" si="0"/>
        <v>2.5000000000000001E-3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2639" t="s">
        <v>648</v>
      </c>
      <c r="E65" s="784" t="s">
        <v>1709</v>
      </c>
      <c r="F65" s="794">
        <f t="shared" ca="1" si="0"/>
        <v>2.5000000000000001E-2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-896</v>
      </c>
      <c r="D66" s="2638" t="s">
        <v>665</v>
      </c>
      <c r="E66" s="2637"/>
      <c r="F66" s="820"/>
      <c r="K66" s="2086"/>
      <c r="O66" s="2398" t="s">
        <v>2340</v>
      </c>
      <c r="P66" s="2399" t="s">
        <v>2370</v>
      </c>
      <c r="Q66" s="2400">
        <f ca="1">C40+J29</f>
        <v>305368</v>
      </c>
      <c r="R66" s="2399" t="s">
        <v>2341</v>
      </c>
    </row>
    <row r="67" spans="1:18" s="2059" customFormat="1" ht="19.2" thickBot="1">
      <c r="A67" s="781" t="s">
        <v>1742</v>
      </c>
      <c r="B67" s="2232" t="s">
        <v>2263</v>
      </c>
      <c r="C67" s="783">
        <f ca="1">ROUND(C66*(1-((1+F69)/(1+F67))^F68)/(F67-F69),0)</f>
        <v>-13279</v>
      </c>
      <c r="D67" s="814" t="s">
        <v>669</v>
      </c>
      <c r="E67" s="784" t="s">
        <v>670</v>
      </c>
      <c r="F67" s="794">
        <f ca="1">F40</f>
        <v>0.06</v>
      </c>
      <c r="K67" s="2086"/>
      <c r="O67" s="2398" t="s">
        <v>2342</v>
      </c>
      <c r="P67" s="2399" t="s">
        <v>2373</v>
      </c>
      <c r="Q67" s="2400">
        <f ca="1">L60</f>
        <v>0</v>
      </c>
      <c r="R67" s="2403" t="s">
        <v>2375</v>
      </c>
    </row>
    <row r="68" spans="1:18" ht="20.399999999999999" thickBot="1">
      <c r="A68" s="786"/>
      <c r="B68" s="787"/>
      <c r="C68" s="788"/>
      <c r="D68" s="821" t="s">
        <v>1770</v>
      </c>
      <c r="E68" s="784" t="s">
        <v>1746</v>
      </c>
      <c r="F68" s="822">
        <f ca="1">F41</f>
        <v>37.76</v>
      </c>
      <c r="O68" s="2401" t="s">
        <v>2344</v>
      </c>
      <c r="P68" s="2399" t="s">
        <v>2374</v>
      </c>
      <c r="Q68" s="2405">
        <f ca="1">L51</f>
        <v>222548</v>
      </c>
      <c r="R68" s="2406" t="s">
        <v>2377</v>
      </c>
    </row>
    <row r="69" spans="1:18" ht="19.2" thickBot="1">
      <c r="A69" s="790"/>
      <c r="B69" s="791"/>
      <c r="C69" s="792"/>
      <c r="D69" s="816"/>
      <c r="E69" s="784" t="s">
        <v>675</v>
      </c>
      <c r="F69" s="2371"/>
      <c r="O69" s="2401" t="s">
        <v>2345</v>
      </c>
      <c r="P69" s="2407" t="s">
        <v>2359</v>
      </c>
      <c r="Q69" s="2400">
        <f ca="1">ROUND(Q70-Q71*Q72,0)</f>
        <v>12121</v>
      </c>
      <c r="R69" s="2403"/>
    </row>
    <row r="70" spans="1:18" ht="16.2" thickBot="1">
      <c r="A70" s="823" t="s">
        <v>1749</v>
      </c>
      <c r="B70" s="824" t="s">
        <v>1772</v>
      </c>
      <c r="C70" s="825">
        <f ca="1">ROUND(C67*10000/F70,0)</f>
        <v>-3775</v>
      </c>
      <c r="D70" s="826" t="s">
        <v>1773</v>
      </c>
      <c r="E70" s="827" t="s">
        <v>1774</v>
      </c>
      <c r="F70" s="828">
        <f ca="1">F43</f>
        <v>35180</v>
      </c>
      <c r="O70" s="2401" t="s">
        <v>2360</v>
      </c>
      <c r="P70" s="2407" t="s">
        <v>2361</v>
      </c>
      <c r="Q70" s="2400">
        <f ca="1">C39</f>
        <v>14874</v>
      </c>
      <c r="R70" s="2399" t="s">
        <v>2341</v>
      </c>
    </row>
    <row r="71" spans="1:18" ht="16.2" thickBot="1">
      <c r="O71" s="2401" t="s">
        <v>2362</v>
      </c>
      <c r="P71" s="2407" t="s">
        <v>2363</v>
      </c>
      <c r="Q71" s="2400">
        <f ca="1">C13</f>
        <v>32392</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305368</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68" t="s">
        <v>2431</v>
      </c>
      <c r="B1" s="3469"/>
      <c r="C1" s="3470"/>
      <c r="D1" s="3471">
        <f>SUM(I10,I15,I20,I21,I23)</f>
        <v>0</v>
      </c>
      <c r="E1" s="3471"/>
      <c r="F1" s="3471"/>
      <c r="G1" s="3471"/>
      <c r="H1" s="3471"/>
      <c r="I1" s="3472"/>
    </row>
    <row r="2" spans="1:9">
      <c r="A2" s="3473" t="s">
        <v>2432</v>
      </c>
      <c r="B2" s="3474" t="s">
        <v>2433</v>
      </c>
      <c r="C2" s="3474"/>
      <c r="D2" s="2507" t="s">
        <v>2434</v>
      </c>
      <c r="E2" s="2507" t="s">
        <v>2435</v>
      </c>
      <c r="F2" s="2507" t="s">
        <v>2436</v>
      </c>
      <c r="G2" s="2507" t="s">
        <v>2437</v>
      </c>
      <c r="H2" s="2507" t="s">
        <v>2438</v>
      </c>
      <c r="I2" s="2508" t="s">
        <v>2439</v>
      </c>
    </row>
    <row r="3" spans="1:9">
      <c r="A3" s="3473"/>
      <c r="B3" s="3474" t="s">
        <v>2440</v>
      </c>
      <c r="C3" s="3474"/>
      <c r="D3" s="2509"/>
      <c r="E3" s="2507"/>
      <c r="F3" s="2510"/>
      <c r="G3" s="2510"/>
      <c r="H3" s="2511"/>
      <c r="I3" s="2512">
        <f>ROUND(D3*E3*F3*G3*H3/10000,0)</f>
        <v>0</v>
      </c>
    </row>
    <row r="4" spans="1:9">
      <c r="A4" s="3473"/>
      <c r="B4" s="3474" t="s">
        <v>2441</v>
      </c>
      <c r="C4" s="3474"/>
      <c r="D4" s="2509"/>
      <c r="E4" s="2507"/>
      <c r="F4" s="2510"/>
      <c r="G4" s="2510"/>
      <c r="H4" s="2511"/>
      <c r="I4" s="2512">
        <f t="shared" ref="I4:I9" si="0">ROUND(D4*E4*F4*G4*H4/10000,0)</f>
        <v>0</v>
      </c>
    </row>
    <row r="5" spans="1:9">
      <c r="A5" s="3473"/>
      <c r="B5" s="3474" t="s">
        <v>2442</v>
      </c>
      <c r="C5" s="3474"/>
      <c r="D5" s="2509"/>
      <c r="E5" s="2507"/>
      <c r="F5" s="2510"/>
      <c r="G5" s="2510"/>
      <c r="H5" s="2511"/>
      <c r="I5" s="2512">
        <f t="shared" si="0"/>
        <v>0</v>
      </c>
    </row>
    <row r="6" spans="1:9">
      <c r="A6" s="3473"/>
      <c r="B6" s="3474" t="s">
        <v>2443</v>
      </c>
      <c r="C6" s="3474"/>
      <c r="D6" s="2509"/>
      <c r="E6" s="2507"/>
      <c r="F6" s="2510"/>
      <c r="G6" s="2510"/>
      <c r="H6" s="2511"/>
      <c r="I6" s="2512">
        <f t="shared" si="0"/>
        <v>0</v>
      </c>
    </row>
    <row r="7" spans="1:9">
      <c r="A7" s="3473"/>
      <c r="B7" s="3474" t="s">
        <v>2444</v>
      </c>
      <c r="C7" s="3474"/>
      <c r="D7" s="2509"/>
      <c r="E7" s="2507"/>
      <c r="F7" s="2510"/>
      <c r="G7" s="2510"/>
      <c r="H7" s="2511"/>
      <c r="I7" s="2512">
        <f t="shared" si="0"/>
        <v>0</v>
      </c>
    </row>
    <row r="8" spans="1:9">
      <c r="A8" s="3473"/>
      <c r="B8" s="3474" t="s">
        <v>2445</v>
      </c>
      <c r="C8" s="3474"/>
      <c r="D8" s="2509"/>
      <c r="E8" s="2507"/>
      <c r="F8" s="2510"/>
      <c r="G8" s="2510"/>
      <c r="H8" s="2511"/>
      <c r="I8" s="2512">
        <f t="shared" si="0"/>
        <v>0</v>
      </c>
    </row>
    <row r="9" spans="1:9">
      <c r="A9" s="3473"/>
      <c r="B9" s="3474" t="s">
        <v>2446</v>
      </c>
      <c r="C9" s="3474"/>
      <c r="D9" s="2509"/>
      <c r="E9" s="2507"/>
      <c r="F9" s="2510"/>
      <c r="G9" s="2510"/>
      <c r="H9" s="2511"/>
      <c r="I9" s="2512">
        <f t="shared" si="0"/>
        <v>0</v>
      </c>
    </row>
    <row r="10" spans="1:9">
      <c r="A10" s="3473"/>
      <c r="B10" s="3475" t="s">
        <v>2447</v>
      </c>
      <c r="C10" s="3475"/>
      <c r="D10" s="2513">
        <v>527</v>
      </c>
      <c r="E10" s="2513" t="e">
        <f>ROUND(D1*10000/D10/H9,0)</f>
        <v>#DIV/0!</v>
      </c>
      <c r="F10" s="2514"/>
      <c r="G10" s="2514"/>
      <c r="H10" s="2515"/>
      <c r="I10" s="2516">
        <f>SUM(I3:I9)</f>
        <v>0</v>
      </c>
    </row>
    <row r="11" spans="1:9" ht="15.6">
      <c r="A11" s="3473" t="s">
        <v>2448</v>
      </c>
      <c r="B11" s="3474" t="s">
        <v>2449</v>
      </c>
      <c r="C11" s="3474"/>
      <c r="D11" s="2509" t="s">
        <v>2450</v>
      </c>
      <c r="E11" s="2509" t="s">
        <v>2451</v>
      </c>
      <c r="F11" s="2510" t="s">
        <v>2452</v>
      </c>
      <c r="G11" s="2510" t="s">
        <v>2453</v>
      </c>
      <c r="H11" s="2517" t="s">
        <v>2454</v>
      </c>
      <c r="I11" s="2508" t="s">
        <v>2455</v>
      </c>
    </row>
    <row r="12" spans="1:9">
      <c r="A12" s="3473"/>
      <c r="B12" s="3474" t="s">
        <v>2456</v>
      </c>
      <c r="C12" s="3474"/>
      <c r="D12" s="2509"/>
      <c r="E12" s="2509"/>
      <c r="F12" s="2510"/>
      <c r="G12" s="2511"/>
      <c r="H12" s="2518"/>
      <c r="I12" s="2508">
        <f>ROUND(D12*E12*F12*G12/10000,0)</f>
        <v>0</v>
      </c>
    </row>
    <row r="13" spans="1:9">
      <c r="A13" s="3473"/>
      <c r="B13" s="3474" t="s">
        <v>2457</v>
      </c>
      <c r="C13" s="3474"/>
      <c r="D13" s="2509"/>
      <c r="E13" s="2509"/>
      <c r="F13" s="2510"/>
      <c r="G13" s="2511"/>
      <c r="H13" s="2518"/>
      <c r="I13" s="2508">
        <f>ROUND(D13*E13*F13*G13/10000,0)</f>
        <v>0</v>
      </c>
    </row>
    <row r="14" spans="1:9">
      <c r="A14" s="3473"/>
      <c r="B14" s="3474" t="s">
        <v>2458</v>
      </c>
      <c r="C14" s="3474"/>
      <c r="D14" s="2509"/>
      <c r="E14" s="2509"/>
      <c r="F14" s="2510"/>
      <c r="G14" s="2511"/>
      <c r="H14" s="2518"/>
      <c r="I14" s="2508">
        <f>ROUND(D14*E14*F14*G14/10000,0)</f>
        <v>0</v>
      </c>
    </row>
    <row r="15" spans="1:9">
      <c r="A15" s="3473"/>
      <c r="B15" s="3475" t="s">
        <v>2447</v>
      </c>
      <c r="C15" s="3475"/>
      <c r="D15" s="2513"/>
      <c r="E15" s="2513">
        <f>SUM(E12:E14)</f>
        <v>0</v>
      </c>
      <c r="F15" s="2514"/>
      <c r="G15" s="2511"/>
      <c r="H15" s="2518"/>
      <c r="I15" s="2519">
        <f>SUM(I12:I14)</f>
        <v>0</v>
      </c>
    </row>
    <row r="16" spans="1:9" ht="24">
      <c r="A16" s="3473" t="s">
        <v>2459</v>
      </c>
      <c r="B16" s="3474" t="s">
        <v>2460</v>
      </c>
      <c r="C16" s="3474"/>
      <c r="D16" s="2509" t="s">
        <v>2461</v>
      </c>
      <c r="E16" s="2520" t="s">
        <v>2462</v>
      </c>
      <c r="F16" s="2510" t="s">
        <v>2463</v>
      </c>
      <c r="G16" s="2511" t="s">
        <v>2453</v>
      </c>
      <c r="H16" s="2517" t="s">
        <v>2454</v>
      </c>
      <c r="I16" s="2508" t="s">
        <v>2455</v>
      </c>
    </row>
    <row r="17" spans="1:9" ht="15.6">
      <c r="A17" s="3473"/>
      <c r="B17" s="3474" t="s">
        <v>2464</v>
      </c>
      <c r="C17" s="3474"/>
      <c r="D17" s="2509"/>
      <c r="E17" s="2509"/>
      <c r="F17" s="2510"/>
      <c r="G17" s="2511"/>
      <c r="H17" s="2521"/>
      <c r="I17" s="2522">
        <f>ROUND(D17*E17*F17*G17/10000,0)</f>
        <v>0</v>
      </c>
    </row>
    <row r="18" spans="1:9" ht="15.6">
      <c r="A18" s="3473"/>
      <c r="B18" s="3474" t="s">
        <v>2465</v>
      </c>
      <c r="C18" s="3474"/>
      <c r="D18" s="2509"/>
      <c r="E18" s="2509"/>
      <c r="F18" s="2510"/>
      <c r="G18" s="2511"/>
      <c r="H18" s="2521"/>
      <c r="I18" s="2522">
        <f>ROUND(D18*E18*F18*G18/10000,0)</f>
        <v>0</v>
      </c>
    </row>
    <row r="19" spans="1:9" ht="15.6">
      <c r="A19" s="3473"/>
      <c r="B19" s="3474" t="s">
        <v>2466</v>
      </c>
      <c r="C19" s="3474"/>
      <c r="D19" s="2509"/>
      <c r="E19" s="2509"/>
      <c r="F19" s="2510"/>
      <c r="G19" s="2511"/>
      <c r="H19" s="2521"/>
      <c r="I19" s="2522">
        <f>ROUND(D19*E19*F19*G19/10000,0)</f>
        <v>0</v>
      </c>
    </row>
    <row r="20" spans="1:9">
      <c r="A20" s="3473"/>
      <c r="B20" s="3475" t="s">
        <v>2447</v>
      </c>
      <c r="C20" s="3475"/>
      <c r="D20" s="2513">
        <f>SUM(D17:D19)</f>
        <v>0</v>
      </c>
      <c r="E20" s="2513"/>
      <c r="F20" s="2514"/>
      <c r="G20" s="2511"/>
      <c r="H20" s="2518"/>
      <c r="I20" s="2519">
        <f>SUM(I17:I19)</f>
        <v>0</v>
      </c>
    </row>
    <row r="21" spans="1:9">
      <c r="A21" s="3473" t="s">
        <v>2467</v>
      </c>
      <c r="B21" s="3477"/>
      <c r="C21" s="3477"/>
      <c r="D21" s="3477"/>
      <c r="E21" s="3477"/>
      <c r="F21" s="3477"/>
      <c r="G21" s="3477"/>
      <c r="H21" s="2523">
        <v>0.1</v>
      </c>
      <c r="I21" s="2516">
        <f>ROUND(I10*H21,0)</f>
        <v>0</v>
      </c>
    </row>
    <row r="22" spans="1:9" ht="15.6">
      <c r="A22" s="3478" t="s">
        <v>2468</v>
      </c>
      <c r="B22" s="3479"/>
      <c r="C22" s="3480"/>
      <c r="D22" s="2524" t="s">
        <v>2469</v>
      </c>
      <c r="E22" s="2524" t="s">
        <v>2470</v>
      </c>
      <c r="F22" s="2525" t="s">
        <v>2471</v>
      </c>
      <c r="G22" s="2525" t="s">
        <v>2472</v>
      </c>
      <c r="H22" s="2517" t="s">
        <v>2473</v>
      </c>
      <c r="I22" s="2508" t="s">
        <v>2474</v>
      </c>
    </row>
    <row r="23" spans="1:9" ht="15" thickBot="1">
      <c r="A23" s="3481"/>
      <c r="B23" s="3482"/>
      <c r="C23" s="3483"/>
      <c r="D23" s="2526"/>
      <c r="E23" s="2526"/>
      <c r="F23" s="2526"/>
      <c r="G23" s="2527"/>
      <c r="H23" s="2528"/>
      <c r="I23" s="2529">
        <f>ROUND(E23*D23*F23*(1-G23)/10000,0)</f>
        <v>0</v>
      </c>
    </row>
    <row r="26" spans="1:9">
      <c r="A26" s="2530" t="s">
        <v>2475</v>
      </c>
      <c r="B26" s="2530"/>
      <c r="C26" s="2530"/>
      <c r="D26" s="2530"/>
      <c r="E26" s="3484">
        <f>C27-C30-C31-C32</f>
        <v>0</v>
      </c>
      <c r="F26" s="3484"/>
      <c r="G26" s="3484"/>
      <c r="H26" s="3044" t="s">
        <v>2803</v>
      </c>
    </row>
    <row r="27" spans="1:9">
      <c r="A27" s="2531">
        <v>1</v>
      </c>
      <c r="B27" s="2532" t="s">
        <v>2476</v>
      </c>
      <c r="C27" s="2532"/>
      <c r="D27" s="2532"/>
      <c r="E27" s="3485"/>
      <c r="F27" s="3485"/>
      <c r="G27" s="3485"/>
    </row>
    <row r="28" spans="1:9">
      <c r="A28" s="2533" t="s">
        <v>2477</v>
      </c>
      <c r="B28" s="2532" t="s">
        <v>2478</v>
      </c>
      <c r="C28" s="2532"/>
      <c r="D28" s="2532"/>
      <c r="E28" s="3485"/>
      <c r="F28" s="3485"/>
      <c r="G28" s="3485"/>
    </row>
    <row r="29" spans="1:9">
      <c r="A29" s="2533" t="s">
        <v>2479</v>
      </c>
      <c r="B29" s="2532" t="s">
        <v>2420</v>
      </c>
      <c r="C29" s="2532"/>
      <c r="D29" s="2532"/>
      <c r="E29" s="2532" t="s">
        <v>2480</v>
      </c>
      <c r="F29" s="2532"/>
      <c r="G29" s="2532"/>
    </row>
    <row r="30" spans="1:9">
      <c r="A30" s="2531">
        <v>2</v>
      </c>
      <c r="B30" s="2532" t="s">
        <v>2481</v>
      </c>
      <c r="C30" s="2532">
        <f>C27*D30</f>
        <v>0</v>
      </c>
      <c r="D30" s="2534">
        <v>0.2</v>
      </c>
      <c r="E30" s="2532" t="s">
        <v>2482</v>
      </c>
      <c r="F30" s="2532"/>
      <c r="G30" s="2532"/>
    </row>
    <row r="31" spans="1:9">
      <c r="A31" s="2531">
        <v>3</v>
      </c>
      <c r="B31" s="2532" t="s">
        <v>2483</v>
      </c>
      <c r="C31" s="2532">
        <f>C25*D31</f>
        <v>0</v>
      </c>
      <c r="D31" s="2534">
        <v>0.15</v>
      </c>
      <c r="E31" s="2532" t="s">
        <v>2484</v>
      </c>
      <c r="F31" s="2532"/>
      <c r="G31" s="2532"/>
    </row>
    <row r="32" spans="1:9">
      <c r="A32" s="2531">
        <v>4</v>
      </c>
      <c r="B32" s="2532" t="s">
        <v>2485</v>
      </c>
      <c r="C32" s="2532">
        <f>C27*D32</f>
        <v>0</v>
      </c>
      <c r="D32" s="2534">
        <v>0.05</v>
      </c>
      <c r="E32" s="3476"/>
      <c r="F32" s="3476"/>
      <c r="G32" s="3476"/>
    </row>
    <row r="33" spans="1:7" hidden="1">
      <c r="A33" s="3486" t="s">
        <v>2486</v>
      </c>
      <c r="B33" s="3487"/>
      <c r="C33" s="3487"/>
      <c r="D33" s="3488"/>
      <c r="E33" s="3484"/>
      <c r="F33" s="3484"/>
      <c r="G33" s="3484"/>
    </row>
    <row r="34" spans="1:7" hidden="1">
      <c r="A34" s="2535">
        <v>1</v>
      </c>
      <c r="B34" s="2532" t="s">
        <v>2487</v>
      </c>
      <c r="C34" s="2532"/>
      <c r="D34" s="2532"/>
      <c r="E34" s="3485"/>
      <c r="F34" s="3485"/>
      <c r="G34" s="3485"/>
    </row>
    <row r="35" spans="1:7" hidden="1">
      <c r="A35" s="2535">
        <v>2</v>
      </c>
      <c r="B35" s="2532" t="s">
        <v>2488</v>
      </c>
      <c r="C35" s="2532"/>
      <c r="D35" s="2532"/>
      <c r="E35" s="3485"/>
      <c r="F35" s="3485"/>
      <c r="G35" s="3485"/>
    </row>
    <row r="36" spans="1:7" hidden="1">
      <c r="A36" s="2535">
        <v>3</v>
      </c>
      <c r="B36" s="2532" t="s">
        <v>2489</v>
      </c>
      <c r="C36" s="2532"/>
      <c r="D36" s="2532"/>
      <c r="E36" s="3485"/>
      <c r="F36" s="3485"/>
      <c r="G36" s="3485"/>
    </row>
    <row r="37" spans="1:7" hidden="1">
      <c r="A37" s="2535">
        <v>4</v>
      </c>
      <c r="B37" s="2532" t="s">
        <v>2490</v>
      </c>
      <c r="C37" s="2532"/>
      <c r="D37" s="2532"/>
      <c r="E37" s="3485"/>
      <c r="F37" s="3485"/>
      <c r="G37" s="3485"/>
    </row>
    <row r="38" spans="1:7" hidden="1">
      <c r="A38" s="3486" t="s">
        <v>2491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6">
      <c r="A10" s="2469">
        <v>2</v>
      </c>
      <c r="B10" s="748" t="s">
        <v>578</v>
      </c>
      <c r="C10" s="749">
        <f>C11+C14+C15</f>
        <v>0</v>
      </c>
      <c r="D10" s="760">
        <f>'数据-汇总表'!E3</f>
        <v>121219</v>
      </c>
      <c r="E10" s="749">
        <f>'数据-取费表'!B31</f>
        <v>100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2606</v>
      </c>
      <c r="D13" s="758">
        <f>'数据-汇总表'!E6</f>
        <v>121219</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48">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0.21</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0.82599999999999996</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N19" sqref="N19"/>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10937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2623" t="s">
        <v>684</v>
      </c>
      <c r="C1" s="2624" t="s">
        <v>685</v>
      </c>
      <c r="D1" s="2625" t="s">
        <v>2965</v>
      </c>
      <c r="E1" s="2626"/>
      <c r="F1" s="2807" t="s">
        <v>3150</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176498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81712</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486</v>
      </c>
      <c r="B4" s="513"/>
      <c r="C4" s="3380" t="s">
        <v>487</v>
      </c>
      <c r="D4" s="3381"/>
      <c r="E4" s="3417" t="s">
        <v>488</v>
      </c>
      <c r="F4" s="3418"/>
      <c r="G4" s="3380" t="s">
        <v>489</v>
      </c>
      <c r="H4" s="3381"/>
      <c r="I4" s="3380" t="s">
        <v>490</v>
      </c>
      <c r="J4" s="3381"/>
      <c r="K4" s="853"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7" t="s">
        <v>489</v>
      </c>
      <c r="AC4" s="3377" t="s">
        <v>490</v>
      </c>
    </row>
    <row r="5" spans="1:29">
      <c r="A5" s="515"/>
      <c r="B5" s="516"/>
      <c r="C5" s="3396" t="s">
        <v>3149</v>
      </c>
      <c r="D5" s="3397"/>
      <c r="E5" s="3492" t="s">
        <v>3162</v>
      </c>
      <c r="F5" s="3420"/>
      <c r="G5" s="3396" t="s">
        <v>3163</v>
      </c>
      <c r="H5" s="3397"/>
      <c r="I5" s="3396" t="s">
        <v>3164</v>
      </c>
      <c r="J5" s="3397"/>
      <c r="K5" s="85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2882</v>
      </c>
      <c r="D6" s="3395"/>
      <c r="E6" s="3415" t="s">
        <v>2882</v>
      </c>
      <c r="F6" s="3416"/>
      <c r="G6" s="3394" t="s">
        <v>2882</v>
      </c>
      <c r="H6" s="3395"/>
      <c r="I6" s="3394" t="s">
        <v>2882</v>
      </c>
      <c r="J6" s="3395"/>
      <c r="K6" s="854" t="s">
        <v>493</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494</v>
      </c>
      <c r="C7" s="519">
        <f>'数据-取费表'!B2</f>
        <v>43343</v>
      </c>
      <c r="D7" s="520">
        <v>100</v>
      </c>
      <c r="E7" s="521">
        <f>C7</f>
        <v>43343</v>
      </c>
      <c r="F7" s="522">
        <f>SUMIF(58:58,YEAR(E7)&amp;"-"&amp;MONTH(E7),59:59)</f>
        <v>100</v>
      </c>
      <c r="G7" s="523">
        <f>E7</f>
        <v>43343</v>
      </c>
      <c r="H7" s="520">
        <f>SUMIF(58:58,YEAR(G7)&amp;"-"&amp;MONTH(G7),59:59)</f>
        <v>100</v>
      </c>
      <c r="I7" s="523">
        <f>G7</f>
        <v>43343</v>
      </c>
      <c r="J7" s="520">
        <f>SUMIF(58:58,YEAR(I7)&amp;"-"&amp;MONTH(I7),59:59)</f>
        <v>100</v>
      </c>
      <c r="K7" s="855"/>
      <c r="L7" s="2135"/>
      <c r="M7" s="2136"/>
      <c r="N7" s="2136"/>
      <c r="O7" s="2136"/>
      <c r="P7" s="3407" t="s">
        <v>495</v>
      </c>
      <c r="Q7" s="3409"/>
      <c r="R7" s="1567" t="s">
        <v>12</v>
      </c>
      <c r="S7" s="1568">
        <f t="shared" ref="S7:S15" si="0">F7</f>
        <v>100</v>
      </c>
      <c r="T7" s="1567" t="s">
        <v>12</v>
      </c>
      <c r="U7" s="1568">
        <f t="shared" ref="U7:U15" si="1">H7</f>
        <v>100</v>
      </c>
      <c r="V7" s="1567" t="s">
        <v>12</v>
      </c>
      <c r="W7" s="1568">
        <f t="shared" ref="W7:W15" si="2">J7</f>
        <v>100</v>
      </c>
      <c r="X7" s="1569"/>
      <c r="Y7" s="3407" t="s">
        <v>495</v>
      </c>
      <c r="Z7" s="3408"/>
      <c r="AA7" s="1570">
        <f>D7/F7</f>
        <v>1</v>
      </c>
      <c r="AB7" s="1570">
        <f>D7/H7</f>
        <v>1</v>
      </c>
      <c r="AC7" s="1570">
        <f>D7/J7</f>
        <v>1</v>
      </c>
    </row>
    <row r="8" spans="1:29" s="1219" customFormat="1" ht="15" thickBot="1">
      <c r="A8" s="2913"/>
      <c r="B8" s="2920" t="s">
        <v>496</v>
      </c>
      <c r="C8" s="525" t="s">
        <v>541</v>
      </c>
      <c r="D8" s="520">
        <v>100</v>
      </c>
      <c r="E8" s="856" t="s">
        <v>2956</v>
      </c>
      <c r="F8" s="522">
        <f>SUMIF(61:61,E8,62:62)-SUMIF(61:61,C8,62:62)+100</f>
        <v>100</v>
      </c>
      <c r="G8" s="856" t="s">
        <v>2956</v>
      </c>
      <c r="H8" s="520">
        <f>SUMIF(61:61,G8,62:62)-SUMIF(61:61,C8,62:62)+100</f>
        <v>100</v>
      </c>
      <c r="I8" s="856" t="s">
        <v>2956</v>
      </c>
      <c r="J8" s="520">
        <f>SUMIF(61:61,I8,62:62)-SUMIF(61:61,C8,62:62)+100</f>
        <v>100</v>
      </c>
      <c r="K8" s="855"/>
      <c r="L8" s="2135"/>
      <c r="M8" s="2136"/>
      <c r="N8" s="2136"/>
      <c r="O8" s="2136"/>
      <c r="P8" s="3407" t="s">
        <v>498</v>
      </c>
      <c r="Q8" s="3408"/>
      <c r="R8" s="1567" t="s">
        <v>12</v>
      </c>
      <c r="S8" s="1568">
        <f t="shared" si="0"/>
        <v>100</v>
      </c>
      <c r="T8" s="1567" t="s">
        <v>12</v>
      </c>
      <c r="U8" s="1568">
        <f t="shared" si="1"/>
        <v>100</v>
      </c>
      <c r="V8" s="1567" t="s">
        <v>12</v>
      </c>
      <c r="W8" s="1568">
        <f t="shared" si="2"/>
        <v>100</v>
      </c>
      <c r="X8" s="1569"/>
      <c r="Y8" s="3407" t="s">
        <v>498</v>
      </c>
      <c r="Z8" s="3408"/>
      <c r="AA8" s="1570">
        <f t="shared" ref="AA8:AA46" si="3">D8/F8</f>
        <v>1</v>
      </c>
      <c r="AB8" s="1570">
        <f t="shared" ref="AB8:AB46" si="4">D8/H8</f>
        <v>1</v>
      </c>
      <c r="AC8" s="1570">
        <f t="shared" ref="AC8:AC46" si="5">D8/J8</f>
        <v>1</v>
      </c>
    </row>
    <row r="9" spans="1:29" s="1219" customFormat="1" ht="14.4">
      <c r="A9" s="2914"/>
      <c r="B9" s="2921" t="s">
        <v>2716</v>
      </c>
      <c r="C9" s="3203" t="s">
        <v>3166</v>
      </c>
      <c r="D9" s="254">
        <v>100</v>
      </c>
      <c r="E9" s="858" t="s">
        <v>2934</v>
      </c>
      <c r="F9" s="859">
        <f>SUMIF(63:63,E9,64:64)-SUMIF(63:63,C9,64:64)+100</f>
        <v>100</v>
      </c>
      <c r="G9" s="858" t="s">
        <v>2934</v>
      </c>
      <c r="H9" s="254">
        <f>SUMIF(63:63,G9,64:64)-SUMIF(63:63,C9,64:64)+100</f>
        <v>100</v>
      </c>
      <c r="I9" s="858" t="s">
        <v>2934</v>
      </c>
      <c r="J9" s="254">
        <f>SUMIF(63:63,I9,64:64)-SUMIF(63:63,C9,64:64)+100</f>
        <v>100</v>
      </c>
      <c r="K9" s="855"/>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8.8">
      <c r="A10" s="2915"/>
      <c r="B10" s="2920" t="s">
        <v>2717</v>
      </c>
      <c r="C10" s="861" t="s">
        <v>3167</v>
      </c>
      <c r="D10" s="255">
        <v>100</v>
      </c>
      <c r="E10" s="862" t="s">
        <v>3167</v>
      </c>
      <c r="F10" s="863">
        <f>SUMIF(65:65,E10,66:66)-SUMIF(65:65,C10,66:66)+100</f>
        <v>100</v>
      </c>
      <c r="G10" s="862" t="s">
        <v>3167</v>
      </c>
      <c r="H10" s="255">
        <f>SUMIF(65:65,G10,66:66)-SUMIF(65:65,C10,66:66)+100</f>
        <v>100</v>
      </c>
      <c r="I10" s="862" t="s">
        <v>3167</v>
      </c>
      <c r="J10" s="255">
        <f>SUMIF(65:65,I10,66:66)-SUMIF(65:65,C10,66:66)+100</f>
        <v>100</v>
      </c>
      <c r="K10" s="864">
        <v>1</v>
      </c>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f>'数据-汇总表'!I4</f>
        <v>8.3000000000000007</v>
      </c>
      <c r="D11" s="255">
        <v>100</v>
      </c>
      <c r="E11" s="534">
        <v>5.42</v>
      </c>
      <c r="F11" s="863">
        <f>LOOKUP(E11,68:68,69:69)-LOOKUP(C11,68:68,69:69)+100</f>
        <v>103</v>
      </c>
      <c r="G11" s="533">
        <v>8.3800000000000008</v>
      </c>
      <c r="H11" s="255">
        <f>LOOKUP(G11,68:68,69:69)-LOOKUP(C11,68:68,69:69)+100</f>
        <v>100</v>
      </c>
      <c r="I11" s="533">
        <v>10.1</v>
      </c>
      <c r="J11" s="255">
        <f>LOOKUP(I11,68:68,69:69)-LOOKUP(C11,68:68,69:69)+100</f>
        <v>98</v>
      </c>
      <c r="K11" s="864">
        <v>1</v>
      </c>
      <c r="L11" s="2140"/>
      <c r="M11" s="2134"/>
      <c r="N11" s="2134"/>
      <c r="O11" s="2141"/>
      <c r="P11" s="3374"/>
      <c r="Q11" s="1150" t="str">
        <f t="shared" si="6"/>
        <v>容积率</v>
      </c>
      <c r="R11" s="1567" t="s">
        <v>11</v>
      </c>
      <c r="S11" s="1568">
        <f t="shared" si="0"/>
        <v>103</v>
      </c>
      <c r="T11" s="1567" t="s">
        <v>11</v>
      </c>
      <c r="U11" s="1568">
        <f t="shared" si="1"/>
        <v>100</v>
      </c>
      <c r="V11" s="1567" t="s">
        <v>11</v>
      </c>
      <c r="W11" s="1568">
        <f t="shared" si="2"/>
        <v>98</v>
      </c>
      <c r="X11" s="1569"/>
      <c r="Y11" s="3320"/>
      <c r="Z11" s="1149" t="str">
        <f t="shared" si="7"/>
        <v>容积率</v>
      </c>
      <c r="AA11" s="1570">
        <f t="shared" si="3"/>
        <v>0.970873786407767</v>
      </c>
      <c r="AB11" s="1570">
        <f t="shared" si="4"/>
        <v>1</v>
      </c>
      <c r="AC11" s="1570">
        <f t="shared" si="5"/>
        <v>1.0204081632653061</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0</v>
      </c>
      <c r="R12" s="1567" t="s">
        <v>11</v>
      </c>
      <c r="S12" s="1568">
        <f t="shared" si="0"/>
        <v>100</v>
      </c>
      <c r="T12" s="1567" t="s">
        <v>11</v>
      </c>
      <c r="U12" s="1568">
        <f t="shared" si="1"/>
        <v>100</v>
      </c>
      <c r="V12" s="1567" t="s">
        <v>11</v>
      </c>
      <c r="W12" s="1568">
        <f t="shared" si="2"/>
        <v>100</v>
      </c>
      <c r="X12" s="1569"/>
      <c r="Y12" s="3320"/>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0</v>
      </c>
      <c r="R13" s="1567" t="s">
        <v>11</v>
      </c>
      <c r="S13" s="1568">
        <f t="shared" si="0"/>
        <v>100</v>
      </c>
      <c r="T13" s="1567" t="s">
        <v>11</v>
      </c>
      <c r="U13" s="1568">
        <f t="shared" si="1"/>
        <v>100</v>
      </c>
      <c r="V13" s="1567" t="s">
        <v>11</v>
      </c>
      <c r="W13" s="1568">
        <f t="shared" si="2"/>
        <v>100</v>
      </c>
      <c r="X13" s="1569"/>
      <c r="Y13" s="3320"/>
      <c r="Z13" s="1149">
        <f t="shared" si="7"/>
        <v>0</v>
      </c>
      <c r="AA13" s="1570">
        <f t="shared" si="3"/>
        <v>1</v>
      </c>
      <c r="AB13" s="1570">
        <f t="shared" si="4"/>
        <v>1</v>
      </c>
      <c r="AC13" s="1570">
        <f t="shared" si="5"/>
        <v>1</v>
      </c>
    </row>
    <row r="14" spans="1:29" ht="15.6"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0</v>
      </c>
      <c r="R14" s="1567" t="s">
        <v>11</v>
      </c>
      <c r="S14" s="1568">
        <f t="shared" si="0"/>
        <v>100</v>
      </c>
      <c r="T14" s="1567" t="s">
        <v>11</v>
      </c>
      <c r="U14" s="1568">
        <f t="shared" si="1"/>
        <v>100</v>
      </c>
      <c r="V14" s="1567" t="s">
        <v>11</v>
      </c>
      <c r="W14" s="1568">
        <f t="shared" si="2"/>
        <v>100</v>
      </c>
      <c r="X14" s="1569"/>
      <c r="Y14" s="3320"/>
      <c r="Z14" s="1149">
        <f t="shared" si="7"/>
        <v>0</v>
      </c>
      <c r="AA14" s="1570">
        <f t="shared" si="3"/>
        <v>1</v>
      </c>
      <c r="AB14" s="1570">
        <f t="shared" si="4"/>
        <v>1</v>
      </c>
      <c r="AC14" s="1570">
        <f t="shared" si="5"/>
        <v>1</v>
      </c>
    </row>
    <row r="15" spans="1:29" ht="35.25" customHeight="1">
      <c r="A15" s="2910" t="s">
        <v>2714</v>
      </c>
      <c r="B15" s="166" t="s">
        <v>260</v>
      </c>
      <c r="C15" s="867" t="str">
        <f>估价对象房地状况!C3</f>
        <v>周边居住社区成熟度较好</v>
      </c>
      <c r="D15" s="549">
        <v>100</v>
      </c>
      <c r="E15" s="550" t="s">
        <v>3168</v>
      </c>
      <c r="F15" s="551">
        <f>SUMIF(76:76,E16,77:77)-SUMIF(76:76,C16,77:77)+100</f>
        <v>100</v>
      </c>
      <c r="G15" s="550" t="s">
        <v>3168</v>
      </c>
      <c r="H15" s="549">
        <f>SUMIF(76:76,G16,77:77)-SUMIF(76:76,C16,77:77)+100</f>
        <v>100</v>
      </c>
      <c r="I15" s="550" t="s">
        <v>3168</v>
      </c>
      <c r="J15" s="549">
        <f>SUMIF(76:76,I16,77:77)-SUMIF(76:76,C16,77:77)+100</f>
        <v>100</v>
      </c>
      <c r="K15" s="868">
        <v>1</v>
      </c>
      <c r="L15" s="2142"/>
      <c r="M15" s="2134"/>
      <c r="N15" s="2134"/>
      <c r="O15" s="2141"/>
      <c r="P15" s="3410" t="s">
        <v>505</v>
      </c>
      <c r="Q15" s="1571" t="str">
        <f t="shared" si="6"/>
        <v>居住社区成熟度</v>
      </c>
      <c r="R15" s="1572" t="s">
        <v>11</v>
      </c>
      <c r="S15" s="1573">
        <f t="shared" si="0"/>
        <v>100</v>
      </c>
      <c r="T15" s="1572" t="s">
        <v>11</v>
      </c>
      <c r="U15" s="1573">
        <f t="shared" si="1"/>
        <v>100</v>
      </c>
      <c r="V15" s="1572" t="s">
        <v>11</v>
      </c>
      <c r="W15" s="1573">
        <f t="shared" si="2"/>
        <v>100</v>
      </c>
      <c r="X15" s="1566"/>
      <c r="Y15" s="3410" t="s">
        <v>505</v>
      </c>
      <c r="Z15" s="1574" t="str">
        <f t="shared" si="7"/>
        <v>居住社区成熟度</v>
      </c>
      <c r="AA15" s="1575">
        <f t="shared" si="3"/>
        <v>1</v>
      </c>
      <c r="AB15" s="1575">
        <f t="shared" si="4"/>
        <v>1</v>
      </c>
      <c r="AC15" s="1575">
        <f t="shared" si="5"/>
        <v>1</v>
      </c>
    </row>
    <row r="16" spans="1:29" ht="15">
      <c r="A16" s="532"/>
      <c r="B16" s="869"/>
      <c r="C16" s="576" t="s">
        <v>2937</v>
      </c>
      <c r="D16" s="555"/>
      <c r="E16" s="556" t="s">
        <v>2937</v>
      </c>
      <c r="F16" s="557"/>
      <c r="G16" s="556" t="s">
        <v>2937</v>
      </c>
      <c r="H16" s="559"/>
      <c r="I16" s="556" t="s">
        <v>2937</v>
      </c>
      <c r="J16" s="555"/>
      <c r="K16" s="870"/>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29.6">
      <c r="A17" s="532"/>
      <c r="B17" s="871" t="s">
        <v>261</v>
      </c>
      <c r="C17" s="872" t="str">
        <f>估价对象房地状况!C6</f>
        <v>估价对象周边道路状况好、公共交通通达情况好、停车便捷程度好，周边有2号线、7号线华强北站，综合评价交通便捷度好</v>
      </c>
      <c r="D17" s="559">
        <v>100</v>
      </c>
      <c r="E17" s="3205" t="s">
        <v>3172</v>
      </c>
      <c r="F17" s="563">
        <f>SUMIF(78:78,E18,79:79)-SUMIF(78:78,C18,79:79)+100</f>
        <v>99</v>
      </c>
      <c r="G17" s="562" t="s">
        <v>3175</v>
      </c>
      <c r="H17" s="565">
        <f>SUMIF(78:78,G18,79:79)-SUMIF(78:78,C18,79:79)+100</f>
        <v>100</v>
      </c>
      <c r="I17" s="562" t="s">
        <v>3174</v>
      </c>
      <c r="J17" s="565">
        <f>SUMIF(78:78,I18,79:79)-SUMIF(78:78,C18,79:79)+100</f>
        <v>100</v>
      </c>
      <c r="K17" s="868">
        <v>1</v>
      </c>
      <c r="L17" s="2142"/>
      <c r="M17" s="2134"/>
      <c r="N17" s="2134"/>
      <c r="O17" s="2141"/>
      <c r="P17" s="3411"/>
      <c r="Q17" s="1571" t="str">
        <f>B17</f>
        <v>交通便捷度</v>
      </c>
      <c r="R17" s="1572" t="s">
        <v>11</v>
      </c>
      <c r="S17" s="1573">
        <f>F17</f>
        <v>99</v>
      </c>
      <c r="T17" s="1572" t="s">
        <v>11</v>
      </c>
      <c r="U17" s="1573">
        <f>H17</f>
        <v>100</v>
      </c>
      <c r="V17" s="1572" t="s">
        <v>11</v>
      </c>
      <c r="W17" s="1573">
        <f>J17</f>
        <v>100</v>
      </c>
      <c r="X17" s="1566"/>
      <c r="Y17" s="3411"/>
      <c r="Z17" s="1574" t="str">
        <f>Q17</f>
        <v>交通便捷度</v>
      </c>
      <c r="AA17" s="1575">
        <f t="shared" si="3"/>
        <v>1.0101010101010102</v>
      </c>
      <c r="AB17" s="1575">
        <f t="shared" si="4"/>
        <v>1</v>
      </c>
      <c r="AC17" s="1575">
        <f t="shared" si="5"/>
        <v>1</v>
      </c>
    </row>
    <row r="18" spans="1:29" ht="15">
      <c r="A18" s="532"/>
      <c r="B18" s="595"/>
      <c r="C18" s="873" t="s">
        <v>3113</v>
      </c>
      <c r="D18" s="559"/>
      <c r="E18" s="568" t="s">
        <v>2937</v>
      </c>
      <c r="F18" s="563"/>
      <c r="G18" s="568" t="s">
        <v>3113</v>
      </c>
      <c r="H18" s="555"/>
      <c r="I18" s="568" t="s">
        <v>3113</v>
      </c>
      <c r="J18" s="555"/>
      <c r="K18" s="870"/>
      <c r="L18" s="2142"/>
      <c r="M18" s="2134"/>
      <c r="N18" s="2134"/>
      <c r="O18" s="2141"/>
      <c r="P18" s="3411"/>
      <c r="Q18" s="1571"/>
      <c r="R18" s="1572"/>
      <c r="S18" s="1573"/>
      <c r="T18" s="1572"/>
      <c r="U18" s="1573"/>
      <c r="V18" s="1572"/>
      <c r="W18" s="1573"/>
      <c r="X18" s="1566"/>
      <c r="Y18" s="3411"/>
      <c r="Z18" s="1574"/>
      <c r="AA18" s="1575">
        <v>1</v>
      </c>
      <c r="AB18" s="1575">
        <v>1</v>
      </c>
      <c r="AC18" s="1575">
        <v>1</v>
      </c>
    </row>
    <row r="19" spans="1:29" ht="55.2">
      <c r="A19" s="532"/>
      <c r="B19" s="2600" t="s">
        <v>2506</v>
      </c>
      <c r="C19" s="872" t="str">
        <f>估价对象房地状况!C7</f>
        <v>估价对象所在区域公共配套设施齐备情况好</v>
      </c>
      <c r="D19" s="565">
        <v>100</v>
      </c>
      <c r="E19" s="570" t="s">
        <v>2991</v>
      </c>
      <c r="F19" s="571">
        <f>SUMIF(80:80,E20,81:81)-SUMIF(80:80,C20,81:81)+100</f>
        <v>100</v>
      </c>
      <c r="G19" s="570" t="s">
        <v>2991</v>
      </c>
      <c r="H19" s="559">
        <f>SUMIF(80:80,G20,81:81)-SUMIF(80:80,C20,81:81)+100</f>
        <v>100</v>
      </c>
      <c r="I19" s="570" t="s">
        <v>2991</v>
      </c>
      <c r="J19" s="559">
        <f>SUMIF(80:80,I20,81:81)-SUMIF(80:80,C20,81:81)+100</f>
        <v>100</v>
      </c>
      <c r="K19" s="868">
        <v>1</v>
      </c>
      <c r="L19" s="2142"/>
      <c r="M19" s="2134"/>
      <c r="N19" s="2134"/>
      <c r="O19" s="2141"/>
      <c r="P19" s="3411"/>
      <c r="Q19" s="1571" t="str">
        <f>B19</f>
        <v>公共配套设施</v>
      </c>
      <c r="R19" s="1572" t="s">
        <v>11</v>
      </c>
      <c r="S19" s="1573">
        <f>F19</f>
        <v>100</v>
      </c>
      <c r="T19" s="1572" t="s">
        <v>11</v>
      </c>
      <c r="U19" s="1573">
        <f>H19</f>
        <v>100</v>
      </c>
      <c r="V19" s="1572" t="s">
        <v>11</v>
      </c>
      <c r="W19" s="1573">
        <f>J19</f>
        <v>100</v>
      </c>
      <c r="X19" s="1566"/>
      <c r="Y19" s="3411"/>
      <c r="Z19" s="1574" t="str">
        <f>Q19</f>
        <v>公共配套设施</v>
      </c>
      <c r="AA19" s="1575">
        <f t="shared" si="3"/>
        <v>1</v>
      </c>
      <c r="AB19" s="1575">
        <f t="shared" si="4"/>
        <v>1</v>
      </c>
      <c r="AC19" s="1575">
        <f t="shared" si="5"/>
        <v>1</v>
      </c>
    </row>
    <row r="20" spans="1:29" ht="15">
      <c r="A20" s="532"/>
      <c r="B20" s="595"/>
      <c r="C20" s="576" t="s">
        <v>3113</v>
      </c>
      <c r="D20" s="555"/>
      <c r="E20" s="556" t="s">
        <v>3113</v>
      </c>
      <c r="F20" s="557"/>
      <c r="G20" s="556" t="s">
        <v>3113</v>
      </c>
      <c r="H20" s="555"/>
      <c r="I20" s="556" t="s">
        <v>3113</v>
      </c>
      <c r="J20" s="555"/>
      <c r="K20" s="870"/>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1.4">
      <c r="A21" s="532"/>
      <c r="B21" s="2593" t="s">
        <v>2518</v>
      </c>
      <c r="C21" s="872" t="str">
        <f>估价对象房地状况!C8</f>
        <v>估价对象所在区域基础设施水平高</v>
      </c>
      <c r="D21" s="565">
        <v>100</v>
      </c>
      <c r="E21" s="572" t="s">
        <v>2993</v>
      </c>
      <c r="F21" s="571">
        <f>SUMIF(82:82,E22,83:83)-SUMIF(82:82,C22,83:83)+100</f>
        <v>100</v>
      </c>
      <c r="G21" s="572" t="s">
        <v>2993</v>
      </c>
      <c r="H21" s="565">
        <f>SUMIF(82:82,G22,83:83)-SUMIF(82:82,C22,83:83)+100</f>
        <v>100</v>
      </c>
      <c r="I21" s="572" t="s">
        <v>2993</v>
      </c>
      <c r="J21" s="565">
        <f>SUMIF(82:82,I22,83:83)-SUMIF(82:82,C22,83:83)+100</f>
        <v>100</v>
      </c>
      <c r="K21" s="868">
        <v>1</v>
      </c>
      <c r="L21" s="2142"/>
      <c r="M21" s="2134"/>
      <c r="N21" s="2134"/>
      <c r="O21" s="2141"/>
      <c r="P21" s="3411"/>
      <c r="Q21" s="2579" t="str">
        <f>B21</f>
        <v>基础设施水平</v>
      </c>
      <c r="R21" s="1572" t="s">
        <v>11</v>
      </c>
      <c r="S21" s="1573">
        <f>F21</f>
        <v>100</v>
      </c>
      <c r="T21" s="1572" t="s">
        <v>11</v>
      </c>
      <c r="U21" s="1573">
        <f>H21</f>
        <v>100</v>
      </c>
      <c r="V21" s="1572" t="s">
        <v>11</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t="s">
        <v>2938</v>
      </c>
      <c r="D22" s="555"/>
      <c r="E22" s="576" t="s">
        <v>2938</v>
      </c>
      <c r="F22" s="557"/>
      <c r="G22" s="576" t="s">
        <v>2938</v>
      </c>
      <c r="H22" s="555"/>
      <c r="I22" s="576" t="s">
        <v>2938</v>
      </c>
      <c r="J22" s="555"/>
      <c r="K22" s="2599"/>
      <c r="L22" s="2142"/>
      <c r="M22" s="2134"/>
      <c r="N22" s="2134"/>
      <c r="O22" s="2141"/>
      <c r="P22" s="3411"/>
      <c r="Q22" s="2579"/>
      <c r="R22" s="1572"/>
      <c r="S22" s="1573"/>
      <c r="T22" s="1572"/>
      <c r="U22" s="1573"/>
      <c r="V22" s="1572"/>
      <c r="W22" s="1573"/>
      <c r="X22" s="2581"/>
      <c r="Y22" s="3411"/>
      <c r="Z22" s="2580"/>
      <c r="AA22" s="1575">
        <v>1</v>
      </c>
      <c r="AB22" s="1575">
        <v>1</v>
      </c>
      <c r="AC22" s="1575">
        <v>1</v>
      </c>
    </row>
    <row r="23" spans="1:29" ht="96.6">
      <c r="A23" s="532"/>
      <c r="B23" s="871" t="s">
        <v>262</v>
      </c>
      <c r="C23" s="872" t="str">
        <f>估价对象房地状况!C9</f>
        <v>区域自然环境及人文环境好，周边有深圳城市学院、深圳中心公园；综合评价环境状况好</v>
      </c>
      <c r="D23" s="559">
        <v>100</v>
      </c>
      <c r="E23" s="562" t="s">
        <v>3171</v>
      </c>
      <c r="F23" s="563">
        <f>SUMIF(84:84,E24,85:85)-SUMIF(84:84,C24,85:85)+100</f>
        <v>100</v>
      </c>
      <c r="G23" s="562" t="s">
        <v>3171</v>
      </c>
      <c r="H23" s="559">
        <f>SUMIF(84:84,G24,85:85)-SUMIF(84:84,C24,85:85)+100</f>
        <v>100</v>
      </c>
      <c r="I23" s="562" t="s">
        <v>3171</v>
      </c>
      <c r="J23" s="559">
        <f>SUMIF(84:84,I24,85:85)-SUMIF(84:84,C24,85:85)+100</f>
        <v>100</v>
      </c>
      <c r="K23" s="868">
        <v>1</v>
      </c>
      <c r="L23" s="2142"/>
      <c r="M23" s="2134"/>
      <c r="N23" s="2134"/>
      <c r="O23" s="2141"/>
      <c r="P23" s="3411"/>
      <c r="Q23" s="1571" t="str">
        <f>B23</f>
        <v>自然及人文环境</v>
      </c>
      <c r="R23" s="1572" t="s">
        <v>11</v>
      </c>
      <c r="S23" s="1573">
        <f>F23</f>
        <v>100</v>
      </c>
      <c r="T23" s="1572" t="s">
        <v>11</v>
      </c>
      <c r="U23" s="1573">
        <f>H23</f>
        <v>100</v>
      </c>
      <c r="V23" s="1572" t="s">
        <v>11</v>
      </c>
      <c r="W23" s="1573">
        <f>J23</f>
        <v>100</v>
      </c>
      <c r="X23" s="1566"/>
      <c r="Y23" s="3411"/>
      <c r="Z23" s="1574" t="str">
        <f>Q23</f>
        <v>自然及人文环境</v>
      </c>
      <c r="AA23" s="1575">
        <f t="shared" si="3"/>
        <v>1</v>
      </c>
      <c r="AB23" s="1575">
        <f t="shared" si="4"/>
        <v>1</v>
      </c>
      <c r="AC23" s="1575">
        <f t="shared" si="5"/>
        <v>1</v>
      </c>
    </row>
    <row r="24" spans="1:29" ht="15">
      <c r="A24" s="532"/>
      <c r="B24" s="595"/>
      <c r="C24" s="576" t="s">
        <v>3113</v>
      </c>
      <c r="D24" s="555"/>
      <c r="E24" s="556" t="s">
        <v>3113</v>
      </c>
      <c r="F24" s="557"/>
      <c r="G24" s="556" t="s">
        <v>3113</v>
      </c>
      <c r="H24" s="555"/>
      <c r="I24" s="556" t="s">
        <v>3113</v>
      </c>
      <c r="J24" s="555"/>
      <c r="K24" s="870"/>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1895" t="s">
        <v>2218</v>
      </c>
      <c r="C25" s="574" t="s">
        <v>3151</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411"/>
      <c r="Q25" s="1571" t="str">
        <f t="shared" ref="Q25:Q46" si="11">B25</f>
        <v>楼层-1</v>
      </c>
      <c r="R25" s="1572" t="s">
        <v>11</v>
      </c>
      <c r="S25" s="1573">
        <f>F25</f>
        <v>100</v>
      </c>
      <c r="T25" s="1572" t="s">
        <v>11</v>
      </c>
      <c r="U25" s="1573">
        <f>H25</f>
        <v>100</v>
      </c>
      <c r="V25" s="1572" t="s">
        <v>11</v>
      </c>
      <c r="W25" s="1573">
        <f>J25</f>
        <v>100</v>
      </c>
      <c r="X25" s="1566"/>
      <c r="Y25" s="3411"/>
      <c r="Z25" s="1574" t="str">
        <f>Q25</f>
        <v>楼层-1</v>
      </c>
      <c r="AA25" s="1575">
        <f t="shared" si="3"/>
        <v>1</v>
      </c>
      <c r="AB25" s="1575">
        <f t="shared" si="4"/>
        <v>1</v>
      </c>
      <c r="AC25" s="1575">
        <f t="shared" si="5"/>
        <v>1</v>
      </c>
    </row>
    <row r="26" spans="1:29" ht="15">
      <c r="A26" s="532"/>
      <c r="B26" s="527" t="s">
        <v>688</v>
      </c>
      <c r="C26" s="574" t="s">
        <v>3151</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411"/>
      <c r="Q26" s="1571" t="str">
        <f t="shared" si="11"/>
        <v>朝向</v>
      </c>
      <c r="R26" s="1572" t="s">
        <v>11</v>
      </c>
      <c r="S26" s="1573">
        <f>F26</f>
        <v>100</v>
      </c>
      <c r="T26" s="1572" t="s">
        <v>11</v>
      </c>
      <c r="U26" s="1573">
        <f>H26</f>
        <v>100</v>
      </c>
      <c r="V26" s="1572" t="s">
        <v>11</v>
      </c>
      <c r="W26" s="1573">
        <f>J26</f>
        <v>100</v>
      </c>
      <c r="X26" s="1566"/>
      <c r="Y26" s="3411"/>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0" t="str">
        <f t="shared" si="11"/>
        <v>道路级别</v>
      </c>
      <c r="R27" s="1567" t="s">
        <v>11</v>
      </c>
      <c r="S27" s="1568">
        <f>F27</f>
        <v>100</v>
      </c>
      <c r="T27" s="1567" t="s">
        <v>11</v>
      </c>
      <c r="U27" s="1568">
        <f>H27</f>
        <v>100</v>
      </c>
      <c r="V27" s="1567" t="s">
        <v>11</v>
      </c>
      <c r="W27" s="1568">
        <f>J27</f>
        <v>100</v>
      </c>
      <c r="X27" s="1569"/>
      <c r="Y27" s="3411"/>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1">
        <f t="shared" si="11"/>
        <v>0</v>
      </c>
      <c r="R28" s="1572" t="s">
        <v>11</v>
      </c>
      <c r="S28" s="1573">
        <f t="shared" ref="S28:S46" si="12">F28</f>
        <v>100</v>
      </c>
      <c r="T28" s="1572" t="s">
        <v>11</v>
      </c>
      <c r="U28" s="1573">
        <f t="shared" ref="U28:U46" si="13">H28</f>
        <v>100</v>
      </c>
      <c r="V28" s="1572" t="s">
        <v>11</v>
      </c>
      <c r="W28" s="1573">
        <f t="shared" ref="W28:W46" si="14">J28</f>
        <v>100</v>
      </c>
      <c r="X28" s="1566"/>
      <c r="Y28" s="341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1">
        <f t="shared" si="11"/>
        <v>0</v>
      </c>
      <c r="R29" s="1572" t="s">
        <v>11</v>
      </c>
      <c r="S29" s="1573">
        <f t="shared" si="12"/>
        <v>100</v>
      </c>
      <c r="T29" s="1572" t="s">
        <v>11</v>
      </c>
      <c r="U29" s="1573">
        <f t="shared" si="13"/>
        <v>100</v>
      </c>
      <c r="V29" s="1572" t="s">
        <v>11</v>
      </c>
      <c r="W29" s="1573">
        <f t="shared" si="14"/>
        <v>100</v>
      </c>
      <c r="X29" s="1566"/>
      <c r="Y29" s="341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1">
        <f t="shared" si="11"/>
        <v>0</v>
      </c>
      <c r="R30" s="1572" t="s">
        <v>11</v>
      </c>
      <c r="S30" s="1573">
        <f t="shared" si="12"/>
        <v>100</v>
      </c>
      <c r="T30" s="1572" t="s">
        <v>11</v>
      </c>
      <c r="U30" s="1573">
        <f t="shared" si="13"/>
        <v>100</v>
      </c>
      <c r="V30" s="1572" t="s">
        <v>11</v>
      </c>
      <c r="W30" s="1573">
        <f t="shared" si="14"/>
        <v>100</v>
      </c>
      <c r="X30" s="1566"/>
      <c r="Y30" s="3411"/>
      <c r="Z30" s="1574">
        <f t="shared" si="15"/>
        <v>0</v>
      </c>
      <c r="AA30" s="1575">
        <f t="shared" si="3"/>
        <v>1</v>
      </c>
      <c r="AB30" s="1575">
        <f t="shared" si="4"/>
        <v>1</v>
      </c>
      <c r="AC30" s="1575">
        <f t="shared" si="5"/>
        <v>1</v>
      </c>
    </row>
    <row r="31" spans="1:29" ht="15.6"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1">
        <f t="shared" si="11"/>
        <v>0</v>
      </c>
      <c r="R31" s="1572" t="s">
        <v>11</v>
      </c>
      <c r="S31" s="1573">
        <f t="shared" si="12"/>
        <v>100</v>
      </c>
      <c r="T31" s="1572" t="s">
        <v>11</v>
      </c>
      <c r="U31" s="1573">
        <f t="shared" si="13"/>
        <v>100</v>
      </c>
      <c r="V31" s="1572" t="s">
        <v>11</v>
      </c>
      <c r="W31" s="1573">
        <f t="shared" si="14"/>
        <v>100</v>
      </c>
      <c r="X31" s="1566"/>
      <c r="Y31" s="3411"/>
      <c r="Z31" s="1574">
        <f t="shared" si="15"/>
        <v>0</v>
      </c>
      <c r="AA31" s="1575">
        <f t="shared" si="3"/>
        <v>1</v>
      </c>
      <c r="AB31" s="1575">
        <f t="shared" si="4"/>
        <v>1</v>
      </c>
      <c r="AC31" s="1575">
        <f t="shared" si="5"/>
        <v>1</v>
      </c>
    </row>
    <row r="32" spans="1:29" ht="27.6">
      <c r="A32" s="2907" t="s">
        <v>2715</v>
      </c>
      <c r="B32" s="172" t="s">
        <v>690</v>
      </c>
      <c r="C32" s="878" t="s">
        <v>3152</v>
      </c>
      <c r="D32" s="597">
        <v>100</v>
      </c>
      <c r="E32" s="879" t="s">
        <v>3152</v>
      </c>
      <c r="F32" s="575">
        <f>SUMIF(100:100,E32,101:101)-SUMIF(100:100,C32,101:101)+100</f>
        <v>100</v>
      </c>
      <c r="G32" s="879" t="s">
        <v>3152</v>
      </c>
      <c r="H32" s="597">
        <f>SUMIF(100:100,G32,101:101)-SUMIF(100:100,C32,101:101)+100</f>
        <v>100</v>
      </c>
      <c r="I32" s="879" t="s">
        <v>3152</v>
      </c>
      <c r="J32" s="540">
        <f>SUMIF(100:100,I32,101:101)-SUMIF(100:100,C32,101:101)+100</f>
        <v>100</v>
      </c>
      <c r="K32" s="864">
        <v>1</v>
      </c>
      <c r="L32" s="2142"/>
      <c r="M32" s="2134"/>
      <c r="N32" s="2134"/>
      <c r="O32" s="2141"/>
      <c r="P32" s="3412" t="s">
        <v>515</v>
      </c>
      <c r="Q32" s="1571" t="str">
        <f t="shared" si="11"/>
        <v>建筑类型</v>
      </c>
      <c r="R32" s="1572" t="s">
        <v>11</v>
      </c>
      <c r="S32" s="1573">
        <f t="shared" si="12"/>
        <v>100</v>
      </c>
      <c r="T32" s="1572" t="s">
        <v>11</v>
      </c>
      <c r="U32" s="1573">
        <f t="shared" si="13"/>
        <v>100</v>
      </c>
      <c r="V32" s="1572" t="s">
        <v>11</v>
      </c>
      <c r="W32" s="1573">
        <f t="shared" si="14"/>
        <v>100</v>
      </c>
      <c r="X32" s="1566"/>
      <c r="Y32" s="3413" t="s">
        <v>515</v>
      </c>
      <c r="Z32" s="1574" t="str">
        <f t="shared" si="15"/>
        <v>建筑类型</v>
      </c>
      <c r="AA32" s="1575">
        <f t="shared" si="3"/>
        <v>1</v>
      </c>
      <c r="AB32" s="1575">
        <f t="shared" si="4"/>
        <v>1</v>
      </c>
      <c r="AC32" s="1575">
        <f t="shared" si="5"/>
        <v>1</v>
      </c>
    </row>
    <row r="33" spans="1:29" s="1338" customFormat="1" ht="15">
      <c r="A33" s="603"/>
      <c r="B33" s="527" t="s">
        <v>691</v>
      </c>
      <c r="C33" s="880">
        <f>'数据-基础表'!B3</f>
        <v>121219</v>
      </c>
      <c r="D33" s="255">
        <v>100</v>
      </c>
      <c r="E33" s="534">
        <v>114174</v>
      </c>
      <c r="F33" s="863">
        <f>LOOKUP(E33,103:103,104:104)-LOOKUP(C33,103:103,104:104)+100</f>
        <v>100</v>
      </c>
      <c r="G33" s="534">
        <v>63670</v>
      </c>
      <c r="H33" s="255">
        <f>LOOKUP(G33,103:103,104:104)-LOOKUP(C33,103:103,104:104)+100</f>
        <v>99</v>
      </c>
      <c r="I33" s="534">
        <v>280000</v>
      </c>
      <c r="J33" s="255">
        <f>LOOKUP(I33,103:103,104:104)-LOOKUP(C33,103:103,104:104)+100</f>
        <v>101</v>
      </c>
      <c r="K33" s="865"/>
      <c r="L33" s="2140"/>
      <c r="M33" s="2171"/>
      <c r="N33" s="2171"/>
      <c r="O33" s="2143"/>
      <c r="P33" s="3413"/>
      <c r="Q33" s="1604" t="str">
        <f t="shared" si="11"/>
        <v>项目建筑规模</v>
      </c>
      <c r="R33" s="1576" t="s">
        <v>11</v>
      </c>
      <c r="S33" s="1577">
        <f t="shared" si="12"/>
        <v>100</v>
      </c>
      <c r="T33" s="1576" t="s">
        <v>11</v>
      </c>
      <c r="U33" s="1577">
        <f t="shared" si="13"/>
        <v>99</v>
      </c>
      <c r="V33" s="1576" t="s">
        <v>11</v>
      </c>
      <c r="W33" s="1577">
        <f t="shared" si="14"/>
        <v>101</v>
      </c>
      <c r="X33" s="1578"/>
      <c r="Y33" s="3413"/>
      <c r="Z33" s="1579" t="str">
        <f t="shared" si="15"/>
        <v>项目建筑规模</v>
      </c>
      <c r="AA33" s="1575">
        <f t="shared" si="3"/>
        <v>1</v>
      </c>
      <c r="AB33" s="1575">
        <f t="shared" si="4"/>
        <v>1.0101010101010102</v>
      </c>
      <c r="AC33" s="1575">
        <f t="shared" si="5"/>
        <v>0.99009900990099009</v>
      </c>
    </row>
    <row r="34" spans="1:29" ht="15">
      <c r="A34" s="594"/>
      <c r="B34" s="527" t="s">
        <v>692</v>
      </c>
      <c r="C34" s="881" t="s">
        <v>3128</v>
      </c>
      <c r="D34" s="540">
        <v>100</v>
      </c>
      <c r="E34" s="882" t="s">
        <v>3128</v>
      </c>
      <c r="F34" s="575">
        <f>SUMIF(105:105,E34,106:106)-SUMIF(105:105,C34,106:106)+100</f>
        <v>100</v>
      </c>
      <c r="G34" s="882" t="s">
        <v>3128</v>
      </c>
      <c r="H34" s="540">
        <f>SUMIF(105:105,G34,106:106)-SUMIF(105:105,C34,106:106)+100</f>
        <v>100</v>
      </c>
      <c r="I34" s="882" t="s">
        <v>3128</v>
      </c>
      <c r="J34" s="540">
        <f>SUMIF(105:105,I34,106:106)-SUMIF(105:105,C34,106:106)+100</f>
        <v>100</v>
      </c>
      <c r="K34" s="864">
        <v>1</v>
      </c>
      <c r="L34" s="2142"/>
      <c r="M34" s="2134"/>
      <c r="N34" s="2134"/>
      <c r="O34" s="2141"/>
      <c r="P34" s="3413"/>
      <c r="Q34" s="1571" t="str">
        <f t="shared" si="11"/>
        <v>建筑结构</v>
      </c>
      <c r="R34" s="1572" t="s">
        <v>11</v>
      </c>
      <c r="S34" s="1573">
        <f t="shared" si="12"/>
        <v>100</v>
      </c>
      <c r="T34" s="1572" t="s">
        <v>11</v>
      </c>
      <c r="U34" s="1573">
        <f t="shared" si="13"/>
        <v>100</v>
      </c>
      <c r="V34" s="1572" t="s">
        <v>11</v>
      </c>
      <c r="W34" s="1573">
        <f t="shared" si="14"/>
        <v>100</v>
      </c>
      <c r="X34" s="1566"/>
      <c r="Y34" s="3413"/>
      <c r="Z34" s="1574" t="str">
        <f t="shared" si="15"/>
        <v>建筑结构</v>
      </c>
      <c r="AA34" s="1575">
        <f t="shared" si="3"/>
        <v>1</v>
      </c>
      <c r="AB34" s="1575">
        <f t="shared" si="4"/>
        <v>1</v>
      </c>
      <c r="AC34" s="1575">
        <f t="shared" si="5"/>
        <v>1</v>
      </c>
    </row>
    <row r="35" spans="1:29" ht="15">
      <c r="A35" s="594"/>
      <c r="B35" s="527" t="s">
        <v>693</v>
      </c>
      <c r="C35" s="599" t="s">
        <v>3155</v>
      </c>
      <c r="D35" s="540">
        <v>100</v>
      </c>
      <c r="E35" s="874" t="s">
        <v>3155</v>
      </c>
      <c r="F35" s="575">
        <f>SUMIF(107:107,E35,108:108)-SUMIF(107:107,C35,108:108)+100</f>
        <v>100</v>
      </c>
      <c r="G35" s="874" t="s">
        <v>3155</v>
      </c>
      <c r="H35" s="540">
        <f>SUMIF(107:107,G35,108:108)-SUMIF(107:107,C35,108:108)+100</f>
        <v>100</v>
      </c>
      <c r="I35" s="874" t="s">
        <v>3155</v>
      </c>
      <c r="J35" s="540">
        <f>SUMIF(107:107,I35,108:108)-SUMIF(107:107,C35,108:108)+100</f>
        <v>100</v>
      </c>
      <c r="K35" s="864">
        <v>1</v>
      </c>
      <c r="L35" s="2142"/>
      <c r="M35" s="2134"/>
      <c r="N35" s="2134"/>
      <c r="O35" s="2141"/>
      <c r="P35" s="3413"/>
      <c r="Q35" s="1571" t="str">
        <f t="shared" si="11"/>
        <v>建筑品质</v>
      </c>
      <c r="R35" s="1572" t="s">
        <v>11</v>
      </c>
      <c r="S35" s="1573">
        <f t="shared" si="12"/>
        <v>100</v>
      </c>
      <c r="T35" s="1572" t="s">
        <v>11</v>
      </c>
      <c r="U35" s="1573">
        <f t="shared" si="13"/>
        <v>100</v>
      </c>
      <c r="V35" s="1572" t="s">
        <v>11</v>
      </c>
      <c r="W35" s="1573">
        <f t="shared" si="14"/>
        <v>100</v>
      </c>
      <c r="X35" s="1566"/>
      <c r="Y35" s="3413"/>
      <c r="Z35" s="1574" t="str">
        <f t="shared" si="15"/>
        <v>建筑品质</v>
      </c>
      <c r="AA35" s="1575">
        <f t="shared" si="3"/>
        <v>1</v>
      </c>
      <c r="AB35" s="1575">
        <f t="shared" si="4"/>
        <v>1</v>
      </c>
      <c r="AC35" s="1575">
        <f t="shared" si="5"/>
        <v>1</v>
      </c>
    </row>
    <row r="36" spans="1:29" ht="15">
      <c r="A36" s="594"/>
      <c r="B36" s="527" t="s">
        <v>694</v>
      </c>
      <c r="C36" s="599" t="s">
        <v>3157</v>
      </c>
      <c r="D36" s="540">
        <v>100</v>
      </c>
      <c r="E36" s="874" t="s">
        <v>3157</v>
      </c>
      <c r="F36" s="575">
        <f>SUMIF(109:109,E36,110:110)-SUMIF(109:109,C36,110:110)+100</f>
        <v>100</v>
      </c>
      <c r="G36" s="874" t="s">
        <v>3157</v>
      </c>
      <c r="H36" s="540">
        <f>SUMIF(109:109,G36,110:110)-SUMIF(109:109,C36,110:110)+100</f>
        <v>100</v>
      </c>
      <c r="I36" s="874" t="s">
        <v>3157</v>
      </c>
      <c r="J36" s="540">
        <f>SUMIF(109:109,I36,110:110)-SUMIF(109:109,C36,110:110)+100</f>
        <v>100</v>
      </c>
      <c r="K36" s="864">
        <v>1</v>
      </c>
      <c r="L36" s="2142"/>
      <c r="M36" s="2134"/>
      <c r="N36" s="2134"/>
      <c r="O36" s="2141"/>
      <c r="P36" s="3413"/>
      <c r="Q36" s="1571" t="str">
        <f t="shared" si="11"/>
        <v>公共部分装修</v>
      </c>
      <c r="R36" s="1572" t="s">
        <v>11</v>
      </c>
      <c r="S36" s="1573">
        <f t="shared" si="12"/>
        <v>100</v>
      </c>
      <c r="T36" s="1572" t="s">
        <v>11</v>
      </c>
      <c r="U36" s="1573">
        <f t="shared" si="13"/>
        <v>100</v>
      </c>
      <c r="V36" s="1572" t="s">
        <v>11</v>
      </c>
      <c r="W36" s="1573">
        <f t="shared" si="14"/>
        <v>100</v>
      </c>
      <c r="X36" s="1566"/>
      <c r="Y36" s="3413"/>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413"/>
      <c r="Q37" s="1150" t="str">
        <f t="shared" si="11"/>
        <v>成新度</v>
      </c>
      <c r="R37" s="1567" t="s">
        <v>11</v>
      </c>
      <c r="S37" s="1568">
        <f t="shared" si="12"/>
        <v>100</v>
      </c>
      <c r="T37" s="1567" t="s">
        <v>11</v>
      </c>
      <c r="U37" s="1568">
        <f t="shared" si="13"/>
        <v>100</v>
      </c>
      <c r="V37" s="1567" t="s">
        <v>11</v>
      </c>
      <c r="W37" s="1568">
        <f t="shared" si="14"/>
        <v>100</v>
      </c>
      <c r="X37" s="1569"/>
      <c r="Y37" s="3413"/>
      <c r="Z37" s="1149" t="str">
        <f t="shared" si="15"/>
        <v>成新度</v>
      </c>
      <c r="AA37" s="1570">
        <f t="shared" si="3"/>
        <v>1</v>
      </c>
      <c r="AB37" s="1570">
        <f t="shared" si="4"/>
        <v>1</v>
      </c>
      <c r="AC37" s="1570">
        <f t="shared" si="5"/>
        <v>1</v>
      </c>
    </row>
    <row r="38" spans="1:29" ht="15">
      <c r="A38" s="594"/>
      <c r="B38" s="527" t="s">
        <v>696</v>
      </c>
      <c r="C38" s="599" t="s">
        <v>3159</v>
      </c>
      <c r="D38" s="540">
        <v>100</v>
      </c>
      <c r="E38" s="874" t="s">
        <v>3159</v>
      </c>
      <c r="F38" s="575">
        <f>SUMIF(114:114,E38,115:115)-SUMIF(114:114,C38,115:115)+100</f>
        <v>100</v>
      </c>
      <c r="G38" s="874" t="s">
        <v>3159</v>
      </c>
      <c r="H38" s="540">
        <f>SUMIF(114:114,G38,115:115)-SUMIF(114:114,C38,115:115)+100</f>
        <v>100</v>
      </c>
      <c r="I38" s="874" t="s">
        <v>3159</v>
      </c>
      <c r="J38" s="540">
        <f>SUMIF(114:114,I38,115:115)-SUMIF(114:114,C38,115:115)+100</f>
        <v>100</v>
      </c>
      <c r="K38" s="864">
        <v>1</v>
      </c>
      <c r="L38" s="2142"/>
      <c r="M38" s="2134"/>
      <c r="N38" s="2134"/>
      <c r="O38" s="2141"/>
      <c r="P38" s="3413" t="s">
        <v>515</v>
      </c>
      <c r="Q38" s="1571" t="str">
        <f t="shared" si="11"/>
        <v>物业管理</v>
      </c>
      <c r="R38" s="1572" t="s">
        <v>11</v>
      </c>
      <c r="S38" s="1573">
        <f t="shared" si="12"/>
        <v>100</v>
      </c>
      <c r="T38" s="1572" t="s">
        <v>11</v>
      </c>
      <c r="U38" s="1573">
        <f t="shared" si="13"/>
        <v>100</v>
      </c>
      <c r="V38" s="1572" t="s">
        <v>11</v>
      </c>
      <c r="W38" s="1573">
        <f t="shared" si="14"/>
        <v>100</v>
      </c>
      <c r="X38" s="1566"/>
      <c r="Y38" s="3413" t="s">
        <v>515</v>
      </c>
      <c r="Z38" s="1574" t="str">
        <f t="shared" si="15"/>
        <v>物业管理</v>
      </c>
      <c r="AA38" s="1575">
        <f t="shared" si="3"/>
        <v>1</v>
      </c>
      <c r="AB38" s="1575">
        <f t="shared" si="4"/>
        <v>1</v>
      </c>
      <c r="AC38" s="1575">
        <f t="shared" si="5"/>
        <v>1</v>
      </c>
    </row>
    <row r="39" spans="1:29" ht="15">
      <c r="A39" s="594"/>
      <c r="B39" s="1895" t="s">
        <v>2524</v>
      </c>
      <c r="C39" s="599" t="s">
        <v>2938</v>
      </c>
      <c r="D39" s="540">
        <v>100</v>
      </c>
      <c r="E39" s="874" t="s">
        <v>2938</v>
      </c>
      <c r="F39" s="575">
        <f>SUMIF(116:116,E39,117:117)-SUMIF(116:116,C39,117:117)+100</f>
        <v>100</v>
      </c>
      <c r="G39" s="874" t="s">
        <v>2938</v>
      </c>
      <c r="H39" s="540">
        <f>SUMIF(116:116,G39,117:117)-SUMIF(116:116,C39,117:117)+100</f>
        <v>100</v>
      </c>
      <c r="I39" s="874" t="s">
        <v>2938</v>
      </c>
      <c r="J39" s="540">
        <f>SUMIF(116:116,I39,117:117)-SUMIF(116:116,C39,117:117)+100</f>
        <v>100</v>
      </c>
      <c r="K39" s="864">
        <v>1</v>
      </c>
      <c r="L39" s="2142"/>
      <c r="M39" s="2134"/>
      <c r="N39" s="2134"/>
      <c r="O39" s="2141"/>
      <c r="P39" s="3413"/>
      <c r="Q39" s="1571" t="str">
        <f t="shared" si="11"/>
        <v>市政基础设施</v>
      </c>
      <c r="R39" s="1572" t="s">
        <v>11</v>
      </c>
      <c r="S39" s="1573">
        <f t="shared" si="12"/>
        <v>100</v>
      </c>
      <c r="T39" s="1572" t="s">
        <v>11</v>
      </c>
      <c r="U39" s="1573">
        <f t="shared" si="13"/>
        <v>100</v>
      </c>
      <c r="V39" s="1572" t="s">
        <v>11</v>
      </c>
      <c r="W39" s="1573">
        <f t="shared" si="14"/>
        <v>100</v>
      </c>
      <c r="X39" s="1566"/>
      <c r="Y39" s="3413"/>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413"/>
      <c r="Q40" s="1571" t="str">
        <f t="shared" si="11"/>
        <v>房型</v>
      </c>
      <c r="R40" s="1572" t="s">
        <v>11</v>
      </c>
      <c r="S40" s="1573">
        <f t="shared" si="12"/>
        <v>100</v>
      </c>
      <c r="T40" s="1572" t="s">
        <v>11</v>
      </c>
      <c r="U40" s="1573">
        <f t="shared" si="13"/>
        <v>100</v>
      </c>
      <c r="V40" s="1572" t="s">
        <v>11</v>
      </c>
      <c r="W40" s="1573">
        <f t="shared" si="14"/>
        <v>100</v>
      </c>
      <c r="X40" s="1566"/>
      <c r="Y40" s="3413"/>
      <c r="Z40" s="1574" t="str">
        <f t="shared" si="15"/>
        <v>房型</v>
      </c>
      <c r="AA40" s="1575">
        <f t="shared" si="3"/>
        <v>1</v>
      </c>
      <c r="AB40" s="1575">
        <f t="shared" si="4"/>
        <v>1</v>
      </c>
      <c r="AC40" s="1575">
        <f t="shared" si="5"/>
        <v>1</v>
      </c>
    </row>
    <row r="41" spans="1:29" s="1338" customFormat="1" ht="28.8">
      <c r="A41" s="603"/>
      <c r="B41" s="527" t="s">
        <v>698</v>
      </c>
      <c r="C41" s="880" t="s">
        <v>3170</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413"/>
      <c r="Q41" s="1604" t="str">
        <f t="shared" si="11"/>
        <v>单套/主力户型建筑面积</v>
      </c>
      <c r="R41" s="1576" t="s">
        <v>11</v>
      </c>
      <c r="S41" s="1577">
        <f t="shared" si="12"/>
        <v>100</v>
      </c>
      <c r="T41" s="1576" t="s">
        <v>11</v>
      </c>
      <c r="U41" s="1577">
        <f t="shared" si="13"/>
        <v>100</v>
      </c>
      <c r="V41" s="1576" t="s">
        <v>11</v>
      </c>
      <c r="W41" s="1577">
        <f t="shared" si="14"/>
        <v>100</v>
      </c>
      <c r="X41" s="1578"/>
      <c r="Y41" s="3413"/>
      <c r="Z41" s="1579" t="str">
        <f t="shared" si="15"/>
        <v>单套/主力户型建筑面积</v>
      </c>
      <c r="AA41" s="1575">
        <f t="shared" si="3"/>
        <v>1</v>
      </c>
      <c r="AB41" s="1575">
        <f t="shared" si="4"/>
        <v>1</v>
      </c>
      <c r="AC41" s="1575">
        <f t="shared" si="5"/>
        <v>1</v>
      </c>
    </row>
    <row r="42" spans="1:29" ht="15">
      <c r="A42" s="594"/>
      <c r="B42" s="527" t="s">
        <v>699</v>
      </c>
      <c r="C42" s="599" t="s">
        <v>3157</v>
      </c>
      <c r="D42" s="540">
        <v>100</v>
      </c>
      <c r="E42" s="874" t="s">
        <v>3157</v>
      </c>
      <c r="F42" s="575">
        <f>SUMIF(122:122,E42,123:123)-SUMIF(122:122,C42,123:123)+100</f>
        <v>100</v>
      </c>
      <c r="G42" s="874" t="s">
        <v>3157</v>
      </c>
      <c r="H42" s="540">
        <f>SUMIF(122:122,G42,123:123)-SUMIF(122:122,C42,123:123)+100</f>
        <v>100</v>
      </c>
      <c r="I42" s="874" t="s">
        <v>3157</v>
      </c>
      <c r="J42" s="540">
        <f>SUMIF(122:122,I42,123:123)-SUMIF(122:122,C42,123:123)+100</f>
        <v>100</v>
      </c>
      <c r="K42" s="864">
        <v>1</v>
      </c>
      <c r="L42" s="2142"/>
      <c r="M42" s="2134"/>
      <c r="N42" s="2134"/>
      <c r="O42" s="2141"/>
      <c r="P42" s="3413"/>
      <c r="Q42" s="1571" t="str">
        <f t="shared" si="11"/>
        <v>内部装修</v>
      </c>
      <c r="R42" s="1572" t="s">
        <v>11</v>
      </c>
      <c r="S42" s="1573">
        <f t="shared" si="12"/>
        <v>100</v>
      </c>
      <c r="T42" s="1572" t="s">
        <v>11</v>
      </c>
      <c r="U42" s="1573">
        <f t="shared" si="13"/>
        <v>100</v>
      </c>
      <c r="V42" s="1572" t="s">
        <v>11</v>
      </c>
      <c r="W42" s="1573">
        <f t="shared" si="14"/>
        <v>100</v>
      </c>
      <c r="X42" s="1566"/>
      <c r="Y42" s="3413"/>
      <c r="Z42" s="1574" t="str">
        <f t="shared" si="15"/>
        <v>内部装修</v>
      </c>
      <c r="AA42" s="1575">
        <f t="shared" si="3"/>
        <v>1</v>
      </c>
      <c r="AB42" s="1575">
        <f t="shared" si="4"/>
        <v>1</v>
      </c>
      <c r="AC42" s="1575">
        <f t="shared" si="5"/>
        <v>1</v>
      </c>
    </row>
    <row r="43" spans="1:29" ht="28.8">
      <c r="A43" s="594"/>
      <c r="B43" s="527" t="s">
        <v>700</v>
      </c>
      <c r="C43" s="599" t="s">
        <v>2937</v>
      </c>
      <c r="D43" s="540">
        <v>100</v>
      </c>
      <c r="E43" s="874" t="s">
        <v>2937</v>
      </c>
      <c r="F43" s="575">
        <f>SUMIF(124:124,E43,125:125)-SUMIF(124:124,C43,125:125)+100</f>
        <v>100</v>
      </c>
      <c r="G43" s="874" t="s">
        <v>2937</v>
      </c>
      <c r="H43" s="540">
        <f>SUMIF(124:124,G43,125:125)-SUMIF(124:124,C43,125:125)+100</f>
        <v>100</v>
      </c>
      <c r="I43" s="874" t="s">
        <v>2937</v>
      </c>
      <c r="J43" s="540">
        <f>SUMIF(124:124,I43,125:125)-SUMIF(124:124,C43,125:125)+100</f>
        <v>100</v>
      </c>
      <c r="K43" s="864">
        <v>1</v>
      </c>
      <c r="L43" s="2142"/>
      <c r="M43" s="2134"/>
      <c r="N43" s="2134"/>
      <c r="O43" s="2141"/>
      <c r="P43" s="3413"/>
      <c r="Q43" s="1571" t="str">
        <f t="shared" si="11"/>
        <v>内部装修维护情况</v>
      </c>
      <c r="R43" s="1572" t="s">
        <v>11</v>
      </c>
      <c r="S43" s="1573">
        <f t="shared" si="12"/>
        <v>100</v>
      </c>
      <c r="T43" s="1572" t="s">
        <v>11</v>
      </c>
      <c r="U43" s="1573">
        <f t="shared" si="13"/>
        <v>100</v>
      </c>
      <c r="V43" s="1572" t="s">
        <v>11</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3"/>
      <c r="Q44" s="1150">
        <f t="shared" si="11"/>
        <v>0</v>
      </c>
      <c r="R44" s="1567" t="s">
        <v>11</v>
      </c>
      <c r="S44" s="1568">
        <f t="shared" si="12"/>
        <v>100</v>
      </c>
      <c r="T44" s="1567" t="s">
        <v>11</v>
      </c>
      <c r="U44" s="1568">
        <f t="shared" si="13"/>
        <v>100</v>
      </c>
      <c r="V44" s="1567" t="s">
        <v>11</v>
      </c>
      <c r="W44" s="1568">
        <f t="shared" si="14"/>
        <v>100</v>
      </c>
      <c r="X44" s="1569"/>
      <c r="Y44" s="3413"/>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1">
        <f t="shared" si="11"/>
        <v>0</v>
      </c>
      <c r="R45" s="1572" t="s">
        <v>11</v>
      </c>
      <c r="S45" s="1573">
        <f t="shared" si="12"/>
        <v>100</v>
      </c>
      <c r="T45" s="1572" t="s">
        <v>11</v>
      </c>
      <c r="U45" s="1573">
        <f t="shared" si="13"/>
        <v>100</v>
      </c>
      <c r="V45" s="1572" t="s">
        <v>11</v>
      </c>
      <c r="W45" s="1573">
        <f t="shared" si="14"/>
        <v>100</v>
      </c>
      <c r="X45" s="1566"/>
      <c r="Y45" s="3413"/>
      <c r="Z45" s="1574">
        <f t="shared" si="15"/>
        <v>0</v>
      </c>
      <c r="AA45" s="1575">
        <f t="shared" si="3"/>
        <v>1</v>
      </c>
      <c r="AB45" s="1575">
        <f t="shared" si="4"/>
        <v>1</v>
      </c>
      <c r="AC45" s="1575">
        <f t="shared" si="5"/>
        <v>1</v>
      </c>
    </row>
    <row r="46" spans="1:29" ht="15.6"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1">
        <f t="shared" si="11"/>
        <v>0</v>
      </c>
      <c r="R46" s="1572" t="s">
        <v>10</v>
      </c>
      <c r="S46" s="1573">
        <f t="shared" si="12"/>
        <v>100</v>
      </c>
      <c r="T46" s="1572" t="s">
        <v>10</v>
      </c>
      <c r="U46" s="1573">
        <f t="shared" si="13"/>
        <v>100</v>
      </c>
      <c r="V46" s="1572" t="s">
        <v>10</v>
      </c>
      <c r="W46" s="1573">
        <f t="shared" si="14"/>
        <v>100</v>
      </c>
      <c r="X46" s="1566"/>
      <c r="Y46" s="3491"/>
      <c r="Z46" s="1574">
        <f t="shared" si="15"/>
        <v>0</v>
      </c>
      <c r="AA46" s="1575">
        <f t="shared" si="3"/>
        <v>1</v>
      </c>
      <c r="AB46" s="1575">
        <f t="shared" si="4"/>
        <v>1</v>
      </c>
      <c r="AC46" s="1575">
        <f t="shared" si="5"/>
        <v>1</v>
      </c>
    </row>
    <row r="47" spans="1:29" ht="14.4">
      <c r="A47" s="607" t="s">
        <v>701</v>
      </c>
      <c r="B47" s="887"/>
      <c r="C47" s="2627" t="s">
        <v>9</v>
      </c>
      <c r="D47" s="2628"/>
      <c r="E47" s="2629">
        <v>80000</v>
      </c>
      <c r="F47" s="2630"/>
      <c r="G47" s="2631">
        <v>85000</v>
      </c>
      <c r="H47" s="2632"/>
      <c r="I47" s="2629">
        <v>80000</v>
      </c>
      <c r="J47" s="2632"/>
      <c r="K47" s="1605"/>
      <c r="L47" s="2144"/>
      <c r="M47" s="2145"/>
      <c r="N47" s="2134"/>
      <c r="O47" s="2145"/>
      <c r="P47" s="3374" t="str">
        <f>A47</f>
        <v>成交单价（元/平方米）</v>
      </c>
      <c r="Q47" s="3374"/>
      <c r="R47" s="3490">
        <f>E47</f>
        <v>80000</v>
      </c>
      <c r="S47" s="3490"/>
      <c r="T47" s="3490">
        <f>G47</f>
        <v>85000</v>
      </c>
      <c r="U47" s="3490"/>
      <c r="V47" s="3490">
        <f>I47</f>
        <v>80000</v>
      </c>
      <c r="W47" s="3490"/>
      <c r="X47" s="1558"/>
      <c r="Y47" s="1580"/>
      <c r="Z47" s="1558"/>
      <c r="AA47" s="1558"/>
      <c r="AB47" s="1558"/>
      <c r="AC47" s="1558"/>
    </row>
    <row r="48" spans="1:29" ht="15" thickBot="1">
      <c r="A48" s="615" t="s">
        <v>2720</v>
      </c>
      <c r="B48" s="888"/>
      <c r="C48" s="2633">
        <f>R49</f>
        <v>81712</v>
      </c>
      <c r="D48" s="2634"/>
      <c r="E48" s="2635">
        <f>R48</f>
        <v>78454</v>
      </c>
      <c r="F48" s="2635"/>
      <c r="G48" s="2633">
        <f>T48</f>
        <v>85859</v>
      </c>
      <c r="H48" s="2634"/>
      <c r="I48" s="2635">
        <f>V48</f>
        <v>80824</v>
      </c>
      <c r="J48" s="2634"/>
      <c r="K48" s="1606"/>
      <c r="L48" s="2144"/>
      <c r="M48" s="2145"/>
      <c r="N48" s="2145"/>
      <c r="O48" s="2145"/>
      <c r="P48" s="3374" t="str">
        <f>A48</f>
        <v>比较价格（元/平方米）</v>
      </c>
      <c r="Q48" s="3374"/>
      <c r="R48" s="3490">
        <f>IF(F1="售价",ROUND(PRODUCT(R47,AA7:AA46),0),ROUND(PRODUCT(R47,AA7:AA46),1))</f>
        <v>78454</v>
      </c>
      <c r="S48" s="3490"/>
      <c r="T48" s="3490">
        <f>IF(F1="售价",ROUND(PRODUCT(T47,AB7:AB46),0),ROUND(PRODUCT(T47,AB7:AB46),1))</f>
        <v>85859</v>
      </c>
      <c r="U48" s="3490"/>
      <c r="V48" s="3490">
        <f>IF(F1="售价",ROUND(PRODUCT(V47,AC7:AC46),0),ROUND(PRODUCT(V47,AC7:AC46),1))</f>
        <v>80824</v>
      </c>
      <c r="W48" s="3490"/>
      <c r="X48" s="1558"/>
      <c r="Y48" s="1558"/>
      <c r="Z48" s="1558"/>
      <c r="AA48" s="1558"/>
      <c r="AB48" s="1558"/>
      <c r="AC48" s="1558"/>
    </row>
    <row r="49" spans="1:29" ht="15" thickBot="1">
      <c r="A49" s="621" t="s">
        <v>3165</v>
      </c>
      <c r="B49" s="622"/>
      <c r="C49" s="2636">
        <f>R49</f>
        <v>81712</v>
      </c>
      <c r="D49" s="2636"/>
      <c r="E49" s="2636"/>
      <c r="F49" s="2636"/>
      <c r="G49" s="2636"/>
      <c r="H49" s="2636"/>
      <c r="I49" s="2636"/>
      <c r="J49" s="2636"/>
      <c r="K49" s="1607"/>
      <c r="L49" s="2144"/>
      <c r="M49" s="2145"/>
      <c r="N49" s="2145"/>
      <c r="O49" s="2145"/>
      <c r="P49" s="3371" t="str">
        <f>A49</f>
        <v>估价对象住宅用房的比较价格（楼面单价，元/平方米）</v>
      </c>
      <c r="Q49" s="3372"/>
      <c r="R49" s="3489">
        <f>IF(F1="售价",ROUND(AVERAGE(R48:V48),0),ROUND(AVERAGE(R48:V48),1))</f>
        <v>81712</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1.9705814872409411E-2</v>
      </c>
      <c r="F52" s="627" t="str">
        <f>IF(OR(E52&gt;=0.3,E52&lt;=-0.3),"超过30%","")</f>
        <v/>
      </c>
      <c r="G52" s="626">
        <f>IF(G47&lt;G48,G48/G47-1,G47/G48-1)</f>
        <v>1.0105882352941187E-2</v>
      </c>
      <c r="H52" s="627" t="str">
        <f>IF(OR(G52&gt;=0.3,G52&lt;=-0.3),"超过30%","")</f>
        <v/>
      </c>
      <c r="I52" s="626">
        <f>IF(I47&lt;I48,I48/I47-1,I47/I48-1)</f>
        <v>1.0299999999999976E-2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9.4386519489127352E-2</v>
      </c>
      <c r="F53" s="627" t="str">
        <f>IF(OR(E53&gt;=0.2,E53&lt;=-0.2),"超过20%","")</f>
        <v/>
      </c>
      <c r="G53" s="626">
        <f>IF(G48&lt;I48,I48/G48-1,G48/I48-1)</f>
        <v>6.2295852717014766E-2</v>
      </c>
      <c r="H53" s="627" t="str">
        <f>IF(OR(G53&gt;=0.2,G53&lt;=-0.2),"超过20%","")</f>
        <v/>
      </c>
      <c r="I53" s="626">
        <f>IF(I48&lt;E48,E48/I48-1,I48/E48-1)</f>
        <v>3.0208784765595187E-2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494</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1896" t="s">
        <v>2219</v>
      </c>
      <c r="C86" s="688" t="s">
        <v>3151</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9"/>
      <c r="B88" s="673" t="s">
        <v>711</v>
      </c>
      <c r="C88" s="688" t="s">
        <v>3151</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516</v>
      </c>
      <c r="B100" s="665" t="s">
        <v>712</v>
      </c>
      <c r="C100" s="3183" t="s">
        <v>3153</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94" t="s">
        <v>3154</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5" t="s">
        <v>3156</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94" t="s">
        <v>3158</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94" t="s">
        <v>3160</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2516</v>
      </c>
      <c r="C116" s="3194" t="s">
        <v>3161</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3151</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8"/>
      <c r="B120" s="673" t="s">
        <v>698</v>
      </c>
      <c r="C120" s="688" t="s">
        <v>3151</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94" t="s">
        <v>3158</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5" t="s">
        <v>489</v>
      </c>
      <c r="AC4" s="3377" t="s">
        <v>490</v>
      </c>
    </row>
    <row r="5" spans="1:29">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5"/>
      <c r="AC5" s="3378"/>
    </row>
    <row r="6" spans="1:29" ht="1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5"/>
      <c r="AC6" s="3379"/>
    </row>
    <row r="7" spans="1:29" s="1219" customFormat="1" ht="15" thickBot="1">
      <c r="A7" s="2912"/>
      <c r="B7" s="2919" t="s">
        <v>494</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6" si="3">D8/F8</f>
        <v>#DIV/0!</v>
      </c>
      <c r="AB8" s="1570" t="e">
        <f t="shared" ref="AB8:AB46" si="4">D8/H8</f>
        <v>#DIV/0!</v>
      </c>
      <c r="AC8" s="1570" t="e">
        <f t="shared" ref="AC8:AC46" si="5">D8/J8</f>
        <v>#DIV/0!</v>
      </c>
    </row>
    <row r="9" spans="1:29" s="1219" customFormat="1" ht="14.4">
      <c r="A9" s="2914"/>
      <c r="B9" s="2921" t="s">
        <v>2716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110.4">
      <c r="A15" s="2910" t="s">
        <v>2714</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0" t="s">
        <v>505</v>
      </c>
      <c r="Q15" s="1571" t="str">
        <f t="shared" si="6"/>
        <v>商业繁华度</v>
      </c>
      <c r="R15" s="1572" t="s">
        <v>8</v>
      </c>
      <c r="S15" s="1573">
        <f t="shared" si="0"/>
        <v>100</v>
      </c>
      <c r="T15" s="1572" t="s">
        <v>8</v>
      </c>
      <c r="U15" s="1573">
        <f t="shared" si="1"/>
        <v>100</v>
      </c>
      <c r="V15" s="1572" t="s">
        <v>8</v>
      </c>
      <c r="W15" s="1573">
        <f t="shared" si="2"/>
        <v>100</v>
      </c>
      <c r="X15" s="1566"/>
      <c r="Y15" s="3410"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24.2">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55.2">
      <c r="A19" s="532"/>
      <c r="B19" s="2600" t="s">
        <v>2506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1.4">
      <c r="A21" s="532"/>
      <c r="B21" s="2593" t="s">
        <v>2518</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96.6">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1"/>
      <c r="Q23" s="1571" t="str">
        <f>B23</f>
        <v>自然及人文环境</v>
      </c>
      <c r="R23" s="1572" t="s">
        <v>8</v>
      </c>
      <c r="S23" s="1573">
        <f>F23</f>
        <v>100</v>
      </c>
      <c r="T23" s="1572" t="s">
        <v>8</v>
      </c>
      <c r="U23" s="1573">
        <f>H23</f>
        <v>100</v>
      </c>
      <c r="V23" s="1572" t="s">
        <v>8</v>
      </c>
      <c r="W23" s="1573">
        <f>J23</f>
        <v>100</v>
      </c>
      <c r="X23" s="1566"/>
      <c r="Y23" s="341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1" t="str">
        <f t="shared" ref="Q25:Q46" si="11">B25</f>
        <v>临街状况</v>
      </c>
      <c r="R25" s="1572" t="s">
        <v>8</v>
      </c>
      <c r="S25" s="1573">
        <f>F25</f>
        <v>100</v>
      </c>
      <c r="T25" s="1572" t="s">
        <v>8</v>
      </c>
      <c r="U25" s="1573">
        <f>H25</f>
        <v>100</v>
      </c>
      <c r="V25" s="1572" t="s">
        <v>8</v>
      </c>
      <c r="W25" s="1573">
        <f>J25</f>
        <v>100</v>
      </c>
      <c r="X25" s="1566"/>
      <c r="Y25" s="3411"/>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1" t="str">
        <f t="shared" si="11"/>
        <v>平面位置/可视性</v>
      </c>
      <c r="R26" s="1572" t="s">
        <v>8</v>
      </c>
      <c r="S26" s="1573">
        <f>F26</f>
        <v>100</v>
      </c>
      <c r="T26" s="1572" t="s">
        <v>8</v>
      </c>
      <c r="U26" s="1573">
        <f>H26</f>
        <v>100</v>
      </c>
      <c r="V26" s="1572" t="s">
        <v>8</v>
      </c>
      <c r="W26" s="1573">
        <f>J26</f>
        <v>100</v>
      </c>
      <c r="X26" s="1566"/>
      <c r="Y26" s="3411"/>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1"/>
      <c r="Q27" s="1150" t="str">
        <f t="shared" si="11"/>
        <v>人流量</v>
      </c>
      <c r="R27" s="1567" t="s">
        <v>8</v>
      </c>
      <c r="S27" s="1568">
        <f>F27</f>
        <v>100</v>
      </c>
      <c r="T27" s="1567" t="s">
        <v>8</v>
      </c>
      <c r="U27" s="1568">
        <f>H27</f>
        <v>100</v>
      </c>
      <c r="V27" s="1567" t="s">
        <v>8</v>
      </c>
      <c r="W27" s="1568">
        <f>J27</f>
        <v>100</v>
      </c>
      <c r="X27" s="1569"/>
      <c r="Y27" s="3411"/>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1">
        <f t="shared" si="11"/>
        <v>111</v>
      </c>
      <c r="R29" s="1572" t="s">
        <v>8</v>
      </c>
      <c r="S29" s="1573">
        <f t="shared" si="12"/>
        <v>100</v>
      </c>
      <c r="T29" s="1572" t="s">
        <v>8</v>
      </c>
      <c r="U29" s="1573">
        <f t="shared" si="13"/>
        <v>100</v>
      </c>
      <c r="V29" s="1572" t="s">
        <v>8</v>
      </c>
      <c r="W29" s="1573">
        <f t="shared" si="14"/>
        <v>100</v>
      </c>
      <c r="X29" s="1566"/>
      <c r="Y29" s="341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
      <c r="A32" s="2907" t="s">
        <v>2715</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515</v>
      </c>
      <c r="Q32" s="1571" t="str">
        <f t="shared" si="11"/>
        <v>商业类型</v>
      </c>
      <c r="R32" s="1572" t="s">
        <v>8</v>
      </c>
      <c r="S32" s="1573">
        <f t="shared" si="12"/>
        <v>100</v>
      </c>
      <c r="T32" s="1572" t="s">
        <v>8</v>
      </c>
      <c r="U32" s="1573">
        <f t="shared" si="13"/>
        <v>100</v>
      </c>
      <c r="V32" s="1572" t="s">
        <v>8</v>
      </c>
      <c r="W32" s="1573">
        <f t="shared" si="14"/>
        <v>100</v>
      </c>
      <c r="X32" s="1566"/>
      <c r="Y32" s="3413"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4" t="str">
        <f t="shared" si="11"/>
        <v>项目建筑规模</v>
      </c>
      <c r="R33" s="1576" t="s">
        <v>8</v>
      </c>
      <c r="S33" s="1577" t="e">
        <f t="shared" si="12"/>
        <v>#N/A</v>
      </c>
      <c r="T33" s="1576" t="s">
        <v>8</v>
      </c>
      <c r="U33" s="1577" t="e">
        <f t="shared" si="13"/>
        <v>#N/A</v>
      </c>
      <c r="V33" s="1576" t="s">
        <v>8</v>
      </c>
      <c r="W33" s="1577" t="e">
        <f t="shared" si="14"/>
        <v>#N/A</v>
      </c>
      <c r="X33" s="1578"/>
      <c r="Y33" s="3413"/>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3"/>
      <c r="Q34" s="1571" t="str">
        <f t="shared" si="11"/>
        <v>建筑结构</v>
      </c>
      <c r="R34" s="1572" t="s">
        <v>8</v>
      </c>
      <c r="S34" s="1573">
        <f t="shared" si="12"/>
        <v>100</v>
      </c>
      <c r="T34" s="1572" t="s">
        <v>8</v>
      </c>
      <c r="U34" s="1573">
        <f t="shared" si="13"/>
        <v>100</v>
      </c>
      <c r="V34" s="1572" t="s">
        <v>8</v>
      </c>
      <c r="W34" s="1573">
        <f t="shared" si="14"/>
        <v>100</v>
      </c>
      <c r="X34" s="1566"/>
      <c r="Y34" s="3413"/>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1" t="str">
        <f t="shared" si="11"/>
        <v>公共部分装修</v>
      </c>
      <c r="R35" s="1572" t="s">
        <v>8</v>
      </c>
      <c r="S35" s="1573">
        <f t="shared" si="12"/>
        <v>100</v>
      </c>
      <c r="T35" s="1572" t="s">
        <v>8</v>
      </c>
      <c r="U35" s="1573">
        <f t="shared" si="13"/>
        <v>100</v>
      </c>
      <c r="V35" s="1572" t="s">
        <v>8</v>
      </c>
      <c r="W35" s="1573">
        <f t="shared" si="14"/>
        <v>100</v>
      </c>
      <c r="X35" s="1566"/>
      <c r="Y35" s="3413"/>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3"/>
      <c r="Q36" s="1571" t="str">
        <f t="shared" si="11"/>
        <v>成新度</v>
      </c>
      <c r="R36" s="1572" t="s">
        <v>8</v>
      </c>
      <c r="S36" s="1573" t="e">
        <f t="shared" si="12"/>
        <v>#N/A</v>
      </c>
      <c r="T36" s="1572" t="s">
        <v>8</v>
      </c>
      <c r="U36" s="1573" t="e">
        <f t="shared" si="13"/>
        <v>#N/A</v>
      </c>
      <c r="V36" s="1572" t="s">
        <v>8</v>
      </c>
      <c r="W36" s="1573" t="e">
        <f t="shared" si="14"/>
        <v>#N/A</v>
      </c>
      <c r="X36" s="1566"/>
      <c r="Y36" s="3413"/>
      <c r="Z36" s="1574" t="str">
        <f t="shared" si="15"/>
        <v>成新度</v>
      </c>
      <c r="AA36" s="1575" t="e">
        <f t="shared" si="3"/>
        <v>#N/A</v>
      </c>
      <c r="AB36" s="1575" t="e">
        <f t="shared" si="4"/>
        <v>#N/A</v>
      </c>
      <c r="AC36" s="1575" t="e">
        <f t="shared" si="5"/>
        <v>#N/A</v>
      </c>
    </row>
    <row r="37" spans="1:29" s="1219" customFormat="1" ht="15">
      <c r="A37" s="600"/>
      <c r="B37" s="1895" t="s">
        <v>2525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0" t="str">
        <f t="shared" si="11"/>
        <v>市政基础设施</v>
      </c>
      <c r="R37" s="1567" t="s">
        <v>8</v>
      </c>
      <c r="S37" s="1568">
        <f t="shared" si="12"/>
        <v>100</v>
      </c>
      <c r="T37" s="1567" t="s">
        <v>8</v>
      </c>
      <c r="U37" s="1568">
        <f t="shared" si="13"/>
        <v>100</v>
      </c>
      <c r="V37" s="1567" t="s">
        <v>8</v>
      </c>
      <c r="W37" s="1568">
        <f t="shared" si="14"/>
        <v>100</v>
      </c>
      <c r="X37" s="1569"/>
      <c r="Y37" s="3413"/>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731</v>
      </c>
      <c r="Q38" s="1571" t="str">
        <f t="shared" si="11"/>
        <v>业态</v>
      </c>
      <c r="R38" s="1572" t="s">
        <v>8</v>
      </c>
      <c r="S38" s="1573">
        <f t="shared" si="12"/>
        <v>100</v>
      </c>
      <c r="T38" s="1572" t="s">
        <v>8</v>
      </c>
      <c r="U38" s="1573">
        <f t="shared" si="13"/>
        <v>100</v>
      </c>
      <c r="V38" s="1572" t="s">
        <v>8</v>
      </c>
      <c r="W38" s="1573">
        <f t="shared" si="14"/>
        <v>100</v>
      </c>
      <c r="X38" s="1566"/>
      <c r="Y38" s="3413"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1" t="str">
        <f t="shared" si="11"/>
        <v>层高</v>
      </c>
      <c r="R39" s="1572" t="s">
        <v>8</v>
      </c>
      <c r="S39" s="1573">
        <f t="shared" si="12"/>
        <v>100</v>
      </c>
      <c r="T39" s="1572" t="s">
        <v>8</v>
      </c>
      <c r="U39" s="1573">
        <f t="shared" si="13"/>
        <v>100</v>
      </c>
      <c r="V39" s="1572" t="s">
        <v>8</v>
      </c>
      <c r="W39" s="1573">
        <f t="shared" si="14"/>
        <v>100</v>
      </c>
      <c r="X39" s="1566"/>
      <c r="Y39" s="3413"/>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3"/>
      <c r="Q40" s="1571" t="str">
        <f t="shared" si="11"/>
        <v>单套建筑面积</v>
      </c>
      <c r="R40" s="1572" t="s">
        <v>8</v>
      </c>
      <c r="S40" s="1573">
        <f t="shared" si="12"/>
        <v>100</v>
      </c>
      <c r="T40" s="1572" t="s">
        <v>8</v>
      </c>
      <c r="U40" s="1573">
        <f t="shared" si="13"/>
        <v>100</v>
      </c>
      <c r="V40" s="1572" t="s">
        <v>8</v>
      </c>
      <c r="W40" s="1573">
        <f t="shared" si="14"/>
        <v>100</v>
      </c>
      <c r="X40" s="1566"/>
      <c r="Y40" s="3413"/>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4" t="str">
        <f t="shared" si="11"/>
        <v>进深比</v>
      </c>
      <c r="R41" s="1576" t="s">
        <v>8</v>
      </c>
      <c r="S41" s="1577">
        <f t="shared" si="12"/>
        <v>100</v>
      </c>
      <c r="T41" s="1576" t="s">
        <v>8</v>
      </c>
      <c r="U41" s="1577">
        <f t="shared" si="13"/>
        <v>100</v>
      </c>
      <c r="V41" s="1576" t="s">
        <v>8</v>
      </c>
      <c r="W41" s="1577">
        <f t="shared" si="14"/>
        <v>100</v>
      </c>
      <c r="X41" s="1578"/>
      <c r="Y41" s="3413"/>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1" t="str">
        <f t="shared" si="11"/>
        <v>内部装修</v>
      </c>
      <c r="R42" s="1572" t="s">
        <v>8</v>
      </c>
      <c r="S42" s="1573">
        <f t="shared" si="12"/>
        <v>100</v>
      </c>
      <c r="T42" s="1572" t="s">
        <v>8</v>
      </c>
      <c r="U42" s="1573">
        <f t="shared" si="13"/>
        <v>100</v>
      </c>
      <c r="V42" s="1572" t="s">
        <v>8</v>
      </c>
      <c r="W42" s="1573">
        <f t="shared" si="14"/>
        <v>100</v>
      </c>
      <c r="X42" s="1566"/>
      <c r="Y42" s="3413"/>
      <c r="Z42" s="1574" t="str">
        <f t="shared" si="15"/>
        <v>内部装修</v>
      </c>
      <c r="AA42" s="1575">
        <f t="shared" si="3"/>
        <v>1</v>
      </c>
      <c r="AB42" s="1575">
        <f t="shared" si="4"/>
        <v>1</v>
      </c>
      <c r="AC42" s="1575">
        <f t="shared" si="5"/>
        <v>1</v>
      </c>
    </row>
    <row r="43" spans="1:29" ht="28.8">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1" t="str">
        <f t="shared" si="11"/>
        <v>内部装修维护情况</v>
      </c>
      <c r="R43" s="1572" t="s">
        <v>8</v>
      </c>
      <c r="S43" s="1573">
        <f t="shared" si="12"/>
        <v>100</v>
      </c>
      <c r="T43" s="1572" t="s">
        <v>8</v>
      </c>
      <c r="U43" s="1573">
        <f t="shared" si="13"/>
        <v>100</v>
      </c>
      <c r="V43" s="1572" t="s">
        <v>8</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0">
        <f t="shared" si="11"/>
        <v>111</v>
      </c>
      <c r="R44" s="1567" t="s">
        <v>8</v>
      </c>
      <c r="S44" s="1568">
        <f t="shared" si="12"/>
        <v>100</v>
      </c>
      <c r="T44" s="1567" t="s">
        <v>8</v>
      </c>
      <c r="U44" s="1568">
        <f t="shared" si="13"/>
        <v>100</v>
      </c>
      <c r="V44" s="1567" t="s">
        <v>8</v>
      </c>
      <c r="W44" s="1568">
        <f t="shared" si="14"/>
        <v>100</v>
      </c>
      <c r="X44" s="1569"/>
      <c r="Y44" s="341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1">
        <f t="shared" si="11"/>
        <v>111</v>
      </c>
      <c r="R45" s="1572" t="s">
        <v>8</v>
      </c>
      <c r="S45" s="1573">
        <f t="shared" si="12"/>
        <v>100</v>
      </c>
      <c r="T45" s="1572" t="s">
        <v>8</v>
      </c>
      <c r="U45" s="1573">
        <f t="shared" si="13"/>
        <v>100</v>
      </c>
      <c r="V45" s="1572" t="s">
        <v>8</v>
      </c>
      <c r="W45" s="1573">
        <f t="shared" si="14"/>
        <v>100</v>
      </c>
      <c r="X45" s="1566"/>
      <c r="Y45" s="3413"/>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4.4">
      <c r="A47" s="607" t="s">
        <v>701</v>
      </c>
      <c r="B47" s="887"/>
      <c r="C47" s="2627" t="s">
        <v>1</v>
      </c>
      <c r="D47" s="2628"/>
      <c r="E47" s="2629"/>
      <c r="F47" s="2630"/>
      <c r="G47" s="2631"/>
      <c r="H47" s="2632"/>
      <c r="I47" s="2629"/>
      <c r="J47" s="2632"/>
      <c r="K47" s="1610"/>
      <c r="L47" s="2144"/>
      <c r="M47" s="2145"/>
      <c r="N47" s="2134"/>
      <c r="O47" s="2145"/>
      <c r="P47" s="3374" t="str">
        <f>A47</f>
        <v>成交单价（元/平方米）</v>
      </c>
      <c r="Q47" s="3374"/>
      <c r="R47" s="3490">
        <f>E47</f>
        <v>0</v>
      </c>
      <c r="S47" s="3490"/>
      <c r="T47" s="3490">
        <f>G47</f>
        <v>0</v>
      </c>
      <c r="U47" s="3490"/>
      <c r="V47" s="3490">
        <f>I47</f>
        <v>0</v>
      </c>
      <c r="W47" s="3490"/>
      <c r="X47" s="1558"/>
      <c r="Y47" s="1580"/>
      <c r="Z47" s="1558"/>
      <c r="AA47" s="1558"/>
      <c r="AB47" s="1558"/>
      <c r="AC47" s="1558"/>
    </row>
    <row r="48" spans="1:29" ht="15" thickBot="1">
      <c r="A48" s="615" t="s">
        <v>2720</v>
      </c>
      <c r="B48" s="888"/>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 thickBot="1">
      <c r="A49" s="621" t="s">
        <v>2884</v>
      </c>
      <c r="B49" s="622"/>
      <c r="C49" s="2636" t="e">
        <f>R49</f>
        <v>#DIV/0!</v>
      </c>
      <c r="D49" s="2636"/>
      <c r="E49" s="2636"/>
      <c r="F49" s="2636"/>
      <c r="G49" s="2636"/>
      <c r="H49" s="2636"/>
      <c r="I49" s="2636"/>
      <c r="J49" s="2636"/>
      <c r="K49" s="1612"/>
      <c r="L49" s="2144"/>
      <c r="M49" s="2145"/>
      <c r="N49" s="2134"/>
      <c r="O49" s="2145"/>
      <c r="P49" s="3371" t="str">
        <f>A49</f>
        <v>估价对象XX用房的比较价格（楼面单价，元/平方米）</v>
      </c>
      <c r="Q49" s="3372"/>
      <c r="R49" s="3489" t="e">
        <f>IF(F1="售价",ROUND(AVERAGE(R48:V48),0),ROUND(AVERAGE(R48:V48),1))</f>
        <v>#DIV/0!</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494</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ht="14.4">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486</v>
      </c>
      <c r="B4" s="513"/>
      <c r="C4" s="3380" t="s">
        <v>487</v>
      </c>
      <c r="D4" s="3381"/>
      <c r="E4" s="3417" t="s">
        <v>488</v>
      </c>
      <c r="F4" s="3418"/>
      <c r="G4" s="3380" t="s">
        <v>489</v>
      </c>
      <c r="H4" s="3381"/>
      <c r="I4" s="3380" t="s">
        <v>490</v>
      </c>
      <c r="J4" s="3381"/>
      <c r="K4" s="514" t="s">
        <v>491</v>
      </c>
      <c r="L4" s="2133"/>
      <c r="M4" s="2134"/>
      <c r="N4" s="2134"/>
      <c r="O4" s="2134"/>
      <c r="P4" s="3494" t="s">
        <v>492</v>
      </c>
      <c r="Q4" s="3383"/>
      <c r="R4" s="3388" t="s">
        <v>488</v>
      </c>
      <c r="S4" s="3389"/>
      <c r="T4" s="3388" t="s">
        <v>489</v>
      </c>
      <c r="U4" s="3389"/>
      <c r="V4" s="3375" t="s">
        <v>490</v>
      </c>
      <c r="W4" s="3375"/>
      <c r="X4" s="1566"/>
      <c r="Y4" s="3388" t="s">
        <v>492</v>
      </c>
      <c r="Z4" s="3389"/>
      <c r="AA4" s="3377" t="s">
        <v>488</v>
      </c>
      <c r="AB4" s="3377" t="s">
        <v>489</v>
      </c>
      <c r="AC4" s="3377" t="s">
        <v>490</v>
      </c>
    </row>
    <row r="5" spans="1:29">
      <c r="A5" s="515"/>
      <c r="B5" s="516"/>
      <c r="C5" s="3414" t="s">
        <v>2878</v>
      </c>
      <c r="D5" s="3397"/>
      <c r="E5" s="3419" t="s">
        <v>2879</v>
      </c>
      <c r="F5" s="3420"/>
      <c r="G5" s="3414" t="s">
        <v>2880</v>
      </c>
      <c r="H5" s="3397"/>
      <c r="I5" s="3414" t="s">
        <v>2881</v>
      </c>
      <c r="J5" s="3397"/>
      <c r="K5" s="514"/>
      <c r="L5" s="2133"/>
      <c r="M5" s="2134"/>
      <c r="N5" s="2134"/>
      <c r="O5" s="2134"/>
      <c r="P5" s="3495"/>
      <c r="Q5" s="3385"/>
      <c r="R5" s="3390"/>
      <c r="S5" s="3391"/>
      <c r="T5" s="3390"/>
      <c r="U5" s="3391"/>
      <c r="V5" s="3375"/>
      <c r="W5" s="3375"/>
      <c r="X5" s="1566"/>
      <c r="Y5" s="3390"/>
      <c r="Z5" s="3391"/>
      <c r="AA5" s="3378"/>
      <c r="AB5" s="3378"/>
      <c r="AC5" s="3378"/>
    </row>
    <row r="6" spans="1:29" ht="15" thickBot="1">
      <c r="A6" s="517"/>
      <c r="B6" s="518"/>
      <c r="C6" s="3394" t="s">
        <v>2882</v>
      </c>
      <c r="D6" s="3395"/>
      <c r="E6" s="3415" t="s">
        <v>2882</v>
      </c>
      <c r="F6" s="3416"/>
      <c r="G6" s="3394" t="s">
        <v>2882</v>
      </c>
      <c r="H6" s="3395"/>
      <c r="I6" s="3394" t="s">
        <v>2882</v>
      </c>
      <c r="J6" s="3395"/>
      <c r="K6" s="514" t="s">
        <v>493</v>
      </c>
      <c r="L6" s="2133"/>
      <c r="M6" s="2134"/>
      <c r="N6" s="2134"/>
      <c r="O6" s="2134"/>
      <c r="P6" s="3496"/>
      <c r="Q6" s="3387"/>
      <c r="R6" s="3390"/>
      <c r="S6" s="3391"/>
      <c r="T6" s="3392"/>
      <c r="U6" s="3393"/>
      <c r="V6" s="3375"/>
      <c r="W6" s="3375"/>
      <c r="X6" s="1566"/>
      <c r="Y6" s="3392"/>
      <c r="Z6" s="3393"/>
      <c r="AA6" s="3379"/>
      <c r="AB6" s="3379"/>
      <c r="AC6" s="3379"/>
    </row>
    <row r="7" spans="1:29" s="1219" customFormat="1" ht="15" thickBot="1">
      <c r="A7" s="2912"/>
      <c r="B7" s="2919" t="s">
        <v>494</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498</v>
      </c>
      <c r="Q8" s="3408"/>
      <c r="R8" s="1567" t="s">
        <v>8</v>
      </c>
      <c r="S8" s="1568">
        <f t="shared" si="0"/>
        <v>0</v>
      </c>
      <c r="T8" s="1567" t="s">
        <v>8</v>
      </c>
      <c r="U8" s="1568">
        <f t="shared" si="1"/>
        <v>0</v>
      </c>
      <c r="V8" s="1567" t="s">
        <v>8</v>
      </c>
      <c r="W8" s="1568">
        <f t="shared" si="2"/>
        <v>0</v>
      </c>
      <c r="X8" s="1569"/>
      <c r="Y8" s="3407" t="s">
        <v>498</v>
      </c>
      <c r="Z8" s="3408"/>
      <c r="AA8" s="1570" t="e">
        <f t="shared" ref="AA8:AA47" si="3">D8/F8</f>
        <v>#DIV/0!</v>
      </c>
      <c r="AB8" s="1570" t="e">
        <f t="shared" ref="AB8:AB47" si="4">D8/H8</f>
        <v>#DIV/0!</v>
      </c>
      <c r="AC8" s="1570" t="e">
        <f t="shared" ref="AC8:AC47" si="5">D8/J8</f>
        <v>#DIV/0!</v>
      </c>
    </row>
    <row r="9" spans="1:29" s="1219" customFormat="1" ht="14.4">
      <c r="A9" s="2914"/>
      <c r="B9" s="2921" t="s">
        <v>2716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96.6">
      <c r="A15" s="2910" t="s">
        <v>2714</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0" t="s">
        <v>505</v>
      </c>
      <c r="Q15" s="1571" t="str">
        <f t="shared" si="6"/>
        <v>办公集聚程度</v>
      </c>
      <c r="R15" s="1572" t="s">
        <v>8</v>
      </c>
      <c r="S15" s="1573">
        <f t="shared" si="0"/>
        <v>100</v>
      </c>
      <c r="T15" s="1572" t="s">
        <v>8</v>
      </c>
      <c r="U15" s="1573">
        <f t="shared" si="1"/>
        <v>100</v>
      </c>
      <c r="V15" s="1572" t="s">
        <v>8</v>
      </c>
      <c r="W15" s="1573">
        <f t="shared" si="2"/>
        <v>100</v>
      </c>
      <c r="X15" s="1566"/>
      <c r="Y15" s="3410"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1"/>
      <c r="Q16" s="1571"/>
      <c r="R16" s="1572"/>
      <c r="S16" s="1573"/>
      <c r="T16" s="1572"/>
      <c r="U16" s="1573"/>
      <c r="V16" s="1572"/>
      <c r="W16" s="1573"/>
      <c r="X16" s="1566"/>
      <c r="Y16" s="3411"/>
      <c r="Z16" s="1574"/>
      <c r="AA16" s="1575">
        <v>1</v>
      </c>
      <c r="AB16" s="1575">
        <v>1</v>
      </c>
      <c r="AC16" s="1575">
        <v>1</v>
      </c>
    </row>
    <row r="17" spans="1:29" ht="124.2">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1"/>
      <c r="Q18" s="1571"/>
      <c r="R18" s="1572"/>
      <c r="S18" s="1573"/>
      <c r="T18" s="1572"/>
      <c r="U18" s="1573"/>
      <c r="V18" s="1572"/>
      <c r="W18" s="1573"/>
      <c r="X18" s="1566"/>
      <c r="Y18" s="3411"/>
      <c r="Z18" s="1574"/>
      <c r="AA18" s="1575">
        <v>1</v>
      </c>
      <c r="AB18" s="1575">
        <v>1</v>
      </c>
      <c r="AC18" s="1575">
        <v>1</v>
      </c>
    </row>
    <row r="19" spans="1:29" ht="55.2">
      <c r="A19" s="532"/>
      <c r="B19" s="2603" t="s">
        <v>2506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1"/>
      <c r="Q20" s="1571"/>
      <c r="R20" s="1572"/>
      <c r="S20" s="1573"/>
      <c r="T20" s="1572"/>
      <c r="U20" s="1573"/>
      <c r="V20" s="1572"/>
      <c r="W20" s="1573"/>
      <c r="X20" s="1566"/>
      <c r="Y20" s="3411"/>
      <c r="Z20" s="1574"/>
      <c r="AA20" s="1575">
        <v>1</v>
      </c>
      <c r="AB20" s="1575">
        <v>1</v>
      </c>
      <c r="AC20" s="1575">
        <v>1</v>
      </c>
    </row>
    <row r="21" spans="1:29" ht="41.4">
      <c r="A21" s="532"/>
      <c r="B21" s="2591" t="s">
        <v>2518</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1"/>
      <c r="Q22" s="2579"/>
      <c r="R22" s="1572"/>
      <c r="S22" s="1573"/>
      <c r="T22" s="1572"/>
      <c r="U22" s="1573"/>
      <c r="V22" s="1572"/>
      <c r="W22" s="1573"/>
      <c r="X22" s="2581"/>
      <c r="Y22" s="3411"/>
      <c r="Z22" s="2580"/>
      <c r="AA22" s="1575">
        <v>1</v>
      </c>
      <c r="AB22" s="1575">
        <v>1</v>
      </c>
      <c r="AC22" s="1575">
        <v>1</v>
      </c>
    </row>
    <row r="23" spans="1:29" ht="96.6">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1"/>
      <c r="Q24" s="1571"/>
      <c r="R24" s="1572"/>
      <c r="S24" s="1573"/>
      <c r="T24" s="1572"/>
      <c r="U24" s="1573"/>
      <c r="V24" s="1572"/>
      <c r="W24" s="1573"/>
      <c r="X24" s="1566"/>
      <c r="Y24" s="3411"/>
      <c r="Z24" s="1574"/>
      <c r="AA24" s="1575">
        <v>1</v>
      </c>
      <c r="AB24" s="1575">
        <v>1</v>
      </c>
      <c r="AC24" s="1575">
        <v>1</v>
      </c>
    </row>
    <row r="25" spans="1:29" ht="28.8">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1"/>
      <c r="Q25" s="1571" t="str">
        <f>B25</f>
        <v>毗邻道路的类型与等级</v>
      </c>
      <c r="R25" s="1572" t="s">
        <v>8</v>
      </c>
      <c r="S25" s="1573">
        <f>F25</f>
        <v>100</v>
      </c>
      <c r="T25" s="1572" t="s">
        <v>8</v>
      </c>
      <c r="U25" s="1573">
        <f>H25</f>
        <v>100</v>
      </c>
      <c r="V25" s="1572" t="s">
        <v>8</v>
      </c>
      <c r="W25" s="1573">
        <f>J25</f>
        <v>100</v>
      </c>
      <c r="X25" s="1566"/>
      <c r="Y25" s="341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1"/>
      <c r="Q26" s="1571"/>
      <c r="R26" s="1572"/>
      <c r="S26" s="1573"/>
      <c r="T26" s="1572"/>
      <c r="U26" s="1573"/>
      <c r="V26" s="1572"/>
      <c r="W26" s="1573"/>
      <c r="X26" s="1566"/>
      <c r="Y26" s="3411"/>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1" t="str">
        <f t="shared" ref="Q27:Q47" si="11">B27</f>
        <v>楼层</v>
      </c>
      <c r="R27" s="1572" t="s">
        <v>8</v>
      </c>
      <c r="S27" s="1573">
        <f>F27</f>
        <v>100</v>
      </c>
      <c r="T27" s="1572" t="s">
        <v>8</v>
      </c>
      <c r="U27" s="1573">
        <f>H27</f>
        <v>100</v>
      </c>
      <c r="V27" s="1572" t="s">
        <v>8</v>
      </c>
      <c r="W27" s="1573">
        <f>J27</f>
        <v>100</v>
      </c>
      <c r="X27" s="1566"/>
      <c r="Y27" s="3411"/>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1"/>
      <c r="Q28" s="1150" t="str">
        <f t="shared" si="11"/>
        <v>朝向</v>
      </c>
      <c r="R28" s="1567" t="s">
        <v>8</v>
      </c>
      <c r="S28" s="1568">
        <f>F28</f>
        <v>100</v>
      </c>
      <c r="T28" s="1567" t="s">
        <v>8</v>
      </c>
      <c r="U28" s="1568">
        <f>H28</f>
        <v>100</v>
      </c>
      <c r="V28" s="1567" t="s">
        <v>8</v>
      </c>
      <c r="W28" s="1568">
        <f>J28</f>
        <v>100</v>
      </c>
      <c r="X28" s="1569"/>
      <c r="Y28" s="341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1"/>
      <c r="Q29" s="1571">
        <f t="shared" si="11"/>
        <v>111</v>
      </c>
      <c r="R29" s="1572" t="s">
        <v>8</v>
      </c>
      <c r="S29" s="1573">
        <f t="shared" ref="S29:S47" si="12">F29</f>
        <v>100</v>
      </c>
      <c r="T29" s="1572" t="s">
        <v>8</v>
      </c>
      <c r="U29" s="1573">
        <f t="shared" ref="U29:U47" si="13">H29</f>
        <v>100</v>
      </c>
      <c r="V29" s="1572" t="s">
        <v>8</v>
      </c>
      <c r="W29" s="1573">
        <f t="shared" ref="W29:W47" si="14">J29</f>
        <v>100</v>
      </c>
      <c r="X29" s="1566"/>
      <c r="Y29" s="341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1"/>
      <c r="Q32" s="1571">
        <f t="shared" si="11"/>
        <v>111</v>
      </c>
      <c r="R32" s="1572" t="s">
        <v>8</v>
      </c>
      <c r="S32" s="1573">
        <f t="shared" si="12"/>
        <v>100</v>
      </c>
      <c r="T32" s="1572" t="s">
        <v>8</v>
      </c>
      <c r="U32" s="1573">
        <f t="shared" si="13"/>
        <v>100</v>
      </c>
      <c r="V32" s="1572" t="s">
        <v>8</v>
      </c>
      <c r="W32" s="1573">
        <f t="shared" si="14"/>
        <v>100</v>
      </c>
      <c r="X32" s="1566"/>
      <c r="Y32" s="3411"/>
      <c r="Z32" s="1574">
        <f t="shared" si="15"/>
        <v>111</v>
      </c>
      <c r="AA32" s="1575">
        <f t="shared" si="3"/>
        <v>1</v>
      </c>
      <c r="AB32" s="1575">
        <f t="shared" si="4"/>
        <v>1</v>
      </c>
      <c r="AC32" s="1575">
        <f t="shared" si="5"/>
        <v>1</v>
      </c>
    </row>
    <row r="33" spans="1:29" ht="15">
      <c r="A33" s="2907" t="s">
        <v>2715</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2" t="s">
        <v>515</v>
      </c>
      <c r="Q33" s="1571" t="str">
        <f t="shared" si="11"/>
        <v>建筑类型</v>
      </c>
      <c r="R33" s="1572" t="s">
        <v>8</v>
      </c>
      <c r="S33" s="1573">
        <f t="shared" si="12"/>
        <v>100</v>
      </c>
      <c r="T33" s="1572" t="s">
        <v>8</v>
      </c>
      <c r="U33" s="1573">
        <f t="shared" si="13"/>
        <v>100</v>
      </c>
      <c r="V33" s="1572" t="s">
        <v>8</v>
      </c>
      <c r="W33" s="1573">
        <f t="shared" si="14"/>
        <v>100</v>
      </c>
      <c r="X33" s="1566"/>
      <c r="Y33" s="3413"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4" t="str">
        <f t="shared" si="11"/>
        <v>项目建筑规模</v>
      </c>
      <c r="R34" s="1576" t="s">
        <v>8</v>
      </c>
      <c r="S34" s="1577" t="e">
        <f t="shared" si="12"/>
        <v>#N/A</v>
      </c>
      <c r="T34" s="1576" t="s">
        <v>8</v>
      </c>
      <c r="U34" s="1577" t="e">
        <f t="shared" si="13"/>
        <v>#N/A</v>
      </c>
      <c r="V34" s="1576" t="s">
        <v>8</v>
      </c>
      <c r="W34" s="1577" t="e">
        <f t="shared" si="14"/>
        <v>#N/A</v>
      </c>
      <c r="X34" s="1578"/>
      <c r="Y34" s="3413"/>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1" t="str">
        <f t="shared" si="11"/>
        <v>建筑结构</v>
      </c>
      <c r="R35" s="1572" t="s">
        <v>8</v>
      </c>
      <c r="S35" s="1573">
        <f t="shared" si="12"/>
        <v>100</v>
      </c>
      <c r="T35" s="1572" t="s">
        <v>8</v>
      </c>
      <c r="U35" s="1573">
        <f t="shared" si="13"/>
        <v>100</v>
      </c>
      <c r="V35" s="1572" t="s">
        <v>8</v>
      </c>
      <c r="W35" s="1573">
        <f t="shared" si="14"/>
        <v>100</v>
      </c>
      <c r="X35" s="1566"/>
      <c r="Y35" s="3413"/>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1" t="str">
        <f t="shared" si="11"/>
        <v>公共部分装修</v>
      </c>
      <c r="R36" s="1572" t="s">
        <v>8</v>
      </c>
      <c r="S36" s="1573">
        <f t="shared" si="12"/>
        <v>100</v>
      </c>
      <c r="T36" s="1572" t="s">
        <v>8</v>
      </c>
      <c r="U36" s="1573">
        <f t="shared" si="13"/>
        <v>100</v>
      </c>
      <c r="V36" s="1572" t="s">
        <v>8</v>
      </c>
      <c r="W36" s="1573">
        <f t="shared" si="14"/>
        <v>100</v>
      </c>
      <c r="X36" s="1566"/>
      <c r="Y36" s="3413"/>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3"/>
      <c r="Q37" s="1571" t="str">
        <f t="shared" si="11"/>
        <v>成新度</v>
      </c>
      <c r="R37" s="1572" t="s">
        <v>8</v>
      </c>
      <c r="S37" s="1573" t="e">
        <f t="shared" si="12"/>
        <v>#N/A</v>
      </c>
      <c r="T37" s="1572" t="s">
        <v>8</v>
      </c>
      <c r="U37" s="1573" t="e">
        <f t="shared" si="13"/>
        <v>#N/A</v>
      </c>
      <c r="V37" s="1572" t="s">
        <v>8</v>
      </c>
      <c r="W37" s="1573" t="e">
        <f t="shared" si="14"/>
        <v>#N/A</v>
      </c>
      <c r="X37" s="1566"/>
      <c r="Y37" s="3413"/>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0" t="str">
        <f t="shared" si="11"/>
        <v>写字楼等级</v>
      </c>
      <c r="R38" s="1567" t="s">
        <v>8</v>
      </c>
      <c r="S38" s="1568">
        <f t="shared" si="12"/>
        <v>100</v>
      </c>
      <c r="T38" s="1567" t="s">
        <v>8</v>
      </c>
      <c r="U38" s="1568">
        <f t="shared" si="13"/>
        <v>100</v>
      </c>
      <c r="V38" s="1567" t="s">
        <v>8</v>
      </c>
      <c r="W38" s="1568">
        <f t="shared" si="14"/>
        <v>100</v>
      </c>
      <c r="X38" s="1569"/>
      <c r="Y38" s="3413"/>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515</v>
      </c>
      <c r="Q39" s="1571" t="str">
        <f t="shared" si="11"/>
        <v>物业管理</v>
      </c>
      <c r="R39" s="1572" t="s">
        <v>8</v>
      </c>
      <c r="S39" s="1573">
        <f t="shared" si="12"/>
        <v>100</v>
      </c>
      <c r="T39" s="1572" t="s">
        <v>8</v>
      </c>
      <c r="U39" s="1573">
        <f t="shared" si="13"/>
        <v>100</v>
      </c>
      <c r="V39" s="1572" t="s">
        <v>8</v>
      </c>
      <c r="W39" s="1573">
        <f t="shared" si="14"/>
        <v>100</v>
      </c>
      <c r="X39" s="1566"/>
      <c r="Y39" s="3413" t="s">
        <v>515</v>
      </c>
      <c r="Z39" s="1574" t="str">
        <f t="shared" si="15"/>
        <v>物业管理</v>
      </c>
      <c r="AA39" s="1575">
        <f t="shared" si="3"/>
        <v>1</v>
      </c>
      <c r="AB39" s="1575">
        <f t="shared" si="4"/>
        <v>1</v>
      </c>
      <c r="AC39" s="1575">
        <f t="shared" si="5"/>
        <v>1</v>
      </c>
    </row>
    <row r="40" spans="1:29" ht="15">
      <c r="A40" s="594"/>
      <c r="B40" s="1895" t="s">
        <v>2525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1" t="str">
        <f t="shared" si="11"/>
        <v>市政基础设施</v>
      </c>
      <c r="R40" s="1572" t="s">
        <v>8</v>
      </c>
      <c r="S40" s="1573">
        <f t="shared" si="12"/>
        <v>100</v>
      </c>
      <c r="T40" s="1572" t="s">
        <v>8</v>
      </c>
      <c r="U40" s="1573">
        <f t="shared" si="13"/>
        <v>100</v>
      </c>
      <c r="V40" s="1572" t="s">
        <v>8</v>
      </c>
      <c r="W40" s="1573">
        <f t="shared" si="14"/>
        <v>100</v>
      </c>
      <c r="X40" s="1566"/>
      <c r="Y40" s="3413"/>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1" t="str">
        <f t="shared" si="11"/>
        <v>层高</v>
      </c>
      <c r="R41" s="1572" t="s">
        <v>8</v>
      </c>
      <c r="S41" s="1573">
        <f t="shared" si="12"/>
        <v>100</v>
      </c>
      <c r="T41" s="1572" t="s">
        <v>8</v>
      </c>
      <c r="U41" s="1573">
        <f t="shared" si="13"/>
        <v>100</v>
      </c>
      <c r="V41" s="1572" t="s">
        <v>8</v>
      </c>
      <c r="W41" s="1573">
        <f t="shared" si="14"/>
        <v>100</v>
      </c>
      <c r="X41" s="1566"/>
      <c r="Y41" s="3413"/>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4" t="str">
        <f t="shared" si="11"/>
        <v>单套建筑面积</v>
      </c>
      <c r="R42" s="1576" t="s">
        <v>8</v>
      </c>
      <c r="S42" s="1577">
        <f t="shared" si="12"/>
        <v>100</v>
      </c>
      <c r="T42" s="1576" t="s">
        <v>8</v>
      </c>
      <c r="U42" s="1577">
        <f t="shared" si="13"/>
        <v>100</v>
      </c>
      <c r="V42" s="1576" t="s">
        <v>8</v>
      </c>
      <c r="W42" s="1577">
        <f t="shared" si="14"/>
        <v>100</v>
      </c>
      <c r="X42" s="1578"/>
      <c r="Y42" s="3413"/>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1" t="str">
        <f t="shared" si="11"/>
        <v>内部装修</v>
      </c>
      <c r="R43" s="1572" t="s">
        <v>8</v>
      </c>
      <c r="S43" s="1573">
        <f t="shared" si="12"/>
        <v>100</v>
      </c>
      <c r="T43" s="1572" t="s">
        <v>8</v>
      </c>
      <c r="U43" s="1573">
        <f t="shared" si="13"/>
        <v>100</v>
      </c>
      <c r="V43" s="1572" t="s">
        <v>8</v>
      </c>
      <c r="W43" s="1573">
        <f t="shared" si="14"/>
        <v>100</v>
      </c>
      <c r="X43" s="1566"/>
      <c r="Y43" s="3413"/>
      <c r="Z43" s="1574" t="str">
        <f t="shared" si="15"/>
        <v>内部装修</v>
      </c>
      <c r="AA43" s="1575">
        <f t="shared" si="3"/>
        <v>1</v>
      </c>
      <c r="AB43" s="1575">
        <f t="shared" si="4"/>
        <v>1</v>
      </c>
      <c r="AC43" s="1575">
        <f t="shared" si="5"/>
        <v>1</v>
      </c>
    </row>
    <row r="44" spans="1:29" ht="28.8">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1" t="str">
        <f t="shared" si="11"/>
        <v>内部装修维护情况</v>
      </c>
      <c r="R44" s="1572" t="s">
        <v>8</v>
      </c>
      <c r="S44" s="1573">
        <f t="shared" si="12"/>
        <v>100</v>
      </c>
      <c r="T44" s="1572" t="s">
        <v>8</v>
      </c>
      <c r="U44" s="1573">
        <f t="shared" si="13"/>
        <v>100</v>
      </c>
      <c r="V44" s="1572" t="s">
        <v>8</v>
      </c>
      <c r="W44" s="1573">
        <f t="shared" si="14"/>
        <v>100</v>
      </c>
      <c r="X44" s="1566"/>
      <c r="Y44" s="341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0">
        <f t="shared" si="11"/>
        <v>111</v>
      </c>
      <c r="R45" s="1567" t="s">
        <v>8</v>
      </c>
      <c r="S45" s="1568">
        <f t="shared" si="12"/>
        <v>100</v>
      </c>
      <c r="T45" s="1567" t="s">
        <v>8</v>
      </c>
      <c r="U45" s="1568">
        <f t="shared" si="13"/>
        <v>100</v>
      </c>
      <c r="V45" s="1567" t="s">
        <v>8</v>
      </c>
      <c r="W45" s="1568">
        <f t="shared" si="14"/>
        <v>100</v>
      </c>
      <c r="X45" s="1569"/>
      <c r="Y45" s="341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1">
        <f t="shared" si="11"/>
        <v>111</v>
      </c>
      <c r="R46" s="1572" t="s">
        <v>8</v>
      </c>
      <c r="S46" s="1573">
        <f t="shared" si="12"/>
        <v>100</v>
      </c>
      <c r="T46" s="1572" t="s">
        <v>8</v>
      </c>
      <c r="U46" s="1573">
        <f t="shared" si="13"/>
        <v>100</v>
      </c>
      <c r="V46" s="1572" t="s">
        <v>8</v>
      </c>
      <c r="W46" s="1573">
        <f t="shared" si="14"/>
        <v>100</v>
      </c>
      <c r="X46" s="1566"/>
      <c r="Y46" s="3413"/>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4.4">
      <c r="A48" s="607" t="s">
        <v>701</v>
      </c>
      <c r="B48" s="887"/>
      <c r="C48" s="2627" t="s">
        <v>1</v>
      </c>
      <c r="D48" s="2628"/>
      <c r="E48" s="2629"/>
      <c r="F48" s="2630"/>
      <c r="G48" s="2631"/>
      <c r="H48" s="2632"/>
      <c r="I48" s="2629"/>
      <c r="J48" s="2632"/>
      <c r="K48" s="1610"/>
      <c r="L48" s="2144"/>
      <c r="M48" s="2134"/>
      <c r="N48" s="2134"/>
      <c r="O48" s="2134"/>
      <c r="P48" s="3372" t="str">
        <f>A48</f>
        <v>成交单价（元/平方米）</v>
      </c>
      <c r="Q48" s="3374"/>
      <c r="R48" s="3490">
        <f>E48</f>
        <v>0</v>
      </c>
      <c r="S48" s="3490"/>
      <c r="T48" s="3490">
        <f>G48</f>
        <v>0</v>
      </c>
      <c r="U48" s="3490"/>
      <c r="V48" s="3490">
        <f>I48</f>
        <v>0</v>
      </c>
      <c r="W48" s="3490"/>
      <c r="X48" s="1558"/>
      <c r="Y48" s="1580"/>
      <c r="Z48" s="1558"/>
      <c r="AA48" s="1558"/>
      <c r="AB48" s="1558"/>
      <c r="AC48" s="1558"/>
    </row>
    <row r="49" spans="1:29" ht="15" thickBot="1">
      <c r="A49" s="615" t="s">
        <v>2720</v>
      </c>
      <c r="B49" s="888"/>
      <c r="C49" s="2633" t="e">
        <f>R50</f>
        <v>#DIV/0!</v>
      </c>
      <c r="D49" s="2634"/>
      <c r="E49" s="2635" t="e">
        <f>R49</f>
        <v>#DIV/0!</v>
      </c>
      <c r="F49" s="2635"/>
      <c r="G49" s="2633" t="e">
        <f>T49</f>
        <v>#DIV/0!</v>
      </c>
      <c r="H49" s="2634"/>
      <c r="I49" s="2635" t="e">
        <f>V49</f>
        <v>#DIV/0!</v>
      </c>
      <c r="J49" s="2634"/>
      <c r="K49" s="1611"/>
      <c r="L49" s="2144"/>
      <c r="M49" s="2134"/>
      <c r="N49" s="2134"/>
      <c r="O49" s="2134"/>
      <c r="P49" s="3372" t="str">
        <f>A49</f>
        <v>比较价格（元/平方米）</v>
      </c>
      <c r="Q49" s="3374"/>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 thickBot="1">
      <c r="A50" s="621" t="s">
        <v>2884</v>
      </c>
      <c r="B50" s="622"/>
      <c r="C50" s="2636" t="e">
        <f>R50</f>
        <v>#DIV/0!</v>
      </c>
      <c r="D50" s="2636"/>
      <c r="E50" s="2636"/>
      <c r="F50" s="2636"/>
      <c r="G50" s="2636"/>
      <c r="H50" s="2636"/>
      <c r="I50" s="2636"/>
      <c r="J50" s="2636"/>
      <c r="K50" s="1612"/>
      <c r="L50" s="2144"/>
      <c r="M50" s="2134"/>
      <c r="N50" s="2134"/>
      <c r="O50" s="2134"/>
      <c r="P50" s="3493" t="str">
        <f>A50</f>
        <v>估价对象XX用房的比较价格（楼面单价，元/平方米）</v>
      </c>
      <c r="Q50" s="3372"/>
      <c r="R50" s="3489" t="e">
        <f>IF(F1="售价",ROUND(AVERAGE(R49:V49),0),ROUND(AVERAGE(R49:V49),1))</f>
        <v>#DIV/0!</v>
      </c>
      <c r="S50" s="3489"/>
      <c r="T50" s="3489"/>
      <c r="U50" s="3489"/>
      <c r="V50" s="3489"/>
      <c r="W50" s="348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5" t="s">
        <v>494</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4.4">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2517</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2518</v>
      </c>
      <c r="C83" s="2598" t="s">
        <v>2519</v>
      </c>
      <c r="D83" s="2598" t="s">
        <v>2520</v>
      </c>
      <c r="E83" s="2598" t="s">
        <v>2521</v>
      </c>
      <c r="F83" s="2598" t="s">
        <v>2522</v>
      </c>
      <c r="G83" s="2598" t="s">
        <v>2523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9.4"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8" t="s">
        <v>489</v>
      </c>
      <c r="AC4" s="3377" t="s">
        <v>490</v>
      </c>
    </row>
    <row r="5" spans="1:29">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494</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0" si="3">D8/F8</f>
        <v>#DIV/0!</v>
      </c>
      <c r="AB8" s="1570" t="e">
        <f t="shared" ref="AB8:AB40" si="4">D8/H8</f>
        <v>#DIV/0!</v>
      </c>
      <c r="AC8" s="1570" t="e">
        <f t="shared" ref="AC8:AC40" si="5">D8/J8</f>
        <v>#DIV/0!</v>
      </c>
    </row>
    <row r="9" spans="1:29" s="1219" customFormat="1" ht="14.4">
      <c r="A9" s="2914"/>
      <c r="B9" s="2921" t="s">
        <v>2716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8.8">
      <c r="A10" s="2915"/>
      <c r="B10" s="2920" t="s">
        <v>2717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15">
      <c r="A15" s="2910" t="s">
        <v>2714</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0" t="s">
        <v>505</v>
      </c>
      <c r="Q15" s="1571" t="str">
        <f t="shared" si="6"/>
        <v>产业集聚程度</v>
      </c>
      <c r="R15" s="1572" t="s">
        <v>8</v>
      </c>
      <c r="S15" s="1573">
        <f t="shared" si="0"/>
        <v>100</v>
      </c>
      <c r="T15" s="1572" t="s">
        <v>8</v>
      </c>
      <c r="U15" s="1573">
        <f t="shared" si="1"/>
        <v>100</v>
      </c>
      <c r="V15" s="1572" t="s">
        <v>8</v>
      </c>
      <c r="W15" s="1573">
        <f t="shared" si="2"/>
        <v>100</v>
      </c>
      <c r="X15" s="1566"/>
      <c r="Y15" s="3410"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2603" t="s">
        <v>2506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15">
      <c r="A21" s="532"/>
      <c r="B21" s="2591" t="s">
        <v>2518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1">
        <f>B25</f>
        <v>111</v>
      </c>
      <c r="R25" s="1572" t="s">
        <v>8</v>
      </c>
      <c r="S25" s="1573">
        <f>F25</f>
        <v>100</v>
      </c>
      <c r="T25" s="1572" t="s">
        <v>8</v>
      </c>
      <c r="U25" s="1573">
        <f>H25</f>
        <v>100</v>
      </c>
      <c r="V25" s="1572" t="s">
        <v>8</v>
      </c>
      <c r="W25" s="1573">
        <f>J25</f>
        <v>100</v>
      </c>
      <c r="X25" s="1566"/>
      <c r="Y25" s="341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1">
        <f t="shared" ref="Q26:Q40" si="11">B26</f>
        <v>111</v>
      </c>
      <c r="R26" s="1572" t="s">
        <v>8</v>
      </c>
      <c r="S26" s="1573">
        <f>F26</f>
        <v>100</v>
      </c>
      <c r="T26" s="1572" t="s">
        <v>8</v>
      </c>
      <c r="U26" s="1573">
        <f>H26</f>
        <v>100</v>
      </c>
      <c r="V26" s="1572" t="s">
        <v>8</v>
      </c>
      <c r="W26" s="1573">
        <f>J26</f>
        <v>100</v>
      </c>
      <c r="X26" s="1566"/>
      <c r="Y26" s="341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0">
        <f t="shared" si="11"/>
        <v>111</v>
      </c>
      <c r="R27" s="1567" t="s">
        <v>8</v>
      </c>
      <c r="S27" s="1568">
        <f>F27</f>
        <v>100</v>
      </c>
      <c r="T27" s="1567" t="s">
        <v>8</v>
      </c>
      <c r="U27" s="1568">
        <f>H27</f>
        <v>100</v>
      </c>
      <c r="V27" s="1567" t="s">
        <v>8</v>
      </c>
      <c r="W27" s="1568">
        <f>J27</f>
        <v>100</v>
      </c>
      <c r="X27" s="1569"/>
      <c r="Y27" s="3411"/>
      <c r="Z27" s="1149">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1"/>
      <c r="Q28" s="1571">
        <f t="shared" si="11"/>
        <v>111</v>
      </c>
      <c r="R28" s="1572" t="s">
        <v>8</v>
      </c>
      <c r="S28" s="1573">
        <f t="shared" ref="S28:S40" si="12">F28</f>
        <v>100</v>
      </c>
      <c r="T28" s="1572" t="s">
        <v>8</v>
      </c>
      <c r="U28" s="1573">
        <f t="shared" ref="U28:U40" si="13">H28</f>
        <v>100</v>
      </c>
      <c r="V28" s="1572" t="s">
        <v>8</v>
      </c>
      <c r="W28" s="1573">
        <f t="shared" ref="W28:W40" si="14">J28</f>
        <v>100</v>
      </c>
      <c r="X28" s="1566"/>
      <c r="Y28" s="3411"/>
      <c r="Z28" s="1574">
        <f t="shared" ref="Z28:Z40" si="15">Q28</f>
        <v>111</v>
      </c>
      <c r="AA28" s="1575">
        <f t="shared" si="3"/>
        <v>1</v>
      </c>
      <c r="AB28" s="1575">
        <f t="shared" si="4"/>
        <v>1</v>
      </c>
      <c r="AC28" s="1575">
        <f t="shared" si="5"/>
        <v>1</v>
      </c>
    </row>
    <row r="29" spans="1:29" ht="15">
      <c r="A29" s="2907" t="s">
        <v>2715</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2" t="s">
        <v>515</v>
      </c>
      <c r="Q29" s="1571" t="str">
        <f t="shared" si="11"/>
        <v>建筑类型</v>
      </c>
      <c r="R29" s="1572" t="s">
        <v>8</v>
      </c>
      <c r="S29" s="1573">
        <f t="shared" si="12"/>
        <v>100</v>
      </c>
      <c r="T29" s="1572" t="s">
        <v>8</v>
      </c>
      <c r="U29" s="1573">
        <f t="shared" si="13"/>
        <v>100</v>
      </c>
      <c r="V29" s="1572" t="s">
        <v>8</v>
      </c>
      <c r="W29" s="1573">
        <f t="shared" si="14"/>
        <v>100</v>
      </c>
      <c r="X29" s="1566"/>
      <c r="Y29" s="3413"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4" t="str">
        <f t="shared" si="11"/>
        <v>项目建筑规模</v>
      </c>
      <c r="R30" s="1576" t="s">
        <v>8</v>
      </c>
      <c r="S30" s="1577" t="e">
        <f t="shared" si="12"/>
        <v>#N/A</v>
      </c>
      <c r="T30" s="1576" t="s">
        <v>8</v>
      </c>
      <c r="U30" s="1577" t="e">
        <f t="shared" si="13"/>
        <v>#N/A</v>
      </c>
      <c r="V30" s="1576" t="s">
        <v>8</v>
      </c>
      <c r="W30" s="1577" t="e">
        <f t="shared" si="14"/>
        <v>#N/A</v>
      </c>
      <c r="X30" s="1578"/>
      <c r="Y30" s="3413"/>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1" t="str">
        <f t="shared" si="11"/>
        <v>建筑结构</v>
      </c>
      <c r="R31" s="1572" t="s">
        <v>8</v>
      </c>
      <c r="S31" s="1573">
        <f t="shared" si="12"/>
        <v>100</v>
      </c>
      <c r="T31" s="1572" t="s">
        <v>8</v>
      </c>
      <c r="U31" s="1573">
        <f t="shared" si="13"/>
        <v>100</v>
      </c>
      <c r="V31" s="1572" t="s">
        <v>8</v>
      </c>
      <c r="W31" s="1573">
        <f t="shared" si="14"/>
        <v>100</v>
      </c>
      <c r="X31" s="1566"/>
      <c r="Y31" s="3413"/>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1" t="str">
        <f t="shared" si="11"/>
        <v>公共部分装修</v>
      </c>
      <c r="R32" s="1572" t="s">
        <v>8</v>
      </c>
      <c r="S32" s="1573">
        <f t="shared" si="12"/>
        <v>100</v>
      </c>
      <c r="T32" s="1572" t="s">
        <v>8</v>
      </c>
      <c r="U32" s="1573">
        <f t="shared" si="13"/>
        <v>100</v>
      </c>
      <c r="V32" s="1572" t="s">
        <v>8</v>
      </c>
      <c r="W32" s="1573">
        <f t="shared" si="14"/>
        <v>100</v>
      </c>
      <c r="X32" s="1566"/>
      <c r="Y32" s="3413"/>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3"/>
      <c r="Q33" s="1571" t="str">
        <f t="shared" si="11"/>
        <v>成新度</v>
      </c>
      <c r="R33" s="1572" t="s">
        <v>8</v>
      </c>
      <c r="S33" s="1573" t="e">
        <f t="shared" si="12"/>
        <v>#N/A</v>
      </c>
      <c r="T33" s="1572" t="s">
        <v>8</v>
      </c>
      <c r="U33" s="1573" t="e">
        <f t="shared" si="13"/>
        <v>#N/A</v>
      </c>
      <c r="V33" s="1572" t="s">
        <v>8</v>
      </c>
      <c r="W33" s="1573" t="e">
        <f t="shared" si="14"/>
        <v>#N/A</v>
      </c>
      <c r="X33" s="1566"/>
      <c r="Y33" s="3413"/>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0" t="str">
        <f t="shared" si="11"/>
        <v>物业管理</v>
      </c>
      <c r="R34" s="1567" t="s">
        <v>8</v>
      </c>
      <c r="S34" s="1568">
        <f t="shared" si="12"/>
        <v>100</v>
      </c>
      <c r="T34" s="1567" t="s">
        <v>8</v>
      </c>
      <c r="U34" s="1568">
        <f t="shared" si="13"/>
        <v>100</v>
      </c>
      <c r="V34" s="1567" t="s">
        <v>8</v>
      </c>
      <c r="W34" s="1568">
        <f t="shared" si="14"/>
        <v>100</v>
      </c>
      <c r="X34" s="1569"/>
      <c r="Y34" s="3413"/>
      <c r="Z34" s="1149" t="str">
        <f t="shared" si="15"/>
        <v>物业管理</v>
      </c>
      <c r="AA34" s="1570">
        <f t="shared" si="3"/>
        <v>1</v>
      </c>
      <c r="AB34" s="1570">
        <f t="shared" si="4"/>
        <v>1</v>
      </c>
      <c r="AC34" s="1570">
        <f t="shared" si="5"/>
        <v>1</v>
      </c>
    </row>
    <row r="35" spans="1:29" ht="15">
      <c r="A35" s="594"/>
      <c r="B35" s="1895" t="s">
        <v>2525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515</v>
      </c>
      <c r="Q35" s="1571" t="str">
        <f t="shared" si="11"/>
        <v>市政基础设施</v>
      </c>
      <c r="R35" s="1572" t="s">
        <v>8</v>
      </c>
      <c r="S35" s="1573">
        <f t="shared" si="12"/>
        <v>100</v>
      </c>
      <c r="T35" s="1572" t="s">
        <v>8</v>
      </c>
      <c r="U35" s="1573">
        <f t="shared" si="13"/>
        <v>100</v>
      </c>
      <c r="V35" s="1572" t="s">
        <v>8</v>
      </c>
      <c r="W35" s="1573">
        <f t="shared" si="14"/>
        <v>100</v>
      </c>
      <c r="X35" s="1566"/>
      <c r="Y35" s="3413"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1" t="str">
        <f t="shared" si="11"/>
        <v>内部装修</v>
      </c>
      <c r="R36" s="1572" t="s">
        <v>8</v>
      </c>
      <c r="S36" s="1573">
        <f t="shared" si="12"/>
        <v>100</v>
      </c>
      <c r="T36" s="1572" t="s">
        <v>8</v>
      </c>
      <c r="U36" s="1573">
        <f t="shared" si="13"/>
        <v>100</v>
      </c>
      <c r="V36" s="1572" t="s">
        <v>8</v>
      </c>
      <c r="W36" s="1573">
        <f t="shared" si="14"/>
        <v>100</v>
      </c>
      <c r="X36" s="1566"/>
      <c r="Y36" s="3413"/>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1" t="str">
        <f t="shared" si="11"/>
        <v>内部装修状况</v>
      </c>
      <c r="R37" s="1572" t="s">
        <v>8</v>
      </c>
      <c r="S37" s="1573">
        <f t="shared" si="12"/>
        <v>100</v>
      </c>
      <c r="T37" s="1572" t="s">
        <v>8</v>
      </c>
      <c r="U37" s="1573">
        <f t="shared" si="13"/>
        <v>100</v>
      </c>
      <c r="V37" s="1572" t="s">
        <v>8</v>
      </c>
      <c r="W37" s="1573">
        <f t="shared" si="14"/>
        <v>100</v>
      </c>
      <c r="X37" s="1566"/>
      <c r="Y37" s="341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3"/>
      <c r="Q38" s="1604">
        <f t="shared" si="11"/>
        <v>111</v>
      </c>
      <c r="R38" s="1576" t="s">
        <v>8</v>
      </c>
      <c r="S38" s="1577">
        <f t="shared" si="12"/>
        <v>100</v>
      </c>
      <c r="T38" s="1576" t="s">
        <v>8</v>
      </c>
      <c r="U38" s="1577">
        <f t="shared" si="13"/>
        <v>100</v>
      </c>
      <c r="V38" s="1576" t="s">
        <v>8</v>
      </c>
      <c r="W38" s="1577">
        <f t="shared" si="14"/>
        <v>100</v>
      </c>
      <c r="X38" s="1578"/>
      <c r="Y38" s="341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3"/>
      <c r="Q39" s="1571">
        <f t="shared" si="11"/>
        <v>111</v>
      </c>
      <c r="R39" s="1572" t="s">
        <v>8</v>
      </c>
      <c r="S39" s="1573">
        <f t="shared" si="12"/>
        <v>100</v>
      </c>
      <c r="T39" s="1572" t="s">
        <v>8</v>
      </c>
      <c r="U39" s="1573">
        <f t="shared" si="13"/>
        <v>100</v>
      </c>
      <c r="V39" s="1572" t="s">
        <v>8</v>
      </c>
      <c r="W39" s="1573">
        <f t="shared" si="14"/>
        <v>100</v>
      </c>
      <c r="X39" s="1566"/>
      <c r="Y39" s="3413"/>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4.4">
      <c r="A41" s="607" t="s">
        <v>701</v>
      </c>
      <c r="B41" s="887"/>
      <c r="C41" s="2627" t="s">
        <v>1</v>
      </c>
      <c r="D41" s="2628"/>
      <c r="E41" s="2629"/>
      <c r="F41" s="2630"/>
      <c r="G41" s="2631"/>
      <c r="H41" s="2632"/>
      <c r="I41" s="2629"/>
      <c r="J41" s="2632"/>
      <c r="K41" s="1610"/>
      <c r="L41" s="2144"/>
      <c r="M41" s="2145"/>
      <c r="N41" s="2134"/>
      <c r="O41" s="2145"/>
      <c r="P41" s="3374" t="str">
        <f>A41</f>
        <v>成交单价（元/平方米）</v>
      </c>
      <c r="Q41" s="3374"/>
      <c r="R41" s="3490">
        <f>E41</f>
        <v>0</v>
      </c>
      <c r="S41" s="3490"/>
      <c r="T41" s="3490">
        <f>G41</f>
        <v>0</v>
      </c>
      <c r="U41" s="3490"/>
      <c r="V41" s="3490">
        <f>I41</f>
        <v>0</v>
      </c>
      <c r="W41" s="3490"/>
      <c r="X41" s="1558"/>
      <c r="Y41" s="1580"/>
      <c r="Z41" s="1558"/>
      <c r="AA41" s="1558"/>
      <c r="AB41" s="1558"/>
      <c r="AC41" s="1558"/>
    </row>
    <row r="42" spans="1:29" ht="15" thickBot="1">
      <c r="A42" s="615" t="s">
        <v>2720</v>
      </c>
      <c r="B42" s="888"/>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 thickBot="1">
      <c r="A43" s="621" t="s">
        <v>2884</v>
      </c>
      <c r="B43" s="622"/>
      <c r="C43" s="2636" t="e">
        <f>R43</f>
        <v>#DIV/0!</v>
      </c>
      <c r="D43" s="2636"/>
      <c r="E43" s="2636"/>
      <c r="F43" s="2636"/>
      <c r="G43" s="2636"/>
      <c r="H43" s="2636"/>
      <c r="I43" s="2636"/>
      <c r="J43" s="2636"/>
      <c r="K43" s="1612"/>
      <c r="L43" s="2144"/>
      <c r="M43" s="2145"/>
      <c r="N43" s="2145"/>
      <c r="O43" s="2145"/>
      <c r="P43" s="3371" t="str">
        <f>A43</f>
        <v>估价对象XX用房的比较价格（楼面单价，元/平方米）</v>
      </c>
      <c r="Q43" s="3372"/>
      <c r="R43" s="3489" t="e">
        <f>IF(F1="售价",ROUND(AVERAGE(R42:V42),0),ROUND(AVERAGE(R42:V42),1))</f>
        <v>#DIV/0!</v>
      </c>
      <c r="S43" s="3489"/>
      <c r="T43" s="3489"/>
      <c r="U43" s="3489"/>
      <c r="V43" s="3489"/>
      <c r="W43" s="348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5" t="s">
        <v>494</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4.4">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2517</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2518</v>
      </c>
      <c r="C76" s="2598" t="s">
        <v>2519</v>
      </c>
      <c r="D76" s="2598" t="s">
        <v>2520</v>
      </c>
      <c r="E76" s="2598" t="s">
        <v>2521</v>
      </c>
      <c r="F76" s="2598" t="s">
        <v>2522</v>
      </c>
      <c r="G76" s="2598" t="s">
        <v>2523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762</v>
      </c>
      <c r="B4" s="513"/>
      <c r="C4" s="3380" t="s">
        <v>763</v>
      </c>
      <c r="D4" s="3381"/>
      <c r="E4" s="3380" t="s">
        <v>764</v>
      </c>
      <c r="F4" s="3381"/>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c r="A5" s="515"/>
      <c r="B5" s="516"/>
      <c r="C5" s="3414" t="s">
        <v>2878</v>
      </c>
      <c r="D5" s="3397"/>
      <c r="E5" s="3414" t="s">
        <v>2879</v>
      </c>
      <c r="F5" s="3397"/>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2882</v>
      </c>
      <c r="D6" s="3395"/>
      <c r="E6" s="3400" t="s">
        <v>2882</v>
      </c>
      <c r="F6" s="3401"/>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494</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6" si="3">D8/F8</f>
        <v>#DIV/0!</v>
      </c>
      <c r="AB8" s="1570" t="e">
        <f t="shared" ref="AB8:AB36" si="4">D8/H8</f>
        <v>#DIV/0!</v>
      </c>
      <c r="AC8" s="1570" t="e">
        <f t="shared" ref="AC8:AC36" si="5">D8/J8</f>
        <v>#DIV/0!</v>
      </c>
    </row>
    <row r="9" spans="1:29" s="1219" customFormat="1" ht="14.4">
      <c r="A9" s="2914"/>
      <c r="B9" s="2921" t="s">
        <v>2716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8.8">
      <c r="A10" s="2915"/>
      <c r="B10" s="2920" t="s">
        <v>2717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24.2">
      <c r="A14" s="2910" t="s">
        <v>2714</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55.2">
      <c r="A16" s="515"/>
      <c r="B16" s="2603" t="s">
        <v>2506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1.4">
      <c r="A18" s="515"/>
      <c r="B18" s="2591" t="s">
        <v>2518</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96.6">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1">
        <f t="shared" ref="Q24:Q36"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2"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3"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3"/>
      <c r="Q27" s="1604" t="str">
        <f t="shared" si="11"/>
        <v>项目停车位配比</v>
      </c>
      <c r="R27" s="1576" t="s">
        <v>8</v>
      </c>
      <c r="S27" s="1577">
        <f t="shared" si="12"/>
        <v>100</v>
      </c>
      <c r="T27" s="1576" t="s">
        <v>8</v>
      </c>
      <c r="U27" s="1577">
        <f t="shared" si="13"/>
        <v>100</v>
      </c>
      <c r="V27" s="1576" t="s">
        <v>8</v>
      </c>
      <c r="W27" s="1577">
        <f t="shared" si="14"/>
        <v>100</v>
      </c>
      <c r="X27" s="1578"/>
      <c r="Y27" s="3413"/>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3"/>
      <c r="Q28" s="1571" t="str">
        <f t="shared" si="11"/>
        <v>公共部分装修</v>
      </c>
      <c r="R28" s="1572" t="s">
        <v>8</v>
      </c>
      <c r="S28" s="1573">
        <f t="shared" si="12"/>
        <v>100</v>
      </c>
      <c r="T28" s="1572" t="s">
        <v>8</v>
      </c>
      <c r="U28" s="1573">
        <f t="shared" si="13"/>
        <v>100</v>
      </c>
      <c r="V28" s="1572" t="s">
        <v>8</v>
      </c>
      <c r="W28" s="1573">
        <f t="shared" si="14"/>
        <v>100</v>
      </c>
      <c r="X28" s="1566"/>
      <c r="Y28" s="3413"/>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3"/>
      <c r="Q29" s="1571" t="str">
        <f t="shared" si="11"/>
        <v>成新率</v>
      </c>
      <c r="R29" s="1572" t="s">
        <v>8</v>
      </c>
      <c r="S29" s="1573" t="e">
        <f t="shared" si="12"/>
        <v>#N/A</v>
      </c>
      <c r="T29" s="1572" t="s">
        <v>8</v>
      </c>
      <c r="U29" s="1573" t="e">
        <f t="shared" si="13"/>
        <v>#N/A</v>
      </c>
      <c r="V29" s="1572" t="s">
        <v>8</v>
      </c>
      <c r="W29" s="1573" t="e">
        <f t="shared" si="14"/>
        <v>#N/A</v>
      </c>
      <c r="X29" s="1566"/>
      <c r="Y29" s="3413"/>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3"/>
      <c r="Q30" s="1571" t="str">
        <f t="shared" si="11"/>
        <v>物业等级</v>
      </c>
      <c r="R30" s="1572" t="s">
        <v>8</v>
      </c>
      <c r="S30" s="1573">
        <f t="shared" si="12"/>
        <v>100</v>
      </c>
      <c r="T30" s="1572" t="s">
        <v>8</v>
      </c>
      <c r="U30" s="1573">
        <f t="shared" si="13"/>
        <v>100</v>
      </c>
      <c r="V30" s="1572" t="s">
        <v>8</v>
      </c>
      <c r="W30" s="1573">
        <f t="shared" si="14"/>
        <v>100</v>
      </c>
      <c r="X30" s="1566"/>
      <c r="Y30" s="3413"/>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3"/>
      <c r="Q31" s="1150" t="str">
        <f t="shared" si="11"/>
        <v>停车位面积</v>
      </c>
      <c r="R31" s="1567" t="s">
        <v>8</v>
      </c>
      <c r="S31" s="1568" t="e">
        <f t="shared" si="12"/>
        <v>#N/A</v>
      </c>
      <c r="T31" s="1567" t="s">
        <v>8</v>
      </c>
      <c r="U31" s="1568" t="e">
        <f t="shared" si="13"/>
        <v>#N/A</v>
      </c>
      <c r="V31" s="1567" t="s">
        <v>8</v>
      </c>
      <c r="W31" s="1568" t="e">
        <f t="shared" si="14"/>
        <v>#N/A</v>
      </c>
      <c r="X31" s="1569"/>
      <c r="Y31" s="3413"/>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3" t="s">
        <v>515</v>
      </c>
      <c r="Q32" s="1571" t="str">
        <f t="shared" si="11"/>
        <v>车位类型</v>
      </c>
      <c r="R32" s="1572" t="s">
        <v>8</v>
      </c>
      <c r="S32" s="1573">
        <f t="shared" si="12"/>
        <v>100</v>
      </c>
      <c r="T32" s="1572" t="s">
        <v>8</v>
      </c>
      <c r="U32" s="1573">
        <f t="shared" si="13"/>
        <v>100</v>
      </c>
      <c r="V32" s="1572" t="s">
        <v>8</v>
      </c>
      <c r="W32" s="1573">
        <f t="shared" si="14"/>
        <v>100</v>
      </c>
      <c r="X32" s="1566"/>
      <c r="Y32" s="3413"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3"/>
      <c r="Q33" s="1571" t="str">
        <f t="shared" si="11"/>
        <v>是否直接入户</v>
      </c>
      <c r="R33" s="1572" t="s">
        <v>8</v>
      </c>
      <c r="S33" s="1573">
        <f t="shared" si="12"/>
        <v>100</v>
      </c>
      <c r="T33" s="1572" t="s">
        <v>8</v>
      </c>
      <c r="U33" s="1573">
        <f t="shared" si="13"/>
        <v>100</v>
      </c>
      <c r="V33" s="1572" t="s">
        <v>8</v>
      </c>
      <c r="W33" s="1573">
        <f t="shared" si="14"/>
        <v>100</v>
      </c>
      <c r="X33" s="1566"/>
      <c r="Y33" s="341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4">
        <f t="shared" si="11"/>
        <v>111</v>
      </c>
      <c r="R35" s="1576" t="s">
        <v>8</v>
      </c>
      <c r="S35" s="1577">
        <f t="shared" si="12"/>
        <v>100</v>
      </c>
      <c r="T35" s="1576" t="s">
        <v>8</v>
      </c>
      <c r="U35" s="1577">
        <f t="shared" si="13"/>
        <v>100</v>
      </c>
      <c r="V35" s="1576" t="s">
        <v>8</v>
      </c>
      <c r="W35" s="1577">
        <f t="shared" si="14"/>
        <v>100</v>
      </c>
      <c r="X35" s="1578"/>
      <c r="Y35" s="3413"/>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1">
        <f t="shared" si="11"/>
        <v>111</v>
      </c>
      <c r="R36" s="1572" t="s">
        <v>8</v>
      </c>
      <c r="S36" s="1573">
        <f t="shared" si="12"/>
        <v>100</v>
      </c>
      <c r="T36" s="1572" t="s">
        <v>8</v>
      </c>
      <c r="U36" s="1573">
        <f t="shared" si="13"/>
        <v>100</v>
      </c>
      <c r="V36" s="1572" t="s">
        <v>8</v>
      </c>
      <c r="W36" s="1573">
        <f t="shared" si="14"/>
        <v>100</v>
      </c>
      <c r="X36" s="1566"/>
      <c r="Y36" s="3413"/>
      <c r="Z36" s="1574">
        <f t="shared" si="15"/>
        <v>111</v>
      </c>
      <c r="AA36" s="1575">
        <f t="shared" si="3"/>
        <v>1</v>
      </c>
      <c r="AB36" s="1575">
        <f t="shared" si="4"/>
        <v>1</v>
      </c>
      <c r="AC36" s="1575">
        <f t="shared" si="5"/>
        <v>1</v>
      </c>
    </row>
    <row r="37" spans="1:29" ht="14.4">
      <c r="A37" s="1846" t="s">
        <v>2039</v>
      </c>
      <c r="B37" s="1847" t="s">
        <v>2040</v>
      </c>
      <c r="C37" s="2627" t="s">
        <v>1</v>
      </c>
      <c r="D37" s="2628"/>
      <c r="E37" s="2629"/>
      <c r="F37" s="2630"/>
      <c r="G37" s="2631"/>
      <c r="H37" s="2632"/>
      <c r="I37" s="2629"/>
      <c r="J37" s="2632"/>
      <c r="K37" s="1610"/>
      <c r="L37" s="2144"/>
      <c r="M37" s="2145"/>
      <c r="N37" s="2134"/>
      <c r="O37" s="2145"/>
      <c r="P37" s="3374" t="str">
        <f>A37</f>
        <v>成交单价</v>
      </c>
      <c r="Q37" s="3374"/>
      <c r="R37" s="3490">
        <f>E37</f>
        <v>0</v>
      </c>
      <c r="S37" s="3490"/>
      <c r="T37" s="3490">
        <f>G37</f>
        <v>0</v>
      </c>
      <c r="U37" s="3490"/>
      <c r="V37" s="3490">
        <f>I37</f>
        <v>0</v>
      </c>
      <c r="W37" s="3490"/>
      <c r="X37" s="1558"/>
      <c r="Y37" s="1580"/>
      <c r="Z37" s="1558"/>
      <c r="AA37" s="1558"/>
      <c r="AB37" s="1558"/>
      <c r="AC37" s="1558"/>
    </row>
    <row r="38" spans="1:29" ht="15" thickBot="1">
      <c r="A38" s="615" t="s">
        <v>2720</v>
      </c>
      <c r="B38" s="888"/>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 thickBot="1">
      <c r="A39" s="621" t="s">
        <v>2884</v>
      </c>
      <c r="B39" s="622"/>
      <c r="C39" s="2636" t="e">
        <f>R39</f>
        <v>#DIV/0!</v>
      </c>
      <c r="D39" s="2636"/>
      <c r="E39" s="2636"/>
      <c r="F39" s="2636"/>
      <c r="G39" s="2636"/>
      <c r="H39" s="2636"/>
      <c r="I39" s="2636"/>
      <c r="J39" s="2636"/>
      <c r="K39" s="1612"/>
      <c r="L39" s="2144"/>
      <c r="M39" s="2145"/>
      <c r="N39" s="2145"/>
      <c r="O39" s="2145"/>
      <c r="P39" s="3371" t="str">
        <f>A39</f>
        <v>估价对象XX用房的比较价格（楼面单价，元/平方米）</v>
      </c>
      <c r="Q39" s="3372"/>
      <c r="R39" s="3489" t="e">
        <f>IF(F1="售价",ROUND(AVERAGE(R38:V38),0),ROUND(AVERAGE(R38:V38),1))</f>
        <v>#DIV/0!</v>
      </c>
      <c r="S39" s="3489"/>
      <c r="T39" s="3489"/>
      <c r="U39" s="3489"/>
      <c r="V39" s="3489"/>
      <c r="W39" s="348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5" t="s">
        <v>494</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4.4">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2517</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2518</v>
      </c>
      <c r="C67" s="2598" t="s">
        <v>2519</v>
      </c>
      <c r="D67" s="2598" t="s">
        <v>2520</v>
      </c>
      <c r="E67" s="2598" t="s">
        <v>2521</v>
      </c>
      <c r="F67" s="2598" t="s">
        <v>2522</v>
      </c>
      <c r="G67" s="2598" t="s">
        <v>2523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762</v>
      </c>
      <c r="B4" s="513"/>
      <c r="C4" s="3380" t="s">
        <v>763</v>
      </c>
      <c r="D4" s="3381"/>
      <c r="E4" s="3417" t="s">
        <v>764</v>
      </c>
      <c r="F4" s="3418"/>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 thickBot="1">
      <c r="A7" s="2912"/>
      <c r="B7" s="2919" t="s">
        <v>494</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4" si="3">D8/F8</f>
        <v>#DIV/0!</v>
      </c>
      <c r="AB8" s="1570" t="e">
        <f t="shared" ref="AB8:AB34" si="4">D8/H8</f>
        <v>#DIV/0!</v>
      </c>
      <c r="AC8" s="1570" t="e">
        <f t="shared" ref="AC8:AC34" si="5">D8/J8</f>
        <v>#DIV/0!</v>
      </c>
    </row>
    <row r="9" spans="1:29" s="1219" customFormat="1" ht="14.4">
      <c r="A9" s="2914"/>
      <c r="B9" s="2921" t="s">
        <v>2716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8.8">
      <c r="A10" s="2915"/>
      <c r="B10" s="2920" t="s">
        <v>2717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24.2">
      <c r="A14" s="2910" t="s">
        <v>2714</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55.2">
      <c r="A16" s="532"/>
      <c r="B16" s="2603" t="s">
        <v>2506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1.4">
      <c r="A18" s="532"/>
      <c r="B18" s="2591" t="s">
        <v>2518</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96.6">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1">
        <f t="shared" ref="Q24:Q34"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2"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3"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3"/>
      <c r="Q27" s="1604" t="str">
        <f t="shared" si="11"/>
        <v>成新率</v>
      </c>
      <c r="R27" s="1576" t="s">
        <v>8</v>
      </c>
      <c r="S27" s="1577" t="e">
        <f t="shared" si="12"/>
        <v>#N/A</v>
      </c>
      <c r="T27" s="1576" t="s">
        <v>8</v>
      </c>
      <c r="U27" s="1577" t="e">
        <f t="shared" si="13"/>
        <v>#N/A</v>
      </c>
      <c r="V27" s="1576" t="s">
        <v>8</v>
      </c>
      <c r="W27" s="1577" t="e">
        <f t="shared" si="14"/>
        <v>#N/A</v>
      </c>
      <c r="X27" s="1578"/>
      <c r="Y27" s="3413"/>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1" t="str">
        <f t="shared" si="11"/>
        <v>物业等级</v>
      </c>
      <c r="R28" s="1572" t="s">
        <v>8</v>
      </c>
      <c r="S28" s="1573">
        <f t="shared" si="12"/>
        <v>100</v>
      </c>
      <c r="T28" s="1572" t="s">
        <v>8</v>
      </c>
      <c r="U28" s="1573">
        <f t="shared" si="13"/>
        <v>100</v>
      </c>
      <c r="V28" s="1572" t="s">
        <v>8</v>
      </c>
      <c r="W28" s="1573">
        <f t="shared" si="14"/>
        <v>100</v>
      </c>
      <c r="X28" s="1566"/>
      <c r="Y28" s="3413"/>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3"/>
      <c r="Q29" s="1571" t="str">
        <f t="shared" si="11"/>
        <v>有无电梯</v>
      </c>
      <c r="R29" s="1572" t="s">
        <v>8</v>
      </c>
      <c r="S29" s="1573">
        <f t="shared" si="12"/>
        <v>100</v>
      </c>
      <c r="T29" s="1572" t="s">
        <v>8</v>
      </c>
      <c r="U29" s="1573">
        <f t="shared" si="13"/>
        <v>100</v>
      </c>
      <c r="V29" s="1572" t="s">
        <v>8</v>
      </c>
      <c r="W29" s="1573">
        <f t="shared" si="14"/>
        <v>100</v>
      </c>
      <c r="X29" s="1566"/>
      <c r="Y29" s="3413"/>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3"/>
      <c r="Q30" s="1571" t="str">
        <f t="shared" si="11"/>
        <v>建筑面积</v>
      </c>
      <c r="R30" s="1572" t="s">
        <v>8</v>
      </c>
      <c r="S30" s="1573" t="e">
        <f t="shared" si="12"/>
        <v>#N/A</v>
      </c>
      <c r="T30" s="1572" t="s">
        <v>8</v>
      </c>
      <c r="U30" s="1573" t="e">
        <f t="shared" si="13"/>
        <v>#N/A</v>
      </c>
      <c r="V30" s="1572" t="s">
        <v>8</v>
      </c>
      <c r="W30" s="1573" t="e">
        <f t="shared" si="14"/>
        <v>#N/A</v>
      </c>
      <c r="X30" s="1566"/>
      <c r="Y30" s="3413"/>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3"/>
      <c r="Q31" s="1150" t="str">
        <f t="shared" si="11"/>
        <v>是否封闭</v>
      </c>
      <c r="R31" s="1567" t="s">
        <v>8</v>
      </c>
      <c r="S31" s="1568">
        <f t="shared" si="12"/>
        <v>100</v>
      </c>
      <c r="T31" s="1567" t="s">
        <v>8</v>
      </c>
      <c r="U31" s="1568">
        <f t="shared" si="13"/>
        <v>100</v>
      </c>
      <c r="V31" s="1567" t="s">
        <v>8</v>
      </c>
      <c r="W31" s="1568">
        <f t="shared" si="14"/>
        <v>100</v>
      </c>
      <c r="X31" s="1569"/>
      <c r="Y31" s="341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3" t="s">
        <v>515</v>
      </c>
      <c r="Q32" s="1571">
        <f t="shared" si="11"/>
        <v>111</v>
      </c>
      <c r="R32" s="1572" t="s">
        <v>8</v>
      </c>
      <c r="S32" s="1573">
        <f t="shared" si="12"/>
        <v>100</v>
      </c>
      <c r="T32" s="1572" t="s">
        <v>8</v>
      </c>
      <c r="U32" s="1573">
        <f t="shared" si="13"/>
        <v>100</v>
      </c>
      <c r="V32" s="1572" t="s">
        <v>8</v>
      </c>
      <c r="W32" s="1573">
        <f t="shared" si="14"/>
        <v>100</v>
      </c>
      <c r="X32" s="1566"/>
      <c r="Y32" s="3413"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3"/>
      <c r="Q33" s="1571">
        <f t="shared" si="11"/>
        <v>111</v>
      </c>
      <c r="R33" s="1572" t="s">
        <v>8</v>
      </c>
      <c r="S33" s="1573">
        <f t="shared" si="12"/>
        <v>100</v>
      </c>
      <c r="T33" s="1572" t="s">
        <v>8</v>
      </c>
      <c r="U33" s="1573">
        <f t="shared" si="13"/>
        <v>100</v>
      </c>
      <c r="V33" s="1572" t="s">
        <v>8</v>
      </c>
      <c r="W33" s="1573">
        <f t="shared" si="14"/>
        <v>100</v>
      </c>
      <c r="X33" s="1566"/>
      <c r="Y33" s="3413"/>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ht="14.4">
      <c r="A35" s="607" t="s">
        <v>701</v>
      </c>
      <c r="B35" s="887"/>
      <c r="C35" s="2627" t="s">
        <v>1</v>
      </c>
      <c r="D35" s="2628"/>
      <c r="E35" s="2629"/>
      <c r="F35" s="2630"/>
      <c r="G35" s="2631"/>
      <c r="H35" s="2632"/>
      <c r="I35" s="2629"/>
      <c r="J35" s="2632"/>
      <c r="K35" s="1610"/>
      <c r="L35" s="2144"/>
      <c r="M35" s="2145"/>
      <c r="N35" s="2134"/>
      <c r="O35" s="2145"/>
      <c r="P35" s="3374" t="str">
        <f>A35</f>
        <v>成交单价（元/平方米）</v>
      </c>
      <c r="Q35" s="3374"/>
      <c r="R35" s="3490">
        <f>E35</f>
        <v>0</v>
      </c>
      <c r="S35" s="3490"/>
      <c r="T35" s="3490">
        <f>G35</f>
        <v>0</v>
      </c>
      <c r="U35" s="3490"/>
      <c r="V35" s="3490">
        <f>I35</f>
        <v>0</v>
      </c>
      <c r="W35" s="3490"/>
      <c r="X35" s="1558"/>
      <c r="Y35" s="1580"/>
      <c r="Z35" s="1558"/>
      <c r="AA35" s="1558"/>
      <c r="AB35" s="1558"/>
      <c r="AC35" s="1558"/>
    </row>
    <row r="36" spans="1:29" ht="15" thickBot="1">
      <c r="A36" s="615" t="s">
        <v>2720</v>
      </c>
      <c r="B36" s="888"/>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 thickBot="1">
      <c r="A37" s="621" t="s">
        <v>2884</v>
      </c>
      <c r="B37" s="622"/>
      <c r="C37" s="2636" t="e">
        <f>R37</f>
        <v>#DIV/0!</v>
      </c>
      <c r="D37" s="2636"/>
      <c r="E37" s="2636"/>
      <c r="F37" s="2636"/>
      <c r="G37" s="2636"/>
      <c r="H37" s="2636"/>
      <c r="I37" s="2636"/>
      <c r="J37" s="2636"/>
      <c r="K37" s="1612"/>
      <c r="L37" s="2144"/>
      <c r="M37" s="2145"/>
      <c r="N37" s="2145"/>
      <c r="O37" s="2145"/>
      <c r="P37" s="3371" t="str">
        <f>A37</f>
        <v>估价对象XX用房的比较价格（楼面单价，元/平方米）</v>
      </c>
      <c r="Q37" s="3372"/>
      <c r="R37" s="3489" t="e">
        <f>IF(F1="售价",ROUND(AVERAGE(R36:V36),0),ROUND(AVERAGE(R36:V36),1))</f>
        <v>#DIV/0!</v>
      </c>
      <c r="S37" s="3489"/>
      <c r="T37" s="3489"/>
      <c r="U37" s="3489"/>
      <c r="V37" s="3489"/>
      <c r="W37" s="348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5" t="s">
        <v>494</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4.4">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2517</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2518</v>
      </c>
      <c r="C65" s="2598" t="s">
        <v>2519</v>
      </c>
      <c r="D65" s="2598" t="s">
        <v>2520</v>
      </c>
      <c r="E65" s="2598" t="s">
        <v>2521</v>
      </c>
      <c r="F65" s="2598" t="s">
        <v>2522</v>
      </c>
      <c r="G65" s="2598" t="s">
        <v>2523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00" t="s">
        <v>2266</v>
      </c>
      <c r="D1" s="3501"/>
      <c r="E1" s="3501"/>
      <c r="F1" s="3501"/>
      <c r="G1" s="3501"/>
      <c r="H1" s="3501"/>
      <c r="I1" s="3501"/>
      <c r="J1" s="3501"/>
      <c r="K1" s="3501"/>
      <c r="L1" s="3501"/>
      <c r="M1" s="3501"/>
      <c r="N1" s="3501"/>
      <c r="O1" s="3501"/>
      <c r="P1" s="3501"/>
      <c r="Q1" s="3501"/>
      <c r="R1" s="3501"/>
      <c r="S1" s="3502"/>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2877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2876</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2875</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2890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2874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2873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97" t="s">
        <v>19</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1866</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399999999999999">
      <c r="A5" s="1794" t="s">
        <v>1867</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87">
      <c r="A7" s="2873" t="s">
        <v>2708</v>
      </c>
    </row>
    <row r="8" spans="1:4" ht="17.399999999999999">
      <c r="A8" s="1794" t="s">
        <v>1868</v>
      </c>
    </row>
    <row r="9" spans="1:4" ht="69.599999999999994">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1988</v>
      </c>
    </row>
    <row r="11" spans="1:4" ht="17.399999999999999">
      <c r="A11" s="1780" t="str">
        <f>TEXT(项目基本情况!D3,"yyyy年m月d日;;")&amp;IF(项目基本情况!B3=项目基本情况!D3,"（评估专业人员勘察现场之日）","")</f>
        <v>2018年8月31日（评估专业人员勘察现场之日）</v>
      </c>
    </row>
    <row r="12" spans="1:4" ht="17.399999999999999">
      <c r="A12" s="1797" t="s">
        <v>1987</v>
      </c>
    </row>
    <row r="13" spans="1:4" ht="17.399999999999999">
      <c r="A13" s="1791" t="s">
        <v>2033</v>
      </c>
    </row>
    <row r="14" spans="1:4" ht="17.399999999999999">
      <c r="A14" s="1791" t="str">
        <f>"根据"&amp;项目基本情况!F12&amp;"，本次评估估价对象证载（地类）用途为"&amp;项目基本情况!B12&amp;"。"</f>
        <v>根据，本次评估估价对象证载（地类）用途为。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399999999999999">
      <c r="A16" s="1791" t="s">
        <v>2034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2035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2036</v>
      </c>
    </row>
    <row r="23" spans="1:1" ht="17.399999999999999">
      <c r="A23" s="2875" t="s">
        <v>2709</v>
      </c>
    </row>
    <row r="24" spans="1:1" ht="17.399999999999999">
      <c r="A24" s="1791" t="s">
        <v>2037</v>
      </c>
    </row>
    <row r="25" spans="1:1" ht="87">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1989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2748</v>
      </c>
      <c r="C1" s="3004">
        <f>项目基本情况!D3</f>
        <v>43343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2779</v>
      </c>
      <c r="C2" s="3005">
        <f>'数据-取费表'!B22</f>
        <v>2</v>
      </c>
      <c r="D2" s="3000" t="s">
        <v>2749</v>
      </c>
      <c r="E2" s="3003">
        <f ca="1">INDIRECT("I"&amp;$I$1)/100</f>
        <v>4.7500000000000001E-2</v>
      </c>
      <c r="G2" s="2940"/>
      <c r="H2" s="2940"/>
      <c r="I2" s="2940" t="s">
        <v>2750</v>
      </c>
      <c r="K2" s="2940"/>
      <c r="L2" s="2940"/>
      <c r="M2" s="2940"/>
      <c r="N2" s="2940" t="s">
        <v>2751</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2781</v>
      </c>
      <c r="C3" s="3002">
        <f>'数据-取费表'!B19</f>
        <v>0</v>
      </c>
      <c r="D3" s="3000" t="s">
        <v>2749</v>
      </c>
      <c r="E3" s="3003">
        <f ca="1">INDIRECT("J"&amp;$J$1)/100</f>
        <v>0</v>
      </c>
      <c r="G3" s="2942" t="s">
        <v>2752</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2780</v>
      </c>
      <c r="C4" s="3003">
        <f ca="1">N4/100</f>
        <v>1.4999999999999999E-2</v>
      </c>
      <c r="G4" s="2948" t="s">
        <v>2753</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2754</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2755</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2756</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2757</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2758</v>
      </c>
      <c r="C10" s="2967"/>
      <c r="D10" s="2967"/>
      <c r="E10" s="2967"/>
      <c r="F10" s="2967"/>
      <c r="G10" s="2967"/>
      <c r="H10" s="2967"/>
      <c r="I10" s="2941"/>
      <c r="J10" s="2941"/>
      <c r="K10" s="2967"/>
      <c r="L10" s="2968" t="s">
        <v>2759</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2760</v>
      </c>
      <c r="C11" s="2972" t="s">
        <v>2761</v>
      </c>
      <c r="D11" s="2973" t="s">
        <v>2762</v>
      </c>
      <c r="E11" s="2974"/>
      <c r="F11" s="2973" t="s">
        <v>2763</v>
      </c>
      <c r="G11" s="2975"/>
      <c r="H11" s="2974"/>
      <c r="I11" s="2973" t="s">
        <v>2764</v>
      </c>
      <c r="J11" s="2974"/>
      <c r="K11" s="2970"/>
      <c r="L11" s="2971" t="s">
        <v>2760</v>
      </c>
      <c r="M11" s="2972" t="s">
        <v>2761</v>
      </c>
      <c r="N11" s="2971" t="s">
        <v>2765</v>
      </c>
      <c r="O11" s="2973" t="s">
        <v>2766</v>
      </c>
      <c r="P11" s="2975"/>
      <c r="Q11" s="2975"/>
      <c r="R11" s="2975"/>
      <c r="S11" s="2975"/>
      <c r="T11" s="2974"/>
      <c r="U11" s="2973" t="s">
        <v>2767</v>
      </c>
      <c r="V11" s="2975"/>
      <c r="W11" s="2974"/>
      <c r="X11" s="2971" t="s">
        <v>2768</v>
      </c>
      <c r="Y11" s="2971" t="s">
        <v>2769</v>
      </c>
      <c r="Z11" s="2971" t="s">
        <v>2770</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2771</v>
      </c>
      <c r="E12" s="2980" t="s">
        <v>2772</v>
      </c>
      <c r="F12" s="2980" t="s">
        <v>2773</v>
      </c>
      <c r="G12" s="2980" t="s">
        <v>2774</v>
      </c>
      <c r="H12" s="2980" t="s">
        <v>2756</v>
      </c>
      <c r="I12" s="2981" t="s">
        <v>2775</v>
      </c>
      <c r="J12" s="2981" t="s">
        <v>2775</v>
      </c>
      <c r="K12" s="2977"/>
      <c r="L12" s="2978"/>
      <c r="M12" s="2979"/>
      <c r="N12" s="2978"/>
      <c r="O12" s="2981" t="s">
        <v>2776</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2777</v>
      </c>
      <c r="C13" s="2985">
        <v>42301</v>
      </c>
      <c r="D13" s="2986">
        <v>4.3499999999999996</v>
      </c>
      <c r="E13" s="2986">
        <v>4.3499999999999996</v>
      </c>
      <c r="F13" s="2986">
        <v>4.75</v>
      </c>
      <c r="G13" s="2986">
        <v>4.75</v>
      </c>
      <c r="H13" s="2986">
        <v>4.9000000000000004</v>
      </c>
      <c r="I13" s="2986">
        <v>2.75</v>
      </c>
      <c r="J13" s="2986">
        <v>3.25</v>
      </c>
      <c r="K13" s="2983"/>
      <c r="L13" s="2984" t="s">
        <v>2777</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2778</v>
      </c>
      <c r="Y42" s="2990" t="s">
        <v>2778</v>
      </c>
      <c r="Z42" s="2990" t="s">
        <v>2778</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2778</v>
      </c>
      <c r="Y43" s="2990" t="s">
        <v>2778</v>
      </c>
      <c r="Z43" s="2990" t="s">
        <v>2778</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2778</v>
      </c>
      <c r="Y44" s="2990" t="s">
        <v>2778</v>
      </c>
      <c r="Z44" s="2990" t="s">
        <v>2778</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2778</v>
      </c>
      <c r="Y45" s="2990" t="s">
        <v>2778</v>
      </c>
      <c r="Z45" s="2990" t="s">
        <v>2778</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2778</v>
      </c>
      <c r="Y46" s="2990" t="s">
        <v>2778</v>
      </c>
      <c r="Z46" s="2990" t="s">
        <v>2778</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2778</v>
      </c>
      <c r="Y47" s="2990" t="s">
        <v>2778</v>
      </c>
      <c r="Z47" s="2990" t="s">
        <v>2778</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2778</v>
      </c>
      <c r="Y48" s="2990" t="s">
        <v>2778</v>
      </c>
      <c r="Z48" s="2990" t="s">
        <v>2778</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2778</v>
      </c>
      <c r="Y49" s="2990" t="s">
        <v>2778</v>
      </c>
      <c r="Z49" s="2990" t="s">
        <v>2778</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2778</v>
      </c>
      <c r="Y50" s="2990" t="s">
        <v>2778</v>
      </c>
      <c r="Z50" s="2990" t="s">
        <v>2778</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2778</v>
      </c>
      <c r="V51" s="2990" t="s">
        <v>2778</v>
      </c>
      <c r="W51" s="2990" t="s">
        <v>2778</v>
      </c>
      <c r="X51" s="2990" t="s">
        <v>2778</v>
      </c>
      <c r="Y51" s="2990" t="s">
        <v>2778</v>
      </c>
      <c r="Z51" s="2990" t="s">
        <v>2778</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2778</v>
      </c>
      <c r="J55" s="2990" t="s">
        <v>2778</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14" sqref="C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2963</v>
      </c>
      <c r="D1" s="3124" t="s">
        <v>3129</v>
      </c>
      <c r="E1" s="2387" t="s">
        <v>835</v>
      </c>
      <c r="F1" s="2388">
        <f ca="1">J53</f>
        <v>37.76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81391</v>
      </c>
      <c r="C2" s="2057"/>
      <c r="D2" s="2055"/>
      <c r="E2" s="2056"/>
      <c r="F2" s="2056"/>
      <c r="G2" s="1589"/>
      <c r="H2" s="2057"/>
      <c r="I2" s="2057"/>
      <c r="J2" s="2057"/>
      <c r="K2" s="2058"/>
      <c r="L2" s="2057"/>
      <c r="M2" s="2057"/>
    </row>
    <row r="3" spans="1:33" ht="18" customHeight="1" thickBot="1">
      <c r="A3" s="833" t="s">
        <v>484</v>
      </c>
      <c r="B3" s="834">
        <f ca="1">IF(ISERROR(B2*10000/F43),0,ROUND(B2*10000/F43,0))</f>
        <v>61660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5210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5203</v>
      </c>
      <c r="D6" s="2497" t="s">
        <v>2422</v>
      </c>
      <c r="E6" s="784" t="s">
        <v>602</v>
      </c>
      <c r="F6" s="785">
        <f ca="1">INDIRECT("'数据-取费表'!u"&amp;$G$1)</f>
        <v>12</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13200</v>
      </c>
      <c r="G7" s="1591"/>
      <c r="H7" s="2489"/>
      <c r="I7" s="3451"/>
      <c r="J7" s="788"/>
      <c r="K7" s="789"/>
      <c r="L7" s="784" t="s">
        <v>603</v>
      </c>
      <c r="M7" s="785">
        <f ca="1">F7</f>
        <v>13200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3126</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11193</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7615</v>
      </c>
      <c r="D14" s="3179" t="s">
        <v>611</v>
      </c>
      <c r="E14" s="3178"/>
      <c r="F14" s="805"/>
      <c r="G14" s="1591"/>
      <c r="H14" s="1648" t="s">
        <v>1786</v>
      </c>
      <c r="I14" s="2231" t="s">
        <v>2785</v>
      </c>
      <c r="J14" s="53">
        <f ca="1">C29</f>
        <v>11193</v>
      </c>
      <c r="K14" s="26"/>
      <c r="L14" s="801"/>
      <c r="M14" s="802"/>
    </row>
    <row r="15" spans="1:33" s="2064" customFormat="1" ht="18" customHeight="1" thickBot="1">
      <c r="A15" s="1647" t="s">
        <v>1794</v>
      </c>
      <c r="B15" s="784" t="s">
        <v>612</v>
      </c>
      <c r="C15" s="53">
        <f ca="1">ROUND(C14*F15,0)</f>
        <v>381</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1166</v>
      </c>
      <c r="K16" s="1821" t="s">
        <v>617</v>
      </c>
      <c r="L16" s="3181"/>
      <c r="M16" s="2491"/>
    </row>
    <row r="17" spans="1:33" s="2064" customFormat="1" ht="18" customHeight="1">
      <c r="A17" s="1647" t="s">
        <v>1849</v>
      </c>
      <c r="B17" s="784" t="s">
        <v>618</v>
      </c>
      <c r="C17" s="53">
        <f ca="1">ROUND(F17*(F43+INDIRECT("'数据-取费表'!S"&amp;$G$1))/10000,0)</f>
        <v>345</v>
      </c>
      <c r="D17" s="784" t="s">
        <v>1713</v>
      </c>
      <c r="E17" s="784" t="s">
        <v>1714</v>
      </c>
      <c r="F17" s="56">
        <f>'数据-取费表'!B35</f>
        <v>200</v>
      </c>
      <c r="G17" s="1592"/>
      <c r="H17" s="1648" t="s">
        <v>1786</v>
      </c>
      <c r="I17" s="784" t="s">
        <v>621</v>
      </c>
      <c r="J17" s="53">
        <f ca="1">ROUND(IF(项目基本情况!B11="自然人",J5*M17,J18+J19+J20),0)</f>
        <v>942</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114</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8455</v>
      </c>
      <c r="D19" s="261" t="s">
        <v>1719</v>
      </c>
      <c r="E19" s="3182"/>
      <c r="F19" s="56"/>
      <c r="G19" s="1591"/>
      <c r="H19" s="1647" t="s">
        <v>1794</v>
      </c>
      <c r="I19" s="784" t="s">
        <v>629</v>
      </c>
      <c r="J19" s="53">
        <f ca="1">IF(K19="按租金收入计税",ROUND(J5*M19,1),ROUND(C29*F33*0.7,1))</f>
        <v>940.2</v>
      </c>
      <c r="K19" s="811" t="s">
        <v>630</v>
      </c>
      <c r="L19" s="784" t="s">
        <v>1709</v>
      </c>
      <c r="M19" s="809">
        <f>IF(K19="按租金收入计税",'数据-取费表'!B51,'数据-取费表'!B50)</f>
        <v>1.2E-2</v>
      </c>
    </row>
    <row r="20" spans="1:33" s="2064" customFormat="1" ht="18" customHeight="1">
      <c r="A20" s="1648" t="s">
        <v>1851</v>
      </c>
      <c r="B20" s="784" t="s">
        <v>631</v>
      </c>
      <c r="C20" s="53">
        <f ca="1">ROUND(C19*F20,0)</f>
        <v>169</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1484.1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224</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410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-1166</v>
      </c>
      <c r="K25" s="2548" t="s">
        <v>665</v>
      </c>
      <c r="L25" s="2549"/>
      <c r="M25" s="2550"/>
    </row>
    <row r="26" spans="1:33" ht="18" customHeight="1">
      <c r="A26" s="1647" t="s">
        <v>1793</v>
      </c>
      <c r="B26" s="784" t="s">
        <v>2399</v>
      </c>
      <c r="C26" s="53">
        <f ca="1">ROUND((C19+C20)*F26,0)</f>
        <v>1294</v>
      </c>
      <c r="D26" s="812" t="s">
        <v>666</v>
      </c>
      <c r="E26" s="795" t="s">
        <v>667</v>
      </c>
      <c r="F26" s="794">
        <f ca="1">INDIRECT("'数据-取费表'!q"&amp;$G$1)</f>
        <v>0.15</v>
      </c>
      <c r="G26" s="1591"/>
      <c r="H26" s="2502" t="s">
        <v>1742</v>
      </c>
      <c r="I26" s="2232" t="s">
        <v>2787</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11193</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1255</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904.9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3127</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1.8</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1484.1</v>
      </c>
      <c r="G35" s="2062"/>
      <c r="H35" s="2065"/>
      <c r="I35" s="837" t="s">
        <v>1776</v>
      </c>
      <c r="J35" s="838">
        <f ca="1">ROUND(C13*J36,0)</f>
        <v>951</v>
      </c>
      <c r="K35" s="2078"/>
      <c r="L35" s="2077"/>
      <c r="M35" s="2077"/>
    </row>
    <row r="36" spans="1:18" ht="18" customHeight="1">
      <c r="A36" s="1648" t="s">
        <v>1851</v>
      </c>
      <c r="B36" s="784" t="s">
        <v>641</v>
      </c>
      <c r="C36" s="53">
        <f ca="1">ROUND(C29*F36,1)</f>
        <v>223.9</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22.4</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3955</v>
      </c>
      <c r="D39" s="2548" t="s">
        <v>665</v>
      </c>
      <c r="E39" s="2549"/>
      <c r="F39" s="2550"/>
      <c r="G39" s="2062"/>
      <c r="H39" s="2077"/>
      <c r="I39" s="837" t="s">
        <v>1780</v>
      </c>
      <c r="J39" s="845">
        <f ca="1">ROUND(J35/C39,3)</f>
        <v>0.24</v>
      </c>
      <c r="K39" s="2083"/>
      <c r="L39" s="2077"/>
      <c r="M39" s="2077"/>
    </row>
    <row r="40" spans="1:18" ht="18" customHeight="1">
      <c r="A40" s="781" t="s">
        <v>1742</v>
      </c>
      <c r="B40" s="2232" t="s">
        <v>2263</v>
      </c>
      <c r="C40" s="783">
        <f ca="1">ROUND(C39*(1-((1+F42)/(1+F40))^F41)/(F40-F42),0)</f>
        <v>81391</v>
      </c>
      <c r="D40" s="814" t="s">
        <v>669</v>
      </c>
      <c r="E40" s="784" t="s">
        <v>2380</v>
      </c>
      <c r="F40" s="794">
        <f ca="1">INDIRECT("'数据-取费表'!I"&amp;$G$1)</f>
        <v>5.5E-2</v>
      </c>
      <c r="G40" s="2062"/>
      <c r="H40" s="2062"/>
      <c r="I40" s="837" t="s">
        <v>1781</v>
      </c>
      <c r="J40" s="845">
        <f ca="1">1-J39</f>
        <v>0.76</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0.13800000000000001</v>
      </c>
      <c r="K42" s="2082"/>
      <c r="L42" s="1988"/>
      <c r="M42" s="1988"/>
    </row>
    <row r="43" spans="1:18" ht="18" customHeight="1" thickBot="1">
      <c r="A43" s="823" t="s">
        <v>1749</v>
      </c>
      <c r="B43" s="824" t="s">
        <v>1772</v>
      </c>
      <c r="C43" s="825">
        <f ca="1">ROUND(C40*10000/F43,0)</f>
        <v>61660</v>
      </c>
      <c r="D43" s="826" t="s">
        <v>1773</v>
      </c>
      <c r="E43" s="827" t="s">
        <v>1774</v>
      </c>
      <c r="F43" s="828">
        <f ca="1">INDIRECT("'数据-取费表'!k"&amp;$G$1)</f>
        <v>13200</v>
      </c>
      <c r="G43" s="2062"/>
      <c r="H43" s="1988"/>
      <c r="I43" s="847" t="s">
        <v>1784</v>
      </c>
      <c r="J43" s="848">
        <f ca="1">1-J42</f>
        <v>0.86199999999999999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-85303</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3128</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81391</v>
      </c>
      <c r="R48" s="2399" t="s">
        <v>2341</v>
      </c>
    </row>
    <row r="49" spans="1:18" s="2059" customFormat="1" ht="18" customHeight="1" thickBot="1">
      <c r="A49" s="786"/>
      <c r="B49" s="787"/>
      <c r="C49" s="788"/>
      <c r="D49" s="789"/>
      <c r="E49" s="784" t="s">
        <v>603</v>
      </c>
      <c r="F49" s="785">
        <f ca="1">F7</f>
        <v>13200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11193</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55149</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81391</v>
      </c>
      <c r="R54" s="2403" t="s">
        <v>2353</v>
      </c>
    </row>
    <row r="55" spans="1:18" s="2059" customFormat="1" ht="18" customHeight="1" thickTop="1" thickBot="1">
      <c r="A55" s="797">
        <v>2</v>
      </c>
      <c r="B55" s="798" t="s">
        <v>609</v>
      </c>
      <c r="C55" s="799">
        <f ca="1">C13</f>
        <v>11193</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11193</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248</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81391</v>
      </c>
      <c r="R57" s="2399" t="s">
        <v>2341</v>
      </c>
    </row>
    <row r="58" spans="1:18" s="2059" customFormat="1" ht="28.5" customHeight="1" thickBot="1">
      <c r="A58" s="1648" t="s">
        <v>1786</v>
      </c>
      <c r="B58" s="784" t="s">
        <v>621</v>
      </c>
      <c r="C58" s="53">
        <f ca="1">ROUND(IF(项目基本情况!B11="自然人",C47*F58,C59+C60+C61),1)</f>
        <v>1.8</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1.8</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1484.1</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223.9</v>
      </c>
      <c r="D63" s="3180" t="s">
        <v>656</v>
      </c>
      <c r="E63" s="784" t="s">
        <v>1709</v>
      </c>
      <c r="F63" s="817">
        <f t="shared" ca="1" si="0"/>
        <v>0.02</v>
      </c>
      <c r="I63" s="3172" t="s">
        <v>2331</v>
      </c>
      <c r="J63" s="3173">
        <v>70</v>
      </c>
      <c r="K63" s="3173">
        <v>50</v>
      </c>
      <c r="L63" s="3173">
        <v>80</v>
      </c>
      <c r="M63" s="3175">
        <v>0.02</v>
      </c>
      <c r="O63" s="2398" t="s">
        <v>2352</v>
      </c>
      <c r="P63" s="2399" t="s">
        <v>2369</v>
      </c>
      <c r="Q63" s="2400">
        <f ca="1">Q57+Q58</f>
        <v>81391</v>
      </c>
      <c r="R63" s="2403" t="s">
        <v>2353</v>
      </c>
    </row>
    <row r="64" spans="1:18" s="2059" customFormat="1" ht="16.2" thickBot="1">
      <c r="A64" s="1648" t="s">
        <v>1852</v>
      </c>
      <c r="B64" s="784" t="s">
        <v>644</v>
      </c>
      <c r="C64" s="53">
        <f ca="1">ROUND(C55*F64,1)</f>
        <v>22.4</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-248</v>
      </c>
      <c r="D66" s="3179" t="s">
        <v>665</v>
      </c>
      <c r="E66" s="3177"/>
      <c r="F66" s="820"/>
      <c r="K66" s="2086"/>
      <c r="O66" s="2398" t="s">
        <v>2340</v>
      </c>
      <c r="P66" s="2399" t="s">
        <v>2366</v>
      </c>
      <c r="Q66" s="2400">
        <f ca="1">C40+J29</f>
        <v>81391</v>
      </c>
      <c r="R66" s="2399" t="s">
        <v>2341</v>
      </c>
    </row>
    <row r="67" spans="1:18" s="2059" customFormat="1" ht="19.2" thickBot="1">
      <c r="A67" s="781" t="s">
        <v>1742</v>
      </c>
      <c r="B67" s="2232" t="s">
        <v>2263</v>
      </c>
      <c r="C67" s="783">
        <f ca="1">ROUND(C66*(1-((1+F69)/(1+F67))^F68)/(F67-F69),0)</f>
        <v>-3912</v>
      </c>
      <c r="D67" s="814" t="s">
        <v>669</v>
      </c>
      <c r="E67" s="784" t="s">
        <v>670</v>
      </c>
      <c r="F67" s="794">
        <f ca="1">F40</f>
        <v>5.5E-2</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55149</v>
      </c>
      <c r="R68" s="2406" t="s">
        <v>2377</v>
      </c>
    </row>
    <row r="69" spans="1:18" ht="19.2" thickBot="1">
      <c r="A69" s="790"/>
      <c r="B69" s="791"/>
      <c r="C69" s="792"/>
      <c r="D69" s="816"/>
      <c r="E69" s="784" t="s">
        <v>675</v>
      </c>
      <c r="F69" s="2371"/>
      <c r="O69" s="2401" t="s">
        <v>2345</v>
      </c>
      <c r="P69" s="2407" t="s">
        <v>2359</v>
      </c>
      <c r="Q69" s="2400">
        <f ca="1">ROUND(Q70-Q71*Q72,0)</f>
        <v>3004</v>
      </c>
      <c r="R69" s="2403"/>
    </row>
    <row r="70" spans="1:18" ht="16.2" thickBot="1">
      <c r="A70" s="823" t="s">
        <v>1749</v>
      </c>
      <c r="B70" s="824" t="s">
        <v>1772</v>
      </c>
      <c r="C70" s="825">
        <f ca="1">ROUND(C67*10000/F70,0)</f>
        <v>-2964</v>
      </c>
      <c r="D70" s="826" t="s">
        <v>1773</v>
      </c>
      <c r="E70" s="827" t="s">
        <v>1774</v>
      </c>
      <c r="F70" s="828">
        <f ca="1">F43</f>
        <v>13200</v>
      </c>
      <c r="O70" s="2401" t="s">
        <v>2360</v>
      </c>
      <c r="P70" s="2407" t="s">
        <v>2361</v>
      </c>
      <c r="Q70" s="2400">
        <f ca="1">C39</f>
        <v>3955</v>
      </c>
      <c r="R70" s="2399" t="s">
        <v>2341</v>
      </c>
    </row>
    <row r="71" spans="1:18" ht="16.2" thickBot="1">
      <c r="O71" s="2401" t="s">
        <v>2362</v>
      </c>
      <c r="P71" s="2407" t="s">
        <v>2363</v>
      </c>
      <c r="Q71" s="2400">
        <f ca="1">C13</f>
        <v>11193</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81391</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2965</v>
      </c>
      <c r="D1" s="3124" t="s">
        <v>3129</v>
      </c>
      <c r="E1" s="2387" t="s">
        <v>835</v>
      </c>
      <c r="F1" s="2388">
        <f ca="1">J53</f>
        <v>37.76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0</v>
      </c>
      <c r="D6" s="2497" t="s">
        <v>2422</v>
      </c>
      <c r="E6" s="784" t="s">
        <v>602</v>
      </c>
      <c r="F6" s="785">
        <f ca="1">INDIRECT("'数据-取费表'!u"&amp;$G$1)</f>
        <v>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21600</v>
      </c>
      <c r="G7" s="1591"/>
      <c r="H7" s="2489"/>
      <c r="I7" s="3451"/>
      <c r="J7" s="788"/>
      <c r="K7" s="789"/>
      <c r="L7" s="784" t="s">
        <v>603</v>
      </c>
      <c r="M7" s="785">
        <f ca="1">F7</f>
        <v>21600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0</v>
      </c>
      <c r="D10" s="2501" t="s">
        <v>2923</v>
      </c>
      <c r="E10" s="2498" t="s">
        <v>2424</v>
      </c>
      <c r="F10" s="2621" t="s">
        <v>3126</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22277</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14621</v>
      </c>
      <c r="D14" s="3179" t="s">
        <v>611</v>
      </c>
      <c r="E14" s="3178"/>
      <c r="F14" s="805"/>
      <c r="G14" s="1591"/>
      <c r="H14" s="1648" t="s">
        <v>1786</v>
      </c>
      <c r="I14" s="2231" t="s">
        <v>2785</v>
      </c>
      <c r="J14" s="53">
        <f ca="1">C29</f>
        <v>22277</v>
      </c>
      <c r="K14" s="26"/>
      <c r="L14" s="801"/>
      <c r="M14" s="802"/>
    </row>
    <row r="15" spans="1:33" s="2064" customFormat="1" ht="18" customHeight="1" thickBot="1">
      <c r="A15" s="1647" t="s">
        <v>1794</v>
      </c>
      <c r="B15" s="784" t="s">
        <v>612</v>
      </c>
      <c r="C15" s="53">
        <f ca="1">ROUND(C14*F15,0)</f>
        <v>731</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2320</v>
      </c>
      <c r="K16" s="1821" t="s">
        <v>617</v>
      </c>
      <c r="L16" s="3181"/>
      <c r="M16" s="2491"/>
    </row>
    <row r="17" spans="1:33" s="2064" customFormat="1" ht="18" customHeight="1">
      <c r="A17" s="1647" t="s">
        <v>1849</v>
      </c>
      <c r="B17" s="784" t="s">
        <v>618</v>
      </c>
      <c r="C17" s="53">
        <f ca="1">ROUND(F17*(F43+INDIRECT("'数据-取费表'!S"&amp;$G$1))/10000,0)</f>
        <v>565</v>
      </c>
      <c r="D17" s="784" t="s">
        <v>1713</v>
      </c>
      <c r="E17" s="784" t="s">
        <v>1714</v>
      </c>
      <c r="F17" s="56">
        <f>'数据-取费表'!B35</f>
        <v>200</v>
      </c>
      <c r="G17" s="1592"/>
      <c r="H17" s="1648" t="s">
        <v>1786</v>
      </c>
      <c r="I17" s="784" t="s">
        <v>621</v>
      </c>
      <c r="J17" s="53">
        <f ca="1">ROUND(IF(项目基本情况!B11="自然人",J5*M17,J18+J19+J20),0)</f>
        <v>1874</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219</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16136</v>
      </c>
      <c r="D19" s="261" t="s">
        <v>1719</v>
      </c>
      <c r="E19" s="3182"/>
      <c r="F19" s="56"/>
      <c r="G19" s="1591"/>
      <c r="H19" s="1647" t="s">
        <v>1794</v>
      </c>
      <c r="I19" s="784" t="s">
        <v>629</v>
      </c>
      <c r="J19" s="53">
        <f ca="1">IF(K19="按租金收入计税",ROUND(J5*M19,1),ROUND(C29*F33*0.7,1))</f>
        <v>1871.3</v>
      </c>
      <c r="K19" s="811" t="s">
        <v>630</v>
      </c>
      <c r="L19" s="784" t="s">
        <v>1709</v>
      </c>
      <c r="M19" s="809">
        <f>IF(K19="按租金收入计税",'数据-取费表'!B51,'数据-取费表'!B50)</f>
        <v>1.2E-2</v>
      </c>
    </row>
    <row r="20" spans="1:33" s="2064" customFormat="1" ht="18" customHeight="1">
      <c r="A20" s="1648" t="s">
        <v>1851</v>
      </c>
      <c r="B20" s="784" t="s">
        <v>631</v>
      </c>
      <c r="C20" s="53">
        <f ca="1">ROUND(C19*F20,0)</f>
        <v>323</v>
      </c>
      <c r="D20" s="812" t="s">
        <v>632</v>
      </c>
      <c r="E20" s="784" t="s">
        <v>1709</v>
      </c>
      <c r="F20" s="809">
        <f>'数据-取费表'!B37</f>
        <v>0.02</v>
      </c>
      <c r="G20" s="1592"/>
      <c r="H20" s="1650" t="s">
        <v>1795</v>
      </c>
      <c r="I20" s="341" t="s">
        <v>633</v>
      </c>
      <c r="J20" s="54">
        <f ca="1">ROUND(M20*M21/10000,0)</f>
        <v>3</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2428.5299999999997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446</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782</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-2320</v>
      </c>
      <c r="K25" s="2548" t="s">
        <v>665</v>
      </c>
      <c r="L25" s="2549"/>
      <c r="M25" s="2550"/>
    </row>
    <row r="26" spans="1:33" ht="18" customHeight="1">
      <c r="A26" s="1647" t="s">
        <v>1793</v>
      </c>
      <c r="B26" s="784" t="s">
        <v>2399</v>
      </c>
      <c r="C26" s="53">
        <f ca="1">ROUND((C19+C20)*F26,0)</f>
        <v>3292</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22277</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493</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2.9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3127</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2.9</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2428.5299999999997</v>
      </c>
      <c r="G35" s="2062"/>
      <c r="H35" s="2065"/>
      <c r="I35" s="837" t="s">
        <v>1776</v>
      </c>
      <c r="J35" s="838">
        <f ca="1">ROUND(C13*J36,0)</f>
        <v>1894</v>
      </c>
      <c r="K35" s="2078"/>
      <c r="L35" s="2077"/>
      <c r="M35" s="2077"/>
    </row>
    <row r="36" spans="1:18" ht="18" customHeight="1">
      <c r="A36" s="1648" t="s">
        <v>1851</v>
      </c>
      <c r="B36" s="784" t="s">
        <v>641</v>
      </c>
      <c r="C36" s="53">
        <f ca="1">ROUND(C29*F36,1)</f>
        <v>445.5</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44.6</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-493</v>
      </c>
      <c r="D39" s="2548" t="s">
        <v>665</v>
      </c>
      <c r="E39" s="2549"/>
      <c r="F39" s="2550"/>
      <c r="G39" s="2062"/>
      <c r="H39" s="2077"/>
      <c r="I39" s="837" t="s">
        <v>1780</v>
      </c>
      <c r="J39" s="845">
        <f ca="1">ROUND(J35/C39,3)</f>
        <v>-3.8420000000000001</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4.8420000000000005</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3128</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22277</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-43819</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22277</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22277</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493</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2.9</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2.9</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2428.5299999999997</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445.5</v>
      </c>
      <c r="D63" s="3180" t="s">
        <v>656</v>
      </c>
      <c r="E63" s="784" t="s">
        <v>1709</v>
      </c>
      <c r="F63" s="817">
        <f t="shared" ca="1" si="0"/>
        <v>0.02</v>
      </c>
      <c r="I63" s="3172" t="s">
        <v>2331</v>
      </c>
      <c r="J63" s="3173">
        <v>70</v>
      </c>
      <c r="K63" s="3173">
        <v>50</v>
      </c>
      <c r="L63" s="3173">
        <v>80</v>
      </c>
      <c r="M63" s="3175">
        <v>0.02</v>
      </c>
      <c r="O63" s="2398" t="s">
        <v>2352</v>
      </c>
      <c r="P63" s="2399" t="s">
        <v>2369</v>
      </c>
      <c r="Q63" s="2400">
        <f ca="1">Q57+Q58</f>
        <v>0</v>
      </c>
      <c r="R63" s="2403" t="s">
        <v>2353</v>
      </c>
    </row>
    <row r="64" spans="1:18" s="2059" customFormat="1" ht="16.2" thickBot="1">
      <c r="A64" s="1648" t="s">
        <v>1852</v>
      </c>
      <c r="B64" s="784" t="s">
        <v>644</v>
      </c>
      <c r="C64" s="53">
        <f ca="1">ROUND(C55*F64,1)</f>
        <v>44.6</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-493</v>
      </c>
      <c r="D66" s="3179" t="s">
        <v>665</v>
      </c>
      <c r="E66" s="3177"/>
      <c r="F66" s="820"/>
      <c r="K66" s="2086"/>
      <c r="O66" s="2398" t="s">
        <v>2340</v>
      </c>
      <c r="P66" s="2399" t="s">
        <v>2366</v>
      </c>
      <c r="Q66" s="2400">
        <f ca="1">C40+J29</f>
        <v>0</v>
      </c>
      <c r="R66" s="2399" t="s">
        <v>2341</v>
      </c>
    </row>
    <row r="67" spans="1:18" s="2059" customFormat="1" ht="19.2"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0.399999999999999" thickBot="1">
      <c r="A68" s="786"/>
      <c r="B68" s="787"/>
      <c r="C68" s="788"/>
      <c r="D68" s="821" t="s">
        <v>1770</v>
      </c>
      <c r="E68" s="784" t="s">
        <v>673</v>
      </c>
      <c r="F68" s="822">
        <f ca="1">F41</f>
        <v>0</v>
      </c>
      <c r="O68" s="2401" t="s">
        <v>2344</v>
      </c>
      <c r="P68" s="2399" t="s">
        <v>2374</v>
      </c>
      <c r="Q68" s="2405">
        <f ca="1">L51</f>
        <v>-43819</v>
      </c>
      <c r="R68" s="2406" t="s">
        <v>2377</v>
      </c>
    </row>
    <row r="69" spans="1:18" ht="19.2" thickBot="1">
      <c r="A69" s="790"/>
      <c r="B69" s="791"/>
      <c r="C69" s="792"/>
      <c r="D69" s="816"/>
      <c r="E69" s="784" t="s">
        <v>675</v>
      </c>
      <c r="F69" s="2371"/>
      <c r="O69" s="2401" t="s">
        <v>2345</v>
      </c>
      <c r="P69" s="2407" t="s">
        <v>2359</v>
      </c>
      <c r="Q69" s="2400">
        <f ca="1">ROUND(Q70-Q71*Q72,0)</f>
        <v>-2387</v>
      </c>
      <c r="R69" s="2403"/>
    </row>
    <row r="70" spans="1:18" ht="16.2" thickBot="1">
      <c r="A70" s="823" t="s">
        <v>1749</v>
      </c>
      <c r="B70" s="824" t="s">
        <v>1772</v>
      </c>
      <c r="C70" s="825">
        <f ca="1">ROUND(C67*10000/F70,0)</f>
        <v>0</v>
      </c>
      <c r="D70" s="826" t="s">
        <v>1773</v>
      </c>
      <c r="E70" s="827" t="s">
        <v>1774</v>
      </c>
      <c r="F70" s="828">
        <f ca="1">F43</f>
        <v>21600</v>
      </c>
      <c r="O70" s="2401" t="s">
        <v>2360</v>
      </c>
      <c r="P70" s="2407" t="s">
        <v>2361</v>
      </c>
      <c r="Q70" s="2400">
        <f ca="1">C39</f>
        <v>-493</v>
      </c>
      <c r="R70" s="2399" t="s">
        <v>2341</v>
      </c>
    </row>
    <row r="71" spans="1:18" ht="16.2" thickBot="1">
      <c r="O71" s="2401" t="s">
        <v>2362</v>
      </c>
      <c r="P71" s="2407" t="s">
        <v>2363</v>
      </c>
      <c r="Q71" s="2400">
        <f ca="1">C13</f>
        <v>22277</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14" sqref="C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2969</v>
      </c>
      <c r="D1" s="3124" t="s">
        <v>3129</v>
      </c>
      <c r="E1" s="2387" t="s">
        <v>835</v>
      </c>
      <c r="F1" s="2388">
        <f ca="1">J53</f>
        <v>37.76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68233</v>
      </c>
      <c r="C2" s="2057"/>
      <c r="D2" s="2055"/>
      <c r="E2" s="2056"/>
      <c r="F2" s="2056"/>
      <c r="G2" s="1589"/>
      <c r="H2" s="2057"/>
      <c r="I2" s="2057"/>
      <c r="J2" s="2057"/>
      <c r="K2" s="2058"/>
      <c r="L2" s="2057"/>
      <c r="M2" s="2057"/>
    </row>
    <row r="3" spans="1:33" ht="18" customHeight="1" thickBot="1">
      <c r="A3" s="833" t="s">
        <v>484</v>
      </c>
      <c r="B3" s="834">
        <f ca="1">IF(ISERROR(B2*10000/F43),0,ROUND(B2*10000/F43,0))</f>
        <v>77538</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4631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4625</v>
      </c>
      <c r="D6" s="2497" t="s">
        <v>2422</v>
      </c>
      <c r="E6" s="784" t="s">
        <v>602</v>
      </c>
      <c r="F6" s="785">
        <f ca="1">INDIRECT("'数据-取费表'!u"&amp;$G$1)</f>
        <v>16</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8800</v>
      </c>
      <c r="G7" s="1591"/>
      <c r="H7" s="2489"/>
      <c r="I7" s="3451"/>
      <c r="J7" s="788"/>
      <c r="K7" s="789"/>
      <c r="L7" s="784" t="s">
        <v>603</v>
      </c>
      <c r="M7" s="785">
        <f ca="1">F7</f>
        <v>8800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6</v>
      </c>
      <c r="D10" s="2501" t="s">
        <v>2923</v>
      </c>
      <c r="E10" s="2498" t="s">
        <v>2424</v>
      </c>
      <c r="F10" s="2621" t="s">
        <v>3126</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7782</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5077</v>
      </c>
      <c r="D14" s="3179" t="s">
        <v>611</v>
      </c>
      <c r="E14" s="3178"/>
      <c r="F14" s="805"/>
      <c r="G14" s="1591"/>
      <c r="H14" s="1648" t="s">
        <v>1786</v>
      </c>
      <c r="I14" s="2231" t="s">
        <v>2785</v>
      </c>
      <c r="J14" s="53">
        <f ca="1">C29</f>
        <v>7782</v>
      </c>
      <c r="K14" s="26"/>
      <c r="L14" s="801"/>
      <c r="M14" s="802"/>
    </row>
    <row r="15" spans="1:33" s="2064" customFormat="1" ht="18" customHeight="1" thickBot="1">
      <c r="A15" s="1647" t="s">
        <v>1794</v>
      </c>
      <c r="B15" s="784" t="s">
        <v>612</v>
      </c>
      <c r="C15" s="53">
        <f ca="1">ROUND(C14*F15,0)</f>
        <v>254</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811</v>
      </c>
      <c r="K16" s="1821" t="s">
        <v>617</v>
      </c>
      <c r="L16" s="3181"/>
      <c r="M16" s="2491"/>
    </row>
    <row r="17" spans="1:33" s="2064" customFormat="1" ht="18" customHeight="1">
      <c r="A17" s="1647" t="s">
        <v>1849</v>
      </c>
      <c r="B17" s="784" t="s">
        <v>618</v>
      </c>
      <c r="C17" s="53">
        <f ca="1">ROUND(F17*(F43+INDIRECT("'数据-取费表'!S"&amp;$G$1))/10000,0)</f>
        <v>230</v>
      </c>
      <c r="D17" s="784" t="s">
        <v>1713</v>
      </c>
      <c r="E17" s="784" t="s">
        <v>1714</v>
      </c>
      <c r="F17" s="56">
        <f>'数据-取费表'!B35</f>
        <v>200</v>
      </c>
      <c r="G17" s="1592"/>
      <c r="H17" s="1648" t="s">
        <v>1786</v>
      </c>
      <c r="I17" s="784" t="s">
        <v>621</v>
      </c>
      <c r="J17" s="53">
        <f ca="1">ROUND(IF(项目基本情况!B11="自然人",J5*M17,J18+J19+J20),0)</f>
        <v>655</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76</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5637</v>
      </c>
      <c r="D19" s="261" t="s">
        <v>1719</v>
      </c>
      <c r="E19" s="3182"/>
      <c r="F19" s="56"/>
      <c r="G19" s="1591"/>
      <c r="H19" s="1647" t="s">
        <v>1794</v>
      </c>
      <c r="I19" s="784" t="s">
        <v>629</v>
      </c>
      <c r="J19" s="53">
        <f ca="1">IF(K19="按租金收入计税",ROUND(J5*M19,1),ROUND(C29*F33*0.7,1))</f>
        <v>653.70000000000005</v>
      </c>
      <c r="K19" s="811" t="s">
        <v>630</v>
      </c>
      <c r="L19" s="784" t="s">
        <v>1709</v>
      </c>
      <c r="M19" s="809">
        <f>IF(K19="按租金收入计税",'数据-取费表'!B51,'数据-取费表'!B50)</f>
        <v>1.2E-2</v>
      </c>
    </row>
    <row r="20" spans="1:33" s="2064" customFormat="1" ht="18" customHeight="1">
      <c r="A20" s="1648" t="s">
        <v>1851</v>
      </c>
      <c r="B20" s="784" t="s">
        <v>631</v>
      </c>
      <c r="C20" s="53">
        <f ca="1">ROUND(C19*F20,0)</f>
        <v>113</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989.40000000000009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156</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273</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-811</v>
      </c>
      <c r="K25" s="2548" t="s">
        <v>665</v>
      </c>
      <c r="L25" s="2549"/>
      <c r="M25" s="2550"/>
    </row>
    <row r="26" spans="1:33" ht="18" customHeight="1">
      <c r="A26" s="1647" t="s">
        <v>1793</v>
      </c>
      <c r="B26" s="784" t="s">
        <v>2399</v>
      </c>
      <c r="C26" s="53">
        <f ca="1">ROUND((C19+C20)*F26,0)</f>
        <v>1150</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7782</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1068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803.9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247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555.70000000000005</v>
      </c>
      <c r="D33" s="811" t="s">
        <v>3127</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989.40000000000009</v>
      </c>
      <c r="G35" s="2062"/>
      <c r="H35" s="2065"/>
      <c r="I35" s="837" t="s">
        <v>1776</v>
      </c>
      <c r="J35" s="838">
        <f ca="1">ROUND(C13*J36,0)</f>
        <v>661</v>
      </c>
      <c r="K35" s="2078"/>
      <c r="L35" s="2077"/>
      <c r="M35" s="2077"/>
    </row>
    <row r="36" spans="1:18" ht="18" customHeight="1">
      <c r="A36" s="1648" t="s">
        <v>1851</v>
      </c>
      <c r="B36" s="784" t="s">
        <v>641</v>
      </c>
      <c r="C36" s="53">
        <f ca="1">ROUND(C29*F36,1)</f>
        <v>155.6</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15.6</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92.6</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3563</v>
      </c>
      <c r="D39" s="2548" t="s">
        <v>665</v>
      </c>
      <c r="E39" s="2549"/>
      <c r="F39" s="2550"/>
      <c r="G39" s="2062"/>
      <c r="H39" s="2077"/>
      <c r="I39" s="837" t="s">
        <v>1780</v>
      </c>
      <c r="J39" s="845">
        <f ca="1">ROUND(J35/C39,3)</f>
        <v>0.186</v>
      </c>
      <c r="K39" s="2083"/>
      <c r="L39" s="2077"/>
      <c r="M39" s="2077"/>
    </row>
    <row r="40" spans="1:18" ht="18" customHeight="1">
      <c r="A40" s="781" t="s">
        <v>1742</v>
      </c>
      <c r="B40" s="2232" t="s">
        <v>2263</v>
      </c>
      <c r="C40" s="783">
        <f ca="1">ROUND(C39*(1-((1+F42)/(1+F40))^F41)/(F40-F42),0)</f>
        <v>68233</v>
      </c>
      <c r="D40" s="814" t="s">
        <v>669</v>
      </c>
      <c r="E40" s="784" t="s">
        <v>2380</v>
      </c>
      <c r="F40" s="794">
        <f ca="1">INDIRECT("'数据-取费表'!I"&amp;$G$1)</f>
        <v>0.06</v>
      </c>
      <c r="G40" s="2062"/>
      <c r="H40" s="2062"/>
      <c r="I40" s="837" t="s">
        <v>1781</v>
      </c>
      <c r="J40" s="845">
        <f ca="1">1-J39</f>
        <v>0.81400000000000006</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0.114</v>
      </c>
      <c r="K42" s="2082"/>
      <c r="L42" s="1988"/>
      <c r="M42" s="1988"/>
    </row>
    <row r="43" spans="1:18" ht="18" customHeight="1" thickBot="1">
      <c r="A43" s="823" t="s">
        <v>1749</v>
      </c>
      <c r="B43" s="824" t="s">
        <v>1772</v>
      </c>
      <c r="C43" s="825">
        <f ca="1">ROUND(C40*10000/F43,0)</f>
        <v>77538</v>
      </c>
      <c r="D43" s="826" t="s">
        <v>1773</v>
      </c>
      <c r="E43" s="827" t="s">
        <v>1774</v>
      </c>
      <c r="F43" s="828">
        <f ca="1">INDIRECT("'数据-取费表'!k"&amp;$G$1)</f>
        <v>8800</v>
      </c>
      <c r="G43" s="2062"/>
      <c r="H43" s="1988"/>
      <c r="I43" s="847" t="s">
        <v>1784</v>
      </c>
      <c r="J43" s="848">
        <f ca="1">1-J42</f>
        <v>0.88600000000000001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-70782</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3128</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68233</v>
      </c>
      <c r="R48" s="2399" t="s">
        <v>2341</v>
      </c>
    </row>
    <row r="49" spans="1:18" s="2059" customFormat="1" ht="18" customHeight="1" thickBot="1">
      <c r="A49" s="786"/>
      <c r="B49" s="787"/>
      <c r="C49" s="788"/>
      <c r="D49" s="789"/>
      <c r="E49" s="784" t="s">
        <v>603</v>
      </c>
      <c r="F49" s="785">
        <f ca="1">F7</f>
        <v>8800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7782</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53275</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68233</v>
      </c>
      <c r="R54" s="2403" t="s">
        <v>2353</v>
      </c>
    </row>
    <row r="55" spans="1:18" s="2059" customFormat="1" ht="18" customHeight="1" thickTop="1" thickBot="1">
      <c r="A55" s="797">
        <v>2</v>
      </c>
      <c r="B55" s="798" t="s">
        <v>609</v>
      </c>
      <c r="C55" s="799">
        <f ca="1">C13</f>
        <v>7782</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7782</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172</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68233</v>
      </c>
      <c r="R57" s="2399" t="s">
        <v>2341</v>
      </c>
    </row>
    <row r="58" spans="1:18" s="2059" customFormat="1" ht="28.5" customHeight="1" thickBot="1">
      <c r="A58" s="1648" t="s">
        <v>1786</v>
      </c>
      <c r="B58" s="784" t="s">
        <v>621</v>
      </c>
      <c r="C58" s="53">
        <f ca="1">ROUND(IF(项目基本情况!B11="自然人",C47*F58,C59+C60+C61),1)</f>
        <v>1.2</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1.2</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989.40000000000009</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155.6</v>
      </c>
      <c r="D63" s="3180" t="s">
        <v>656</v>
      </c>
      <c r="E63" s="784" t="s">
        <v>1709</v>
      </c>
      <c r="F63" s="817">
        <f t="shared" ca="1" si="0"/>
        <v>0.02</v>
      </c>
      <c r="I63" s="3172" t="s">
        <v>2331</v>
      </c>
      <c r="J63" s="3173">
        <v>70</v>
      </c>
      <c r="K63" s="3173">
        <v>50</v>
      </c>
      <c r="L63" s="3173">
        <v>80</v>
      </c>
      <c r="M63" s="3175">
        <v>0.02</v>
      </c>
      <c r="O63" s="2398" t="s">
        <v>2352</v>
      </c>
      <c r="P63" s="2399" t="s">
        <v>2369</v>
      </c>
      <c r="Q63" s="2400">
        <f ca="1">Q57+Q58</f>
        <v>68233</v>
      </c>
      <c r="R63" s="2403" t="s">
        <v>2353</v>
      </c>
    </row>
    <row r="64" spans="1:18" s="2059" customFormat="1" ht="16.2" thickBot="1">
      <c r="A64" s="1648" t="s">
        <v>1852</v>
      </c>
      <c r="B64" s="784" t="s">
        <v>644</v>
      </c>
      <c r="C64" s="53">
        <f ca="1">ROUND(C55*F64,1)</f>
        <v>15.6</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-172</v>
      </c>
      <c r="D66" s="3179" t="s">
        <v>665</v>
      </c>
      <c r="E66" s="3177"/>
      <c r="F66" s="820"/>
      <c r="K66" s="2086"/>
      <c r="O66" s="2398" t="s">
        <v>2340</v>
      </c>
      <c r="P66" s="2399" t="s">
        <v>2366</v>
      </c>
      <c r="Q66" s="2400">
        <f ca="1">C40+J29</f>
        <v>68233</v>
      </c>
      <c r="R66" s="2399" t="s">
        <v>2341</v>
      </c>
    </row>
    <row r="67" spans="1:18" s="2059" customFormat="1" ht="19.2" thickBot="1">
      <c r="A67" s="781" t="s">
        <v>1742</v>
      </c>
      <c r="B67" s="2232" t="s">
        <v>2263</v>
      </c>
      <c r="C67" s="783">
        <f ca="1">ROUND(C66*(1-((1+F69)/(1+F67))^F68)/(F67-F69),0)</f>
        <v>-2549</v>
      </c>
      <c r="D67" s="814" t="s">
        <v>669</v>
      </c>
      <c r="E67" s="784" t="s">
        <v>670</v>
      </c>
      <c r="F67" s="794">
        <f ca="1">F40</f>
        <v>0.06</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53275</v>
      </c>
      <c r="R68" s="2406" t="s">
        <v>2377</v>
      </c>
    </row>
    <row r="69" spans="1:18" ht="19.2" thickBot="1">
      <c r="A69" s="790"/>
      <c r="B69" s="791"/>
      <c r="C69" s="792"/>
      <c r="D69" s="816"/>
      <c r="E69" s="784" t="s">
        <v>675</v>
      </c>
      <c r="F69" s="2371"/>
      <c r="O69" s="2401" t="s">
        <v>2345</v>
      </c>
      <c r="P69" s="2407" t="s">
        <v>2359</v>
      </c>
      <c r="Q69" s="2400">
        <f ca="1">ROUND(Q70-Q71*Q72,0)</f>
        <v>2902</v>
      </c>
      <c r="R69" s="2403"/>
    </row>
    <row r="70" spans="1:18" ht="16.2" thickBot="1">
      <c r="A70" s="823" t="s">
        <v>1749</v>
      </c>
      <c r="B70" s="824" t="s">
        <v>1772</v>
      </c>
      <c r="C70" s="825">
        <f ca="1">ROUND(C67*10000/F70,0)</f>
        <v>-2897</v>
      </c>
      <c r="D70" s="826" t="s">
        <v>1773</v>
      </c>
      <c r="E70" s="827" t="s">
        <v>1774</v>
      </c>
      <c r="F70" s="828">
        <f ca="1">F43</f>
        <v>8800</v>
      </c>
      <c r="O70" s="2401" t="s">
        <v>2360</v>
      </c>
      <c r="P70" s="2407" t="s">
        <v>2361</v>
      </c>
      <c r="Q70" s="2400">
        <f ca="1">C39</f>
        <v>3563</v>
      </c>
      <c r="R70" s="2399" t="s">
        <v>2341</v>
      </c>
    </row>
    <row r="71" spans="1:18" ht="16.2" thickBot="1">
      <c r="O71" s="2401" t="s">
        <v>2362</v>
      </c>
      <c r="P71" s="2407" t="s">
        <v>2363</v>
      </c>
      <c r="Q71" s="2400">
        <f ca="1">C13</f>
        <v>7782</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68233</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4" sqref="C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1687</v>
      </c>
      <c r="B1" s="738"/>
      <c r="C1" s="773" t="s">
        <v>2931</v>
      </c>
      <c r="D1" s="3124" t="s">
        <v>3129</v>
      </c>
      <c r="E1" s="2387" t="s">
        <v>835</v>
      </c>
      <c r="F1" s="2388">
        <f ca="1">J53</f>
        <v>37.76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18215</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1081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1080</v>
      </c>
      <c r="D6" s="2497" t="s">
        <v>2422</v>
      </c>
      <c r="E6" s="784" t="s">
        <v>602</v>
      </c>
      <c r="F6" s="785">
        <f ca="1">INDIRECT("'数据-取费表'!u"&amp;$G$1)</f>
        <v>2000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500</v>
      </c>
      <c r="G7" s="1591"/>
      <c r="H7" s="2489"/>
      <c r="I7" s="3451"/>
      <c r="J7" s="788"/>
      <c r="K7" s="789"/>
      <c r="L7" s="784" t="s">
        <v>603</v>
      </c>
      <c r="M7" s="785">
        <f ca="1">F7</f>
        <v>500</v>
      </c>
    </row>
    <row r="8" spans="1:33" ht="18" customHeight="1">
      <c r="A8" s="2493"/>
      <c r="B8" s="3452"/>
      <c r="C8" s="788"/>
      <c r="D8" s="789"/>
      <c r="E8" s="784" t="s">
        <v>604</v>
      </c>
      <c r="F8" s="785">
        <f ca="1">INDIRECT("'数据-取费表'!ai"&amp;$G$1)</f>
        <v>12</v>
      </c>
      <c r="G8" s="1591"/>
      <c r="H8" s="2489"/>
      <c r="I8" s="3452"/>
      <c r="J8" s="788"/>
      <c r="K8" s="789"/>
      <c r="L8" s="784" t="s">
        <v>604</v>
      </c>
      <c r="M8" s="785">
        <f ca="1">INDIRECT("'数据-取费表'!ai"&amp;$G$1)</f>
        <v>12</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1</v>
      </c>
      <c r="D10" s="2501" t="s">
        <v>2923</v>
      </c>
      <c r="E10" s="2498" t="s">
        <v>2424</v>
      </c>
      <c r="F10" s="2621" t="s">
        <v>3126</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0</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0</v>
      </c>
      <c r="D14" s="3179" t="s">
        <v>611</v>
      </c>
      <c r="E14" s="3178"/>
      <c r="F14" s="805"/>
      <c r="G14" s="1591"/>
      <c r="H14" s="1648" t="s">
        <v>1786</v>
      </c>
      <c r="I14" s="2231" t="s">
        <v>2785</v>
      </c>
      <c r="J14" s="53">
        <f ca="1">C29</f>
        <v>0</v>
      </c>
      <c r="K14" s="26"/>
      <c r="L14" s="801"/>
      <c r="M14" s="802"/>
    </row>
    <row r="15" spans="1:33" s="2064" customFormat="1" ht="18" customHeight="1" thickBot="1">
      <c r="A15" s="1647" t="s">
        <v>1794</v>
      </c>
      <c r="B15" s="784" t="s">
        <v>612</v>
      </c>
      <c r="C15" s="53">
        <f ca="1">ROUND(C14*F15,0)</f>
        <v>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0</v>
      </c>
      <c r="K16" s="1821" t="s">
        <v>617</v>
      </c>
      <c r="L16" s="3181"/>
      <c r="M16" s="2491"/>
    </row>
    <row r="17" spans="1:33" s="2064" customFormat="1" ht="18" customHeight="1">
      <c r="A17" s="1647" t="s">
        <v>1849</v>
      </c>
      <c r="B17" s="784" t="s">
        <v>618</v>
      </c>
      <c r="C17" s="53">
        <f ca="1">ROUND(F17*(F43+INDIRECT("'数据-取费表'!S"&amp;$G$1))/10000,0)</f>
        <v>0</v>
      </c>
      <c r="D17" s="784" t="s">
        <v>1713</v>
      </c>
      <c r="E17" s="784" t="s">
        <v>1714</v>
      </c>
      <c r="F17" s="56">
        <f>'数据-取费表'!B35</f>
        <v>200</v>
      </c>
      <c r="G17" s="1592"/>
      <c r="H17" s="1648" t="s">
        <v>1786</v>
      </c>
      <c r="I17" s="784" t="s">
        <v>621</v>
      </c>
      <c r="J17" s="53">
        <f ca="1">ROUND(IF(项目基本情况!B11="自然人",J5*M17,J18+J19+J20),0)</f>
        <v>0</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0</v>
      </c>
      <c r="D19" s="261" t="s">
        <v>1719</v>
      </c>
      <c r="E19" s="3182"/>
      <c r="F19" s="56"/>
      <c r="G19" s="1591"/>
      <c r="H19" s="1647" t="s">
        <v>1794</v>
      </c>
      <c r="I19" s="784" t="s">
        <v>629</v>
      </c>
      <c r="J19" s="53">
        <f ca="1">IF(K19="按租金收入计税",ROUND(J5*M19,1),ROUND(C29*F33*0.7,1))</f>
        <v>0</v>
      </c>
      <c r="K19" s="811" t="s">
        <v>630</v>
      </c>
      <c r="L19" s="784" t="s">
        <v>1709</v>
      </c>
      <c r="M19" s="809">
        <f>IF(K19="按租金收入计税",'数据-取费表'!B51,'数据-取费表'!B50)</f>
        <v>1.2E-2</v>
      </c>
    </row>
    <row r="20" spans="1:33" s="2064" customFormat="1" ht="18" customHeight="1">
      <c r="A20" s="1648" t="s">
        <v>1851</v>
      </c>
      <c r="B20" s="784" t="s">
        <v>631</v>
      </c>
      <c r="C20" s="53">
        <f ca="1">ROUND(C19*F20,0)</f>
        <v>0</v>
      </c>
      <c r="D20" s="812" t="s">
        <v>632</v>
      </c>
      <c r="E20" s="784" t="s">
        <v>1709</v>
      </c>
      <c r="F20" s="809">
        <f>'数据-取费表'!B37</f>
        <v>0.02</v>
      </c>
      <c r="G20" s="1592"/>
      <c r="H20" s="1650" t="s">
        <v>1795</v>
      </c>
      <c r="I20" s="341" t="s">
        <v>633</v>
      </c>
      <c r="J20" s="54">
        <f ca="1">ROUND(M20*M21/10000,0)</f>
        <v>0</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0</v>
      </c>
      <c r="K22" s="3180" t="s">
        <v>642</v>
      </c>
      <c r="L22" s="784" t="s">
        <v>1709</v>
      </c>
      <c r="M22" s="817">
        <f ca="1">INDIRECT("'数据-取费表'!Ak"&amp;$G$1)</f>
        <v>1.4999999999999999E-2</v>
      </c>
    </row>
    <row r="23" spans="1:33" s="2064" customFormat="1" ht="18" customHeight="1">
      <c r="A23" s="1647" t="s">
        <v>1793</v>
      </c>
      <c r="B23" s="784" t="s">
        <v>2398</v>
      </c>
      <c r="C23" s="53">
        <f ca="1">ROUND(IF('数据-取费表'!B22&lt;=1,(C19+C20)*F24*F23/2,(C19+C20)*(POWER((1+F24),F23/2)-1)),0)</f>
        <v>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0</v>
      </c>
      <c r="K25" s="2548" t="s">
        <v>665</v>
      </c>
      <c r="L25" s="2549"/>
      <c r="M25" s="2550"/>
    </row>
    <row r="26" spans="1:33" ht="18" customHeight="1">
      <c r="A26" s="1647" t="s">
        <v>1793</v>
      </c>
      <c r="B26" s="784" t="s">
        <v>2399</v>
      </c>
      <c r="C26" s="53">
        <f ca="1">ROUND((C19+C20)*F26,0)</f>
        <v>0</v>
      </c>
      <c r="D26" s="812" t="s">
        <v>666</v>
      </c>
      <c r="E26" s="795" t="s">
        <v>667</v>
      </c>
      <c r="F26" s="794">
        <f ca="1">INDIRECT("'数据-取费表'!q"&amp;$G$1)</f>
        <v>0.05</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0</v>
      </c>
      <c r="D29" s="2545"/>
      <c r="E29" s="2546"/>
      <c r="F29" s="2547"/>
      <c r="G29" s="1592"/>
      <c r="H29" s="823" t="s">
        <v>1749</v>
      </c>
      <c r="I29" s="824" t="s">
        <v>1750</v>
      </c>
      <c r="J29" s="825">
        <f ca="1">ROUND(J26/(1+F40)^F41,0)</f>
        <v>0</v>
      </c>
      <c r="K29" s="826" t="s">
        <v>653</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198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187.4</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57.7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129.69999999999999</v>
      </c>
      <c r="D33" s="811" t="s">
        <v>3127</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0</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0</v>
      </c>
      <c r="G35" s="2062"/>
      <c r="H35" s="2065"/>
      <c r="I35" s="837" t="s">
        <v>1776</v>
      </c>
      <c r="J35" s="838">
        <f ca="1">ROUND(C13*J36,0)</f>
        <v>0</v>
      </c>
      <c r="K35" s="2078"/>
      <c r="L35" s="2077"/>
      <c r="M35" s="2077"/>
    </row>
    <row r="36" spans="1:18" ht="18" customHeight="1">
      <c r="A36" s="1648" t="s">
        <v>1851</v>
      </c>
      <c r="B36" s="784" t="s">
        <v>641</v>
      </c>
      <c r="C36" s="53">
        <f ca="1">ROUND(C29*F36,1)</f>
        <v>0</v>
      </c>
      <c r="D36" s="3180" t="s">
        <v>656</v>
      </c>
      <c r="E36" s="784" t="s">
        <v>1709</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0</v>
      </c>
      <c r="D37" s="3180" t="s">
        <v>645</v>
      </c>
      <c r="E37" s="784" t="s">
        <v>1709</v>
      </c>
      <c r="F37" s="818">
        <f ca="1">INDIRECT("'数据-取费表'!Al"&amp;$G$1)</f>
        <v>1.5E-3</v>
      </c>
      <c r="G37" s="2062"/>
      <c r="H37" s="2077"/>
      <c r="I37" s="841" t="s">
        <v>1778</v>
      </c>
      <c r="J37" s="842"/>
      <c r="K37" s="2082"/>
      <c r="L37" s="2077"/>
      <c r="M37" s="2077"/>
    </row>
    <row r="38" spans="1:18" ht="18" customHeight="1" thickBot="1">
      <c r="A38" s="2551" t="s">
        <v>1853</v>
      </c>
      <c r="B38" s="2546" t="s">
        <v>631</v>
      </c>
      <c r="C38" s="2544">
        <f ca="1">ROUND(C5*F38,1)</f>
        <v>10.8</v>
      </c>
      <c r="D38" s="2545" t="s">
        <v>648</v>
      </c>
      <c r="E38" s="2546" t="s">
        <v>1709</v>
      </c>
      <c r="F38" s="2542">
        <f ca="1">INDIRECT("'数据-取费表'!Am"&amp;$G$1)</f>
        <v>0.01</v>
      </c>
      <c r="G38" s="2062"/>
      <c r="H38" s="2077"/>
      <c r="I38" s="843" t="s">
        <v>1779</v>
      </c>
      <c r="J38" s="844"/>
      <c r="K38" s="2083"/>
      <c r="L38" s="2077"/>
      <c r="M38" s="2077"/>
    </row>
    <row r="39" spans="1:18" ht="24.6" customHeight="1" thickTop="1">
      <c r="A39" s="1829" t="s">
        <v>1738</v>
      </c>
      <c r="B39" s="3010" t="s">
        <v>2782</v>
      </c>
      <c r="C39" s="792">
        <f ca="1">C5-C30</f>
        <v>883</v>
      </c>
      <c r="D39" s="2548" t="s">
        <v>665</v>
      </c>
      <c r="E39" s="2549"/>
      <c r="F39" s="2550"/>
      <c r="G39" s="2062"/>
      <c r="H39" s="2077"/>
      <c r="I39" s="837" t="s">
        <v>1780</v>
      </c>
      <c r="J39" s="845">
        <f ca="1">ROUND(J35/C39,3)</f>
        <v>0</v>
      </c>
      <c r="K39" s="2083"/>
      <c r="L39" s="2077"/>
      <c r="M39" s="2077"/>
    </row>
    <row r="40" spans="1:18" ht="18" customHeight="1">
      <c r="A40" s="781" t="s">
        <v>1742</v>
      </c>
      <c r="B40" s="2232" t="s">
        <v>2263</v>
      </c>
      <c r="C40" s="783">
        <f ca="1">ROUND(C39*(1-((1+F42)/(1+F40))^F41)/(F40-F42),0)</f>
        <v>18215</v>
      </c>
      <c r="D40" s="814" t="s">
        <v>669</v>
      </c>
      <c r="E40" s="784" t="s">
        <v>2380</v>
      </c>
      <c r="F40" s="794">
        <f ca="1">INDIRECT("'数据-取费表'!I"&amp;$G$1)</f>
        <v>0.05</v>
      </c>
      <c r="G40" s="2062"/>
      <c r="H40" s="2062"/>
      <c r="I40" s="837" t="s">
        <v>1781</v>
      </c>
      <c r="J40" s="845">
        <f ca="1">1-J39</f>
        <v>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1.4999999999999999E-2</v>
      </c>
      <c r="G42" s="2062"/>
      <c r="H42" s="1988"/>
      <c r="I42" s="847" t="s">
        <v>1783</v>
      </c>
      <c r="J42" s="845">
        <f ca="1">ROUND(C13/C40,3)</f>
        <v>0</v>
      </c>
      <c r="K42" s="2082"/>
      <c r="L42" s="1988"/>
      <c r="M42" s="1988"/>
    </row>
    <row r="43" spans="1:18" ht="18" customHeight="1" thickBot="1">
      <c r="A43" s="823" t="s">
        <v>1749</v>
      </c>
      <c r="B43" s="824" t="s">
        <v>1772</v>
      </c>
      <c r="C43" s="825" t="e">
        <f ca="1">ROUND(C40*10000/F43,0)</f>
        <v>#DIV/0!</v>
      </c>
      <c r="D43" s="826" t="s">
        <v>1773</v>
      </c>
      <c r="E43" s="827" t="s">
        <v>1774</v>
      </c>
      <c r="F43" s="828">
        <f ca="1">INDIRECT("'数据-取费表'!k"&amp;$G$1)</f>
        <v>0</v>
      </c>
      <c r="G43" s="2062"/>
      <c r="H43" s="1988"/>
      <c r="I43" s="847" t="s">
        <v>1784</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C40/'数据-取费表'!AH11</f>
        <v>36.43</v>
      </c>
      <c r="K45" s="2086"/>
      <c r="Q45" s="2097"/>
    </row>
    <row r="46" spans="1:18" s="2059" customFormat="1" ht="18" customHeight="1" thickBot="1">
      <c r="A46" s="2230" t="s">
        <v>2257</v>
      </c>
      <c r="B46" s="2085"/>
      <c r="C46" s="2574">
        <f ca="1">C67-C40</f>
        <v>-18215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3128</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18215</v>
      </c>
      <c r="R48" s="2399" t="s">
        <v>2341</v>
      </c>
    </row>
    <row r="49" spans="1:18" s="2059" customFormat="1" ht="18" customHeight="1" thickBot="1">
      <c r="A49" s="786"/>
      <c r="B49" s="787"/>
      <c r="C49" s="788"/>
      <c r="D49" s="789"/>
      <c r="E49" s="784" t="s">
        <v>603</v>
      </c>
      <c r="F49" s="785">
        <f ca="1">F7</f>
        <v>500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5" t="s">
        <v>2308</v>
      </c>
      <c r="J50" s="3153">
        <f>SUMPRODUCT((I63:I65=J47)*(J62:L62=J48)*(J63:L65))</f>
        <v>60</v>
      </c>
      <c r="K50" s="3158" t="s">
        <v>2314</v>
      </c>
      <c r="L50" s="2384"/>
      <c r="O50" s="2401" t="s">
        <v>2344</v>
      </c>
      <c r="P50" s="2399" t="s">
        <v>2368</v>
      </c>
      <c r="Q50" s="2400">
        <f ca="1">C29</f>
        <v>0</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16213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18215</v>
      </c>
      <c r="R54" s="2403" t="s">
        <v>2353</v>
      </c>
    </row>
    <row r="55" spans="1:18" s="2059" customFormat="1" ht="18" customHeight="1" thickTop="1" thickBot="1">
      <c r="A55" s="797">
        <v>2</v>
      </c>
      <c r="B55" s="798" t="s">
        <v>609</v>
      </c>
      <c r="C55" s="799">
        <f ca="1">C13</f>
        <v>0</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0</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18215</v>
      </c>
      <c r="R57" s="2399" t="s">
        <v>2341</v>
      </c>
    </row>
    <row r="58" spans="1:18" s="2059" customFormat="1" ht="28.5" customHeight="1" thickBot="1">
      <c r="A58" s="1648" t="s">
        <v>1786</v>
      </c>
      <c r="B58" s="784" t="s">
        <v>621</v>
      </c>
      <c r="C58" s="53">
        <f ca="1">ROUND(IF(项目基本情况!B11="自然人",C47*F58,C59+C60+C61),1)</f>
        <v>0</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0</v>
      </c>
      <c r="D61" s="814" t="s">
        <v>634</v>
      </c>
      <c r="E61" s="784" t="s">
        <v>635</v>
      </c>
      <c r="F61" s="640">
        <f t="shared" si="0"/>
        <v>12</v>
      </c>
      <c r="K61" s="2086"/>
      <c r="O61" s="2401" t="s">
        <v>2347</v>
      </c>
      <c r="P61" s="2399" t="s">
        <v>2355</v>
      </c>
      <c r="Q61" s="2400" t="e">
        <f ca="1">L58</f>
        <v>#DIV/0!</v>
      </c>
      <c r="R61" s="2403" t="s">
        <v>2356</v>
      </c>
    </row>
    <row r="62" spans="1:18" s="2059" customFormat="1" ht="16.2" thickBot="1">
      <c r="A62" s="815"/>
      <c r="B62" s="793"/>
      <c r="C62" s="69"/>
      <c r="D62" s="816"/>
      <c r="E62" s="784" t="s">
        <v>639</v>
      </c>
      <c r="F62" s="785">
        <f t="shared" ca="1" si="0"/>
        <v>0</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6.2" thickBot="1">
      <c r="A63" s="1648" t="s">
        <v>1851</v>
      </c>
      <c r="B63" s="784" t="s">
        <v>641</v>
      </c>
      <c r="C63" s="53">
        <f ca="1">ROUND(C56*F63,1)</f>
        <v>0</v>
      </c>
      <c r="D63" s="3180" t="s">
        <v>656</v>
      </c>
      <c r="E63" s="784" t="s">
        <v>1709</v>
      </c>
      <c r="F63" s="817">
        <f t="shared" ca="1" si="0"/>
        <v>1.4999999999999999E-2</v>
      </c>
      <c r="I63" s="3172" t="s">
        <v>2331</v>
      </c>
      <c r="J63" s="3173">
        <v>70</v>
      </c>
      <c r="K63" s="3173">
        <v>50</v>
      </c>
      <c r="L63" s="3173">
        <v>80</v>
      </c>
      <c r="M63" s="3175">
        <v>0.02</v>
      </c>
      <c r="O63" s="2398" t="s">
        <v>2352</v>
      </c>
      <c r="P63" s="2399" t="s">
        <v>2369</v>
      </c>
      <c r="Q63" s="2400">
        <f ca="1">Q57+Q58</f>
        <v>18215</v>
      </c>
      <c r="R63" s="2403" t="s">
        <v>2353</v>
      </c>
    </row>
    <row r="64" spans="1:18" s="2059" customFormat="1" ht="16.2" thickBot="1">
      <c r="A64" s="1648" t="s">
        <v>1852</v>
      </c>
      <c r="B64" s="784" t="s">
        <v>644</v>
      </c>
      <c r="C64" s="53">
        <f ca="1">ROUND(C55*F64,1)</f>
        <v>0</v>
      </c>
      <c r="D64" s="3180" t="s">
        <v>645</v>
      </c>
      <c r="E64" s="784" t="s">
        <v>1709</v>
      </c>
      <c r="F64" s="818">
        <f t="shared" ca="1" si="0"/>
        <v>1.5E-3</v>
      </c>
      <c r="I64" s="3172" t="s">
        <v>2332</v>
      </c>
      <c r="J64" s="3173">
        <v>50</v>
      </c>
      <c r="K64" s="3173">
        <v>35</v>
      </c>
      <c r="L64" s="3173">
        <v>60</v>
      </c>
      <c r="M64" s="846">
        <v>0</v>
      </c>
      <c r="O64" s="2404" t="s">
        <v>2376</v>
      </c>
      <c r="P64" s="1591"/>
      <c r="Q64" s="1603"/>
      <c r="R64" s="1591"/>
    </row>
    <row r="65" spans="1:18" s="2059" customFormat="1" ht="16.2" thickBot="1">
      <c r="A65" s="1648" t="s">
        <v>1853</v>
      </c>
      <c r="B65" s="784" t="s">
        <v>631</v>
      </c>
      <c r="C65" s="53">
        <f ca="1">ROUND(C47*F65,1)</f>
        <v>0</v>
      </c>
      <c r="D65" s="3180" t="s">
        <v>648</v>
      </c>
      <c r="E65" s="784" t="s">
        <v>1709</v>
      </c>
      <c r="F65" s="794">
        <f t="shared" ca="1" si="0"/>
        <v>0.01</v>
      </c>
      <c r="I65" s="3172" t="s">
        <v>2333</v>
      </c>
      <c r="J65" s="3173">
        <v>40</v>
      </c>
      <c r="K65" s="3173">
        <v>30</v>
      </c>
      <c r="L65" s="3173">
        <v>50</v>
      </c>
      <c r="M65" s="3175">
        <v>0.02</v>
      </c>
      <c r="O65" s="2395" t="s">
        <v>2336</v>
      </c>
      <c r="P65" s="2396" t="s">
        <v>2337</v>
      </c>
      <c r="Q65" s="2397" t="s">
        <v>2338</v>
      </c>
      <c r="R65" s="2396" t="s">
        <v>2339</v>
      </c>
    </row>
    <row r="66" spans="1:18" s="2059" customFormat="1" ht="24.6" thickBot="1">
      <c r="A66" s="797" t="s">
        <v>1738</v>
      </c>
      <c r="B66" s="3011" t="s">
        <v>2782</v>
      </c>
      <c r="C66" s="799">
        <f ca="1">C47-C57</f>
        <v>0</v>
      </c>
      <c r="D66" s="3179" t="s">
        <v>665</v>
      </c>
      <c r="E66" s="3177"/>
      <c r="F66" s="820"/>
      <c r="K66" s="2086"/>
      <c r="O66" s="2398" t="s">
        <v>2340</v>
      </c>
      <c r="P66" s="2399" t="s">
        <v>2366</v>
      </c>
      <c r="Q66" s="2400">
        <f ca="1">C40+J29</f>
        <v>18215</v>
      </c>
      <c r="R66" s="2399" t="s">
        <v>2341</v>
      </c>
    </row>
    <row r="67" spans="1:18" s="2059" customFormat="1" ht="19.2"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0.399999999999999" thickBot="1">
      <c r="A68" s="786"/>
      <c r="B68" s="787"/>
      <c r="C68" s="788"/>
      <c r="D68" s="821" t="s">
        <v>1770</v>
      </c>
      <c r="E68" s="784" t="s">
        <v>673</v>
      </c>
      <c r="F68" s="822">
        <f ca="1">F41</f>
        <v>37.76</v>
      </c>
      <c r="O68" s="2401" t="s">
        <v>2344</v>
      </c>
      <c r="P68" s="2399" t="s">
        <v>2374</v>
      </c>
      <c r="Q68" s="2405">
        <f ca="1">L51</f>
        <v>16213</v>
      </c>
      <c r="R68" s="2406" t="s">
        <v>2377</v>
      </c>
    </row>
    <row r="69" spans="1:18" ht="19.2" thickBot="1">
      <c r="A69" s="790"/>
      <c r="B69" s="791"/>
      <c r="C69" s="792"/>
      <c r="D69" s="816"/>
      <c r="E69" s="784" t="s">
        <v>675</v>
      </c>
      <c r="F69" s="2371"/>
      <c r="O69" s="2401" t="s">
        <v>2345</v>
      </c>
      <c r="P69" s="2407" t="s">
        <v>2359</v>
      </c>
      <c r="Q69" s="2400">
        <f ca="1">ROUND(Q70-Q71*Q72,0)</f>
        <v>883</v>
      </c>
      <c r="R69" s="2403"/>
    </row>
    <row r="70" spans="1:18" ht="16.2" thickBot="1">
      <c r="A70" s="823" t="s">
        <v>1749</v>
      </c>
      <c r="B70" s="824" t="s">
        <v>1772</v>
      </c>
      <c r="C70" s="825" t="e">
        <f ca="1">ROUND(C67*10000/F70,0)</f>
        <v>#DIV/0!</v>
      </c>
      <c r="D70" s="826" t="s">
        <v>1773</v>
      </c>
      <c r="E70" s="827" t="s">
        <v>1774</v>
      </c>
      <c r="F70" s="828">
        <f ca="1">F43</f>
        <v>0</v>
      </c>
      <c r="O70" s="2401" t="s">
        <v>2360</v>
      </c>
      <c r="P70" s="2407" t="s">
        <v>2361</v>
      </c>
      <c r="Q70" s="2400">
        <f ca="1">C39</f>
        <v>883</v>
      </c>
      <c r="R70" s="2399" t="s">
        <v>2341</v>
      </c>
    </row>
    <row r="71" spans="1:18" ht="16.2" thickBot="1">
      <c r="O71" s="2401" t="s">
        <v>2362</v>
      </c>
      <c r="P71" s="2407" t="s">
        <v>2363</v>
      </c>
      <c r="Q71" s="2400">
        <f ca="1">C13</f>
        <v>0</v>
      </c>
      <c r="R71" s="2399" t="s">
        <v>2341</v>
      </c>
    </row>
    <row r="72" spans="1:18" ht="16.2" thickBot="1">
      <c r="O72" s="2401" t="s">
        <v>2364</v>
      </c>
      <c r="P72" s="2407" t="s">
        <v>2365</v>
      </c>
      <c r="Q72" s="2402">
        <f ca="1">J36</f>
        <v>8.5000000000000006E-2</v>
      </c>
      <c r="R72" s="2403"/>
    </row>
    <row r="73" spans="1:18" ht="16.2" thickBot="1">
      <c r="O73" s="2401" t="s">
        <v>2347</v>
      </c>
      <c r="P73" s="2399" t="s">
        <v>2354</v>
      </c>
      <c r="Q73" s="2402">
        <f>L52</f>
        <v>0</v>
      </c>
      <c r="R73" s="2403"/>
    </row>
    <row r="74" spans="1:18" ht="19.2" thickBot="1">
      <c r="O74" s="2401" t="s">
        <v>2349</v>
      </c>
      <c r="P74" s="2399" t="s">
        <v>2355</v>
      </c>
      <c r="Q74" s="2400" t="e">
        <f ca="1">L58</f>
        <v>#DIV/0!</v>
      </c>
      <c r="R74" s="2403" t="s">
        <v>2356</v>
      </c>
    </row>
    <row r="75" spans="1:18" ht="16.2" thickBot="1">
      <c r="O75" s="2401" t="s">
        <v>2378</v>
      </c>
      <c r="P75" s="2399" t="str">
        <f>K59</f>
        <v>建设期及建筑物耐用年限下的土地年期修正系数Kn</v>
      </c>
      <c r="Q75" s="2400" t="e">
        <f ca="1">L59</f>
        <v>#DIV/0!</v>
      </c>
      <c r="R75" s="2403" t="s">
        <v>2358</v>
      </c>
    </row>
    <row r="76" spans="1:18" ht="16.2" thickBot="1">
      <c r="O76" s="2398" t="s">
        <v>2352</v>
      </c>
      <c r="P76" s="2399" t="s">
        <v>2369</v>
      </c>
      <c r="Q76" s="2400">
        <f ca="1">Q66+Q67</f>
        <v>18215</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4.4"/>
  <sheetData/>
  <phoneticPr fontId="23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53"/>
  <sheetViews>
    <sheetView topLeftCell="A4" workbookViewId="0">
      <selection activeCell="P24" sqref="P24"/>
    </sheetView>
  </sheetViews>
  <sheetFormatPr defaultRowHeight="14.4"/>
  <cols>
    <col min="3" max="3" width="14.44140625" customWidth="1"/>
    <col min="5" max="5" width="9.88671875" customWidth="1"/>
    <col min="7" max="7" width="13.33203125" customWidth="1"/>
    <col min="8" max="8" width="10.6640625" customWidth="1"/>
    <col min="9" max="9" width="14.6640625" customWidth="1"/>
    <col min="10" max="10" width="13.88671875" customWidth="1"/>
    <col min="11" max="11" width="18" customWidth="1"/>
  </cols>
  <sheetData>
    <row r="3" spans="3:11">
      <c r="C3" s="2939" t="s">
        <v>3000</v>
      </c>
      <c r="D3" s="2939" t="s">
        <v>3001</v>
      </c>
      <c r="E3" s="2939" t="s">
        <v>3002</v>
      </c>
      <c r="F3" s="2939" t="s">
        <v>3003</v>
      </c>
      <c r="G3" s="2939" t="s">
        <v>3004</v>
      </c>
      <c r="H3" s="2939" t="s">
        <v>1994</v>
      </c>
      <c r="I3" s="2939" t="s">
        <v>3005</v>
      </c>
      <c r="J3" s="2939" t="s">
        <v>3006</v>
      </c>
      <c r="K3" s="2939" t="s">
        <v>3007</v>
      </c>
    </row>
    <row r="4" spans="3:11">
      <c r="C4" s="2939" t="s">
        <v>3008</v>
      </c>
      <c r="D4" s="2939" t="s">
        <v>2973</v>
      </c>
      <c r="E4" s="2939" t="s">
        <v>3009</v>
      </c>
      <c r="F4" s="2939" t="s">
        <v>3010</v>
      </c>
      <c r="G4" s="2939">
        <v>3411.73</v>
      </c>
      <c r="H4" s="2939" t="s">
        <v>3011</v>
      </c>
      <c r="I4" s="2939" t="s">
        <v>3012</v>
      </c>
      <c r="J4" s="2939">
        <v>18231.22</v>
      </c>
      <c r="K4" s="2939">
        <v>16963.63</v>
      </c>
    </row>
    <row r="5" spans="3:11">
      <c r="C5" s="3190" t="s">
        <v>3013</v>
      </c>
      <c r="D5" s="3190" t="s">
        <v>2973</v>
      </c>
      <c r="E5" s="3190" t="s">
        <v>3009</v>
      </c>
      <c r="F5" s="3190" t="s">
        <v>3014</v>
      </c>
      <c r="G5" s="3190">
        <v>6131.49</v>
      </c>
      <c r="H5" s="3190" t="s">
        <v>3015</v>
      </c>
      <c r="I5" s="3190" t="s">
        <v>3016</v>
      </c>
      <c r="J5" s="3190">
        <v>8937.4699999999993</v>
      </c>
      <c r="K5" s="3190">
        <v>11984.25</v>
      </c>
    </row>
    <row r="6" spans="3:11">
      <c r="C6" s="2939" t="s">
        <v>3017</v>
      </c>
      <c r="D6" s="2939" t="s">
        <v>2973</v>
      </c>
      <c r="E6" s="2939" t="s">
        <v>3009</v>
      </c>
      <c r="F6" s="2939" t="s">
        <v>3010</v>
      </c>
      <c r="G6" s="2939">
        <v>10376.82</v>
      </c>
      <c r="H6" s="2939" t="s">
        <v>3018</v>
      </c>
      <c r="I6" s="2939" t="s">
        <v>3019</v>
      </c>
      <c r="J6" s="2939">
        <v>35669.24</v>
      </c>
      <c r="K6" s="2939">
        <v>19197.79</v>
      </c>
    </row>
    <row r="7" spans="3:11">
      <c r="C7" s="2939" t="s">
        <v>3017</v>
      </c>
      <c r="D7" s="2939" t="s">
        <v>2973</v>
      </c>
      <c r="E7" s="2939" t="s">
        <v>3009</v>
      </c>
      <c r="F7" s="2939" t="s">
        <v>3010</v>
      </c>
      <c r="G7" s="2939">
        <v>17775.650000000001</v>
      </c>
      <c r="H7" s="2939" t="s">
        <v>2778</v>
      </c>
      <c r="I7" s="2939" t="s">
        <v>3019</v>
      </c>
      <c r="J7" s="2939">
        <v>11765.16</v>
      </c>
      <c r="K7" s="2939">
        <v>18784.43</v>
      </c>
    </row>
    <row r="8" spans="3:11">
      <c r="C8" s="2939" t="s">
        <v>3008</v>
      </c>
      <c r="D8" s="2939" t="s">
        <v>2973</v>
      </c>
      <c r="E8" s="2939" t="s">
        <v>3009</v>
      </c>
      <c r="F8" s="2939" t="s">
        <v>3010</v>
      </c>
      <c r="G8" s="2939">
        <v>16423.900000000001</v>
      </c>
      <c r="H8" s="2939" t="s">
        <v>3020</v>
      </c>
      <c r="I8" s="2939" t="s">
        <v>3021</v>
      </c>
      <c r="J8" s="2939">
        <v>7842.23</v>
      </c>
      <c r="K8" s="2939">
        <v>15284.8</v>
      </c>
    </row>
    <row r="9" spans="3:11">
      <c r="C9" s="2939" t="s">
        <v>3022</v>
      </c>
      <c r="D9" s="2939" t="s">
        <v>2973</v>
      </c>
      <c r="E9" s="2939" t="s">
        <v>3009</v>
      </c>
      <c r="F9" s="2939" t="s">
        <v>3010</v>
      </c>
      <c r="G9" s="2939">
        <v>6229.25</v>
      </c>
      <c r="H9" s="2939">
        <v>13.65</v>
      </c>
      <c r="I9" s="2939" t="s">
        <v>3023</v>
      </c>
      <c r="J9" s="2939">
        <v>15582.4</v>
      </c>
      <c r="K9" s="2939">
        <v>16640</v>
      </c>
    </row>
    <row r="10" spans="3:11">
      <c r="C10" s="2939" t="s">
        <v>3024</v>
      </c>
      <c r="D10" s="2939" t="s">
        <v>2973</v>
      </c>
      <c r="E10" s="2939" t="s">
        <v>3009</v>
      </c>
      <c r="F10" s="2939" t="s">
        <v>3010</v>
      </c>
      <c r="G10" s="2939">
        <v>12071.99</v>
      </c>
      <c r="H10" s="2939">
        <v>11.16</v>
      </c>
      <c r="I10" s="2939" t="s">
        <v>3025</v>
      </c>
      <c r="J10" s="2939">
        <v>13839.2</v>
      </c>
      <c r="K10" s="2939">
        <v>19701.25</v>
      </c>
    </row>
    <row r="11" spans="3:11">
      <c r="C11" s="2939" t="s">
        <v>3026</v>
      </c>
      <c r="D11" s="2939" t="s">
        <v>2973</v>
      </c>
      <c r="E11" s="2939" t="s">
        <v>3009</v>
      </c>
      <c r="F11" s="2939" t="s">
        <v>3010</v>
      </c>
      <c r="G11" s="2939">
        <v>10221.36</v>
      </c>
      <c r="H11" s="2939">
        <v>10.76</v>
      </c>
      <c r="I11" s="2939" t="s">
        <v>3025</v>
      </c>
      <c r="J11" s="2939">
        <v>15594.79</v>
      </c>
      <c r="K11" s="2939">
        <v>21736.36</v>
      </c>
    </row>
    <row r="12" spans="3:11">
      <c r="C12" s="2939" t="s">
        <v>3017</v>
      </c>
      <c r="D12" s="2939" t="s">
        <v>2973</v>
      </c>
      <c r="E12" s="2939" t="s">
        <v>3009</v>
      </c>
      <c r="F12" s="2939" t="s">
        <v>3010</v>
      </c>
      <c r="G12" s="2939">
        <v>25126.36</v>
      </c>
      <c r="H12" s="2939" t="s">
        <v>3027</v>
      </c>
      <c r="I12" s="2939" t="s">
        <v>3028</v>
      </c>
      <c r="J12" s="2939">
        <v>6932.96</v>
      </c>
      <c r="K12" s="2939">
        <v>16331.25</v>
      </c>
    </row>
    <row r="13" spans="3:11">
      <c r="C13" s="2939" t="s">
        <v>3017</v>
      </c>
      <c r="D13" s="2939" t="s">
        <v>2973</v>
      </c>
      <c r="E13" s="2939" t="s">
        <v>3009</v>
      </c>
      <c r="F13" s="2939" t="s">
        <v>3010</v>
      </c>
      <c r="G13" s="2939">
        <v>43167.360000000001</v>
      </c>
      <c r="H13" s="2939" t="s">
        <v>3029</v>
      </c>
      <c r="I13" s="2939" t="s">
        <v>3028</v>
      </c>
      <c r="J13" s="2939">
        <v>5470.18</v>
      </c>
      <c r="K13" s="2939">
        <v>18652.900000000001</v>
      </c>
    </row>
    <row r="14" spans="3:11">
      <c r="C14" s="2939" t="s">
        <v>3017</v>
      </c>
      <c r="D14" s="2939" t="s">
        <v>2973</v>
      </c>
      <c r="E14" s="2939" t="s">
        <v>3009</v>
      </c>
      <c r="F14" s="2939" t="s">
        <v>3010</v>
      </c>
      <c r="G14" s="2939">
        <v>25634.91</v>
      </c>
      <c r="H14" s="2939" t="s">
        <v>3030</v>
      </c>
      <c r="I14" s="2939" t="s">
        <v>3028</v>
      </c>
      <c r="J14" s="2939">
        <v>9429.85</v>
      </c>
      <c r="K14" s="2939">
        <v>17601.93</v>
      </c>
    </row>
    <row r="15" spans="3:11">
      <c r="C15" s="2939" t="s">
        <v>3017</v>
      </c>
      <c r="D15" s="2939" t="s">
        <v>2973</v>
      </c>
      <c r="E15" s="2939" t="s">
        <v>3009</v>
      </c>
      <c r="F15" s="2939" t="s">
        <v>3010</v>
      </c>
      <c r="G15" s="2939">
        <v>11911.49</v>
      </c>
      <c r="H15" s="2939" t="s">
        <v>3031</v>
      </c>
      <c r="I15" s="2939" t="s">
        <v>3032</v>
      </c>
      <c r="J15" s="2939">
        <v>11076.14</v>
      </c>
      <c r="K15" s="2939">
        <v>18636.400000000001</v>
      </c>
    </row>
    <row r="16" spans="3:11">
      <c r="C16" s="2939" t="s">
        <v>3017</v>
      </c>
      <c r="D16" s="2939" t="s">
        <v>2973</v>
      </c>
      <c r="E16" s="2939" t="s">
        <v>3009</v>
      </c>
      <c r="F16" s="2939" t="s">
        <v>3010</v>
      </c>
      <c r="G16" s="2939">
        <v>13368.82</v>
      </c>
      <c r="H16" s="2939" t="s">
        <v>3033</v>
      </c>
      <c r="I16" s="2939" t="s">
        <v>3032</v>
      </c>
      <c r="J16" s="2939">
        <v>11205.18</v>
      </c>
      <c r="K16" s="2939">
        <v>18725</v>
      </c>
    </row>
    <row r="17" spans="3:11">
      <c r="C17" s="3190" t="s">
        <v>3034</v>
      </c>
      <c r="D17" s="3190" t="s">
        <v>2973</v>
      </c>
      <c r="E17" s="3190" t="s">
        <v>3009</v>
      </c>
      <c r="F17" s="3190" t="s">
        <v>3035</v>
      </c>
      <c r="G17" s="3190">
        <v>6262.12</v>
      </c>
      <c r="H17" s="3190" t="s">
        <v>3036</v>
      </c>
      <c r="I17" s="3190" t="s">
        <v>3037</v>
      </c>
      <c r="J17" s="3190">
        <v>11944.84</v>
      </c>
      <c r="K17" s="3190">
        <v>13783.78</v>
      </c>
    </row>
    <row r="18" spans="3:11">
      <c r="C18" s="2939" t="s">
        <v>3008</v>
      </c>
      <c r="D18" s="2939" t="s">
        <v>2973</v>
      </c>
      <c r="E18" s="2939" t="s">
        <v>3009</v>
      </c>
      <c r="F18" s="2939" t="s">
        <v>3010</v>
      </c>
      <c r="G18" s="2939">
        <v>12803.03</v>
      </c>
      <c r="H18" s="2939" t="s">
        <v>3038</v>
      </c>
      <c r="I18" s="2939" t="s">
        <v>3039</v>
      </c>
      <c r="J18" s="2939">
        <v>15720.24</v>
      </c>
      <c r="K18" s="2939">
        <v>19204.830000000002</v>
      </c>
    </row>
    <row r="19" spans="3:11">
      <c r="C19" s="3192" t="s">
        <v>3040</v>
      </c>
      <c r="D19" s="3192" t="s">
        <v>2973</v>
      </c>
      <c r="E19" s="3192" t="s">
        <v>3009</v>
      </c>
      <c r="F19" s="3192" t="s">
        <v>3010</v>
      </c>
      <c r="G19" s="3192">
        <v>7477.25</v>
      </c>
      <c r="H19" s="3192" t="s">
        <v>3041</v>
      </c>
      <c r="I19" s="3192" t="s">
        <v>3042</v>
      </c>
      <c r="J19" s="3192">
        <v>11920.6</v>
      </c>
      <c r="K19" s="3192">
        <v>29065.22</v>
      </c>
    </row>
    <row r="20" spans="3:11">
      <c r="C20" s="3192" t="s">
        <v>3008</v>
      </c>
      <c r="D20" s="3192" t="s">
        <v>2973</v>
      </c>
      <c r="E20" s="3192" t="s">
        <v>3009</v>
      </c>
      <c r="F20" s="3192" t="s">
        <v>3010</v>
      </c>
      <c r="G20" s="3192">
        <v>5925</v>
      </c>
      <c r="H20" s="3192">
        <v>16</v>
      </c>
      <c r="I20" s="3192" t="s">
        <v>3043</v>
      </c>
      <c r="J20" s="3192">
        <v>20365.68</v>
      </c>
      <c r="K20" s="3192">
        <v>19092.830000000002</v>
      </c>
    </row>
    <row r="21" spans="3:11">
      <c r="C21" s="3192" t="s">
        <v>3017</v>
      </c>
      <c r="D21" s="3192" t="s">
        <v>2973</v>
      </c>
      <c r="E21" s="3192" t="s">
        <v>3009</v>
      </c>
      <c r="F21" s="3192" t="s">
        <v>3010</v>
      </c>
      <c r="G21" s="3192">
        <v>15539.46</v>
      </c>
      <c r="H21" s="3192" t="s">
        <v>3044</v>
      </c>
      <c r="I21" s="3192" t="s">
        <v>3043</v>
      </c>
      <c r="J21" s="3192">
        <v>8112.68</v>
      </c>
      <c r="K21" s="3192">
        <v>19697.91</v>
      </c>
    </row>
    <row r="22" spans="3:11">
      <c r="C22" s="3192" t="s">
        <v>3017</v>
      </c>
      <c r="D22" s="3192" t="s">
        <v>2973</v>
      </c>
      <c r="E22" s="3192" t="s">
        <v>3009</v>
      </c>
      <c r="F22" s="3192" t="s">
        <v>3010</v>
      </c>
      <c r="G22" s="3192">
        <v>33826.129999999997</v>
      </c>
      <c r="H22" s="3192" t="s">
        <v>3045</v>
      </c>
      <c r="I22" s="3192" t="s">
        <v>3043</v>
      </c>
      <c r="J22" s="3192">
        <v>11726.63</v>
      </c>
      <c r="K22" s="3192">
        <v>19255.650000000001</v>
      </c>
    </row>
    <row r="23" spans="3:11">
      <c r="C23" s="3193" t="s">
        <v>3046</v>
      </c>
      <c r="D23" s="3193" t="s">
        <v>2973</v>
      </c>
      <c r="E23" s="3193" t="s">
        <v>3009</v>
      </c>
      <c r="F23" s="3193" t="s">
        <v>3010</v>
      </c>
      <c r="G23" s="3193">
        <v>13675.12</v>
      </c>
      <c r="H23" s="3193">
        <v>4.53</v>
      </c>
      <c r="I23" s="3193" t="s">
        <v>3047</v>
      </c>
      <c r="J23" s="3193">
        <v>9096.81</v>
      </c>
      <c r="K23" s="3193">
        <v>30096.77</v>
      </c>
    </row>
    <row r="24" spans="3:11">
      <c r="C24" s="3192" t="s">
        <v>3048</v>
      </c>
      <c r="D24" s="3192" t="s">
        <v>2973</v>
      </c>
      <c r="E24" s="3192" t="s">
        <v>3009</v>
      </c>
      <c r="F24" s="3192" t="s">
        <v>3010</v>
      </c>
      <c r="G24" s="3192">
        <v>19262.18</v>
      </c>
      <c r="H24" s="3192">
        <v>6.54</v>
      </c>
      <c r="I24" s="3192" t="s">
        <v>3047</v>
      </c>
      <c r="J24" s="3192">
        <v>10452.26</v>
      </c>
      <c r="K24" s="3192">
        <v>27207.200000000001</v>
      </c>
    </row>
    <row r="25" spans="3:11">
      <c r="C25" s="3192" t="s">
        <v>3046</v>
      </c>
      <c r="D25" s="3192" t="s">
        <v>2973</v>
      </c>
      <c r="E25" s="3192" t="s">
        <v>3009</v>
      </c>
      <c r="F25" s="3192" t="s">
        <v>3010</v>
      </c>
      <c r="G25" s="3192">
        <v>12495.87</v>
      </c>
      <c r="H25" s="3192" t="s">
        <v>3049</v>
      </c>
      <c r="I25" s="3192" t="s">
        <v>3050</v>
      </c>
      <c r="J25" s="3192">
        <v>8909.61</v>
      </c>
      <c r="K25" s="3192">
        <v>29821.43</v>
      </c>
    </row>
    <row r="26" spans="3:11">
      <c r="C26" s="3191" t="s">
        <v>3051</v>
      </c>
      <c r="D26" s="3191" t="s">
        <v>2973</v>
      </c>
      <c r="E26" s="3191" t="s">
        <v>3009</v>
      </c>
      <c r="F26" s="3191" t="s">
        <v>3010</v>
      </c>
      <c r="G26" s="3191">
        <v>6571.61</v>
      </c>
      <c r="H26" s="3191" t="s">
        <v>3052</v>
      </c>
      <c r="I26" s="3191" t="s">
        <v>3050</v>
      </c>
      <c r="J26" s="3191">
        <v>17702.41</v>
      </c>
      <c r="K26" s="3191">
        <v>26624.95</v>
      </c>
    </row>
    <row r="27" spans="3:11">
      <c r="C27" s="3191" t="s">
        <v>3053</v>
      </c>
      <c r="D27" s="3191" t="s">
        <v>2973</v>
      </c>
      <c r="E27" s="3191" t="s">
        <v>3009</v>
      </c>
      <c r="F27" s="3191" t="s">
        <v>3010</v>
      </c>
      <c r="G27" s="3191">
        <v>18218.36</v>
      </c>
      <c r="H27" s="3191" t="s">
        <v>3054</v>
      </c>
      <c r="I27" s="3191" t="s">
        <v>3055</v>
      </c>
      <c r="J27" s="3191">
        <v>15395.46</v>
      </c>
      <c r="K27" s="3191">
        <v>24748.240000000002</v>
      </c>
    </row>
    <row r="28" spans="3:11">
      <c r="C28" s="3191" t="s">
        <v>3051</v>
      </c>
      <c r="D28" s="3191" t="s">
        <v>2973</v>
      </c>
      <c r="E28" s="3191" t="s">
        <v>3009</v>
      </c>
      <c r="F28" s="3191" t="s">
        <v>3010</v>
      </c>
      <c r="G28" s="3191">
        <v>6262.81</v>
      </c>
      <c r="H28" s="3191" t="s">
        <v>3056</v>
      </c>
      <c r="I28" s="3191" t="s">
        <v>3057</v>
      </c>
      <c r="J28" s="3191">
        <v>18575.259999999998</v>
      </c>
      <c r="K28" s="3191">
        <v>26044.77</v>
      </c>
    </row>
    <row r="29" spans="3:11">
      <c r="C29" s="2939" t="s">
        <v>3051</v>
      </c>
      <c r="D29" s="2939" t="s">
        <v>2973</v>
      </c>
      <c r="E29" s="2939" t="s">
        <v>3009</v>
      </c>
      <c r="F29" s="2939" t="s">
        <v>3010</v>
      </c>
      <c r="G29" s="2939">
        <v>5454.94</v>
      </c>
      <c r="H29" s="2939" t="s">
        <v>3058</v>
      </c>
      <c r="I29" s="2939" t="s">
        <v>3057</v>
      </c>
      <c r="J29" s="2939">
        <v>19859.669999999998</v>
      </c>
      <c r="K29" s="2939">
        <v>26209.68</v>
      </c>
    </row>
    <row r="30" spans="3:11">
      <c r="C30" s="2939" t="s">
        <v>3008</v>
      </c>
      <c r="D30" s="2939" t="s">
        <v>2973</v>
      </c>
      <c r="E30" s="2939" t="s">
        <v>3009</v>
      </c>
      <c r="F30" s="2939" t="s">
        <v>3010</v>
      </c>
      <c r="G30" s="2939">
        <v>29768.12</v>
      </c>
      <c r="H30" s="2939">
        <v>8.73</v>
      </c>
      <c r="I30" s="2939" t="s">
        <v>3059</v>
      </c>
      <c r="J30" s="2939">
        <v>11793.38</v>
      </c>
      <c r="K30" s="2939">
        <v>25232.38</v>
      </c>
    </row>
    <row r="31" spans="3:11">
      <c r="C31" s="2939" t="s">
        <v>3060</v>
      </c>
      <c r="D31" s="2939" t="s">
        <v>2973</v>
      </c>
      <c r="E31" s="2939" t="s">
        <v>3009</v>
      </c>
      <c r="F31" s="2939" t="s">
        <v>3010</v>
      </c>
      <c r="G31" s="2939">
        <v>8013.03</v>
      </c>
      <c r="H31" s="2939">
        <v>8</v>
      </c>
      <c r="I31" s="2939" t="s">
        <v>3061</v>
      </c>
      <c r="J31" s="2939">
        <v>8161.79</v>
      </c>
      <c r="K31" s="2939">
        <v>14014.43</v>
      </c>
    </row>
    <row r="32" spans="3:11">
      <c r="C32" s="2939" t="s">
        <v>3008</v>
      </c>
      <c r="D32" s="2939" t="s">
        <v>2973</v>
      </c>
      <c r="E32" s="2939" t="s">
        <v>3009</v>
      </c>
      <c r="F32" s="2939" t="s">
        <v>3010</v>
      </c>
      <c r="G32" s="2939">
        <v>3610.13</v>
      </c>
      <c r="H32" s="2939">
        <v>16.95</v>
      </c>
      <c r="I32" s="2939" t="s">
        <v>3062</v>
      </c>
      <c r="J32" s="2939">
        <v>23932.66</v>
      </c>
      <c r="K32" s="2939">
        <v>21176.47</v>
      </c>
    </row>
    <row r="33" spans="3:11">
      <c r="C33" s="2939" t="s">
        <v>3063</v>
      </c>
      <c r="D33" s="2939" t="s">
        <v>2973</v>
      </c>
      <c r="E33" s="2939" t="s">
        <v>3009</v>
      </c>
      <c r="F33" s="2939" t="s">
        <v>3035</v>
      </c>
      <c r="G33" s="2939">
        <v>6941.25</v>
      </c>
      <c r="H33" s="2939" t="s">
        <v>3064</v>
      </c>
      <c r="I33" s="2939" t="s">
        <v>3065</v>
      </c>
      <c r="J33" s="2939">
        <v>4398.82</v>
      </c>
      <c r="K33" s="2939">
        <v>77758.91</v>
      </c>
    </row>
    <row r="34" spans="3:11">
      <c r="C34" s="2939" t="s">
        <v>3066</v>
      </c>
      <c r="D34" s="2939" t="s">
        <v>2973</v>
      </c>
      <c r="E34" s="2939" t="s">
        <v>3009</v>
      </c>
      <c r="F34" s="2939" t="s">
        <v>3010</v>
      </c>
      <c r="G34" s="2939">
        <v>32485.15</v>
      </c>
      <c r="H34" s="2939" t="s">
        <v>3067</v>
      </c>
      <c r="I34" s="2939" t="s">
        <v>3068</v>
      </c>
      <c r="J34" s="2939">
        <v>7921.57</v>
      </c>
      <c r="K34" s="2939">
        <v>19794.86</v>
      </c>
    </row>
    <row r="35" spans="3:11">
      <c r="C35" s="2939" t="s">
        <v>3069</v>
      </c>
      <c r="D35" s="2939" t="s">
        <v>2973</v>
      </c>
      <c r="E35" s="2939" t="s">
        <v>3009</v>
      </c>
      <c r="F35" s="2939" t="s">
        <v>3010</v>
      </c>
      <c r="G35" s="2939">
        <v>6267.15</v>
      </c>
      <c r="H35" s="2939" t="s">
        <v>3070</v>
      </c>
      <c r="I35" s="2939" t="s">
        <v>3071</v>
      </c>
      <c r="J35" s="2939">
        <v>7446.23</v>
      </c>
      <c r="K35" s="2939">
        <v>20000</v>
      </c>
    </row>
    <row r="36" spans="3:11">
      <c r="C36" s="2939" t="s">
        <v>3069</v>
      </c>
      <c r="D36" s="2939" t="s">
        <v>2973</v>
      </c>
      <c r="E36" s="2939" t="s">
        <v>3009</v>
      </c>
      <c r="F36" s="2939" t="s">
        <v>3010</v>
      </c>
      <c r="G36" s="2939">
        <v>6118.8</v>
      </c>
      <c r="H36" s="2939" t="s">
        <v>3072</v>
      </c>
      <c r="I36" s="2939" t="s">
        <v>3071</v>
      </c>
      <c r="J36" s="2939">
        <v>14381.9</v>
      </c>
      <c r="K36" s="2939">
        <v>17368.41</v>
      </c>
    </row>
    <row r="37" spans="3:11">
      <c r="C37" s="2939" t="s">
        <v>3069</v>
      </c>
      <c r="D37" s="2939" t="s">
        <v>2973</v>
      </c>
      <c r="E37" s="2939" t="s">
        <v>3009</v>
      </c>
      <c r="F37" s="2939" t="s">
        <v>3010</v>
      </c>
      <c r="G37" s="2939">
        <v>5277.75</v>
      </c>
      <c r="H37" s="2939" t="s">
        <v>3073</v>
      </c>
      <c r="I37" s="2939" t="s">
        <v>3071</v>
      </c>
      <c r="J37" s="2939">
        <v>13389.54</v>
      </c>
      <c r="K37" s="2939">
        <v>19629.63</v>
      </c>
    </row>
    <row r="38" spans="3:11">
      <c r="C38" s="2939" t="s">
        <v>3069</v>
      </c>
      <c r="D38" s="2939" t="s">
        <v>2973</v>
      </c>
      <c r="E38" s="2939" t="s">
        <v>3009</v>
      </c>
      <c r="F38" s="2939" t="s">
        <v>3010</v>
      </c>
      <c r="G38" s="2939">
        <v>5776.77</v>
      </c>
      <c r="H38" s="2939" t="s">
        <v>3074</v>
      </c>
      <c r="I38" s="2939" t="s">
        <v>3071</v>
      </c>
      <c r="J38" s="2939">
        <v>8193.74</v>
      </c>
      <c r="K38" s="2939">
        <v>20285.7</v>
      </c>
    </row>
    <row r="39" spans="3:11">
      <c r="C39" s="2939" t="s">
        <v>3075</v>
      </c>
      <c r="D39" s="2939" t="s">
        <v>2973</v>
      </c>
      <c r="E39" s="2939" t="s">
        <v>3009</v>
      </c>
      <c r="F39" s="2939" t="s">
        <v>3010</v>
      </c>
      <c r="G39" s="2939">
        <v>24317.22</v>
      </c>
      <c r="H39" s="2939" t="s">
        <v>3076</v>
      </c>
      <c r="I39" s="2939" t="s">
        <v>3077</v>
      </c>
      <c r="J39" s="2939">
        <v>4315.21</v>
      </c>
      <c r="K39" s="2939">
        <v>9151.2099999999991</v>
      </c>
    </row>
    <row r="40" spans="3:11">
      <c r="C40" s="2939" t="s">
        <v>3078</v>
      </c>
      <c r="D40" s="2939" t="s">
        <v>2973</v>
      </c>
      <c r="E40" s="2939" t="s">
        <v>3009</v>
      </c>
      <c r="F40" s="2939" t="s">
        <v>3010</v>
      </c>
      <c r="G40" s="2939">
        <v>15062.57</v>
      </c>
      <c r="H40" s="2939" t="s">
        <v>3079</v>
      </c>
      <c r="I40" s="2939" t="s">
        <v>3077</v>
      </c>
      <c r="J40" s="2939">
        <v>2859.76</v>
      </c>
      <c r="K40" s="2939">
        <v>8076.61</v>
      </c>
    </row>
    <row r="41" spans="3:11">
      <c r="C41" s="2939" t="s">
        <v>3080</v>
      </c>
      <c r="D41" s="2939" t="s">
        <v>2973</v>
      </c>
      <c r="E41" s="2939" t="s">
        <v>3009</v>
      </c>
      <c r="F41" s="2939" t="s">
        <v>3010</v>
      </c>
      <c r="G41" s="2939">
        <v>24947.84</v>
      </c>
      <c r="H41" s="2939" t="s">
        <v>3081</v>
      </c>
      <c r="I41" s="2939" t="s">
        <v>3077</v>
      </c>
      <c r="J41" s="2939">
        <v>4132.01</v>
      </c>
      <c r="K41" s="2939">
        <v>8138.26</v>
      </c>
    </row>
    <row r="42" spans="3:11">
      <c r="C42" s="2939" t="s">
        <v>3082</v>
      </c>
      <c r="D42" s="2939" t="s">
        <v>2973</v>
      </c>
      <c r="E42" s="2939" t="s">
        <v>3009</v>
      </c>
      <c r="F42" s="2939" t="s">
        <v>3010</v>
      </c>
      <c r="G42" s="2939">
        <v>9985.31</v>
      </c>
      <c r="H42" s="2939" t="s">
        <v>3083</v>
      </c>
      <c r="I42" s="2939" t="s">
        <v>3077</v>
      </c>
      <c r="J42" s="2939">
        <v>13025</v>
      </c>
      <c r="K42" s="2939">
        <v>13934.86</v>
      </c>
    </row>
    <row r="43" spans="3:11">
      <c r="C43" s="2939" t="s">
        <v>3084</v>
      </c>
      <c r="D43" s="2939" t="s">
        <v>2973</v>
      </c>
      <c r="E43" s="2939" t="s">
        <v>3009</v>
      </c>
      <c r="F43" s="2939" t="s">
        <v>3010</v>
      </c>
      <c r="G43" s="2939">
        <v>29910.33</v>
      </c>
      <c r="H43" s="2939" t="s">
        <v>3085</v>
      </c>
      <c r="I43" s="2939" t="s">
        <v>3086</v>
      </c>
      <c r="J43" s="2939">
        <v>7910.31</v>
      </c>
      <c r="K43" s="2939">
        <v>13597.7</v>
      </c>
    </row>
    <row r="44" spans="3:11">
      <c r="C44" s="2939" t="s">
        <v>3087</v>
      </c>
      <c r="D44" s="2939" t="s">
        <v>2973</v>
      </c>
      <c r="E44" s="2939" t="s">
        <v>3009</v>
      </c>
      <c r="F44" s="2939" t="s">
        <v>3010</v>
      </c>
      <c r="G44" s="2939">
        <v>39725.11</v>
      </c>
      <c r="H44" s="2939" t="s">
        <v>3088</v>
      </c>
      <c r="I44" s="2939" t="s">
        <v>3089</v>
      </c>
      <c r="J44" s="2939">
        <v>22504.639999999999</v>
      </c>
      <c r="K44" s="2939">
        <v>28113.18</v>
      </c>
    </row>
    <row r="45" spans="3:11">
      <c r="C45" s="2939" t="s">
        <v>3069</v>
      </c>
      <c r="D45" s="2939" t="s">
        <v>2973</v>
      </c>
      <c r="E45" s="2939" t="s">
        <v>3009</v>
      </c>
      <c r="F45" s="2939" t="s">
        <v>3010</v>
      </c>
      <c r="G45" s="2939">
        <v>4223.5</v>
      </c>
      <c r="H45" s="2939" t="s">
        <v>3090</v>
      </c>
      <c r="I45" s="2939" t="s">
        <v>3091</v>
      </c>
      <c r="J45" s="2939">
        <v>25729.06</v>
      </c>
      <c r="K45" s="2939">
        <v>25468.75</v>
      </c>
    </row>
    <row r="46" spans="3:11">
      <c r="C46" s="2939" t="s">
        <v>3069</v>
      </c>
      <c r="D46" s="2939" t="s">
        <v>2973</v>
      </c>
      <c r="E46" s="2939" t="s">
        <v>3009</v>
      </c>
      <c r="F46" s="2939" t="s">
        <v>3010</v>
      </c>
      <c r="G46" s="2939">
        <v>12746.66</v>
      </c>
      <c r="H46" s="2939" t="s">
        <v>3092</v>
      </c>
      <c r="I46" s="2939" t="s">
        <v>3091</v>
      </c>
      <c r="J46" s="2939">
        <v>12724.9</v>
      </c>
      <c r="K46" s="2939">
        <v>16220</v>
      </c>
    </row>
    <row r="47" spans="3:11">
      <c r="C47" s="2939" t="s">
        <v>3008</v>
      </c>
      <c r="D47" s="2939" t="s">
        <v>2973</v>
      </c>
      <c r="E47" s="2939" t="s">
        <v>3009</v>
      </c>
      <c r="F47" s="2939" t="s">
        <v>3010</v>
      </c>
      <c r="G47" s="2939">
        <v>4197.3999999999996</v>
      </c>
      <c r="H47" s="2939">
        <v>9.0500000000000007</v>
      </c>
      <c r="I47" s="2939" t="s">
        <v>3093</v>
      </c>
      <c r="J47" s="2939">
        <v>6464.32</v>
      </c>
      <c r="K47" s="2939">
        <v>10710.53</v>
      </c>
    </row>
    <row r="48" spans="3:11">
      <c r="C48" s="2939" t="s">
        <v>3094</v>
      </c>
      <c r="D48" s="2939" t="s">
        <v>2973</v>
      </c>
      <c r="E48" s="2939" t="s">
        <v>3009</v>
      </c>
      <c r="F48" s="2939" t="s">
        <v>3035</v>
      </c>
      <c r="G48" s="2939">
        <v>2804.72</v>
      </c>
      <c r="H48" s="2939" t="s">
        <v>2778</v>
      </c>
      <c r="I48" s="2939" t="s">
        <v>3093</v>
      </c>
      <c r="J48" s="2939">
        <v>3636.73</v>
      </c>
      <c r="K48" s="2939">
        <v>10928.56</v>
      </c>
    </row>
    <row r="49" spans="3:11">
      <c r="C49" s="2939" t="s">
        <v>3008</v>
      </c>
      <c r="D49" s="2939" t="s">
        <v>2973</v>
      </c>
      <c r="E49" s="2939" t="s">
        <v>3009</v>
      </c>
      <c r="F49" s="2939" t="s">
        <v>3010</v>
      </c>
      <c r="G49" s="2939">
        <v>8819.9699999999993</v>
      </c>
      <c r="H49" s="2939" t="s">
        <v>3095</v>
      </c>
      <c r="I49" s="2939" t="s">
        <v>3093</v>
      </c>
      <c r="J49" s="2939">
        <v>7029.5</v>
      </c>
      <c r="K49" s="2939">
        <v>8587.26</v>
      </c>
    </row>
    <row r="50" spans="3:11">
      <c r="C50" s="2939" t="s">
        <v>3008</v>
      </c>
      <c r="D50" s="2939" t="s">
        <v>2973</v>
      </c>
      <c r="E50" s="2939" t="s">
        <v>3009</v>
      </c>
      <c r="F50" s="2939" t="s">
        <v>3010</v>
      </c>
      <c r="G50" s="2939">
        <v>4953.74</v>
      </c>
      <c r="H50" s="2939" t="s">
        <v>2778</v>
      </c>
      <c r="I50" s="2939" t="s">
        <v>3093</v>
      </c>
      <c r="J50" s="2939">
        <v>7845.92</v>
      </c>
      <c r="K50" s="2939">
        <v>9479.67</v>
      </c>
    </row>
    <row r="51" spans="3:11">
      <c r="C51" s="2939" t="s">
        <v>3008</v>
      </c>
      <c r="D51" s="2939" t="s">
        <v>2973</v>
      </c>
      <c r="E51" s="2939" t="s">
        <v>3009</v>
      </c>
      <c r="F51" s="2939" t="s">
        <v>3010</v>
      </c>
      <c r="G51" s="2939">
        <v>4336.83</v>
      </c>
      <c r="H51" s="2939">
        <v>13.37</v>
      </c>
      <c r="I51" s="2939" t="s">
        <v>3093</v>
      </c>
      <c r="J51" s="2939">
        <v>8623.81</v>
      </c>
      <c r="K51" s="2939">
        <v>9672.4</v>
      </c>
    </row>
    <row r="52" spans="3:11">
      <c r="C52" s="2939" t="s">
        <v>3096</v>
      </c>
      <c r="D52" s="2939" t="s">
        <v>2973</v>
      </c>
      <c r="E52" s="2939" t="s">
        <v>3009</v>
      </c>
      <c r="F52" s="2939" t="s">
        <v>3010</v>
      </c>
      <c r="G52" s="2939">
        <v>53934</v>
      </c>
      <c r="H52" s="2939">
        <v>9.33</v>
      </c>
      <c r="I52" s="2939" t="s">
        <v>3097</v>
      </c>
      <c r="J52" s="2939">
        <v>13473.26</v>
      </c>
      <c r="K52" s="2939">
        <v>21669.97</v>
      </c>
    </row>
    <row r="53" spans="3:11">
      <c r="C53" s="2939" t="s">
        <v>3098</v>
      </c>
      <c r="D53" s="2939" t="s">
        <v>2973</v>
      </c>
      <c r="E53" s="2939" t="s">
        <v>3009</v>
      </c>
      <c r="F53" s="2939" t="s">
        <v>3010</v>
      </c>
      <c r="G53" s="2939">
        <v>37516</v>
      </c>
      <c r="H53" s="2939">
        <v>8.5399999999999991</v>
      </c>
      <c r="I53" s="2939" t="s">
        <v>3099</v>
      </c>
      <c r="J53" s="2939">
        <v>9220.9500000000007</v>
      </c>
      <c r="K53" s="2939">
        <v>16195.37</v>
      </c>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workbookViewId="0">
      <selection activeCell="F27" sqref="F27"/>
    </sheetView>
  </sheetViews>
  <sheetFormatPr defaultRowHeight="14.4"/>
  <sheetData>
    <row r="2" spans="2:13">
      <c r="B2" s="3200" t="s">
        <v>3130</v>
      </c>
      <c r="M2" s="3200" t="s">
        <v>3131</v>
      </c>
    </row>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topLeftCell="A7" workbookViewId="0">
      <selection activeCell="H30" sqref="H30"/>
    </sheetView>
  </sheetViews>
  <sheetFormatPr defaultRowHeight="14.4"/>
  <sheetData>
    <row r="3" spans="2:15">
      <c r="B3" s="3200" t="s">
        <v>3134</v>
      </c>
      <c r="O3" s="3200" t="s">
        <v>3135</v>
      </c>
    </row>
    <row r="22" spans="4:7">
      <c r="E22" s="3199" t="s">
        <v>3142</v>
      </c>
      <c r="F22" s="3199" t="s">
        <v>3143</v>
      </c>
      <c r="G22" s="3199" t="s">
        <v>3145</v>
      </c>
    </row>
    <row r="23" spans="4:7">
      <c r="D23" s="3199" t="s">
        <v>3136</v>
      </c>
      <c r="E23">
        <v>120000</v>
      </c>
      <c r="F23">
        <v>1</v>
      </c>
      <c r="G23">
        <v>25</v>
      </c>
    </row>
    <row r="24" spans="4:7">
      <c r="D24" s="3199" t="s">
        <v>3137</v>
      </c>
      <c r="E24">
        <f>$E$23*F24</f>
        <v>84000</v>
      </c>
      <c r="F24">
        <v>0.7</v>
      </c>
      <c r="G24">
        <f>$G$23*F24</f>
        <v>17.5</v>
      </c>
    </row>
    <row r="25" spans="4:7">
      <c r="D25" s="3199" t="s">
        <v>3138</v>
      </c>
      <c r="E25">
        <f t="shared" ref="E25:E27" si="0">$E$23*F25</f>
        <v>72000</v>
      </c>
      <c r="F25">
        <v>0.6</v>
      </c>
      <c r="G25">
        <f t="shared" ref="G25:G28" si="1">$G$23*F25</f>
        <v>15</v>
      </c>
    </row>
    <row r="26" spans="4:7">
      <c r="D26" s="3199" t="s">
        <v>3139</v>
      </c>
      <c r="E26">
        <f t="shared" si="0"/>
        <v>66000</v>
      </c>
      <c r="F26">
        <v>0.55000000000000004</v>
      </c>
      <c r="G26">
        <f t="shared" si="1"/>
        <v>13.750000000000002</v>
      </c>
    </row>
    <row r="27" spans="4:7">
      <c r="D27" s="3199" t="s">
        <v>3140</v>
      </c>
      <c r="E27">
        <f t="shared" si="0"/>
        <v>66000</v>
      </c>
      <c r="F27">
        <v>0.55000000000000004</v>
      </c>
      <c r="G27">
        <f t="shared" si="1"/>
        <v>13.750000000000002</v>
      </c>
    </row>
    <row r="28" spans="4:7">
      <c r="D28" s="3199" t="s">
        <v>3141</v>
      </c>
      <c r="G28">
        <f t="shared" si="1"/>
        <v>0</v>
      </c>
    </row>
    <row r="29" spans="4:7">
      <c r="D29" s="3199" t="s">
        <v>3146</v>
      </c>
      <c r="E29">
        <f>AVERAGE(E23:E28)</f>
        <v>81600</v>
      </c>
      <c r="G29">
        <f>AVERAGE(G23:G27)</f>
        <v>17</v>
      </c>
    </row>
    <row r="31" spans="4:7">
      <c r="D31" s="3199" t="s">
        <v>3144</v>
      </c>
      <c r="E31">
        <f>E23*F31</f>
        <v>78000</v>
      </c>
      <c r="F31">
        <v>0.65</v>
      </c>
      <c r="G31">
        <f>ROUND(G23*F31,0)</f>
        <v>16</v>
      </c>
    </row>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N16" sqref="N16"/>
    </sheetView>
  </sheetViews>
  <sheetFormatPr defaultRowHeight="14.4"/>
  <sheetData>
    <row r="3" spans="2:2">
      <c r="B3" s="3200" t="s">
        <v>3133</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2000</v>
      </c>
      <c r="B1" s="3211"/>
      <c r="C1" s="3211"/>
      <c r="D1" s="3211"/>
      <c r="E1" s="3211"/>
      <c r="F1" s="3211"/>
      <c r="G1" s="3211"/>
      <c r="H1" s="3211"/>
      <c r="I1" s="3211"/>
      <c r="J1" s="3211"/>
      <c r="K1" s="3211"/>
      <c r="L1" s="3211"/>
      <c r="M1" s="3211"/>
      <c r="N1" s="3211"/>
      <c r="O1" s="3211"/>
      <c r="P1" s="3211"/>
      <c r="Q1" s="3211"/>
      <c r="R1" s="3211"/>
    </row>
    <row r="2" spans="1:18">
      <c r="A2" s="1807" t="s">
        <v>2002</v>
      </c>
      <c r="B2" s="1807"/>
      <c r="C2" s="1807"/>
      <c r="D2" s="1807"/>
      <c r="E2" s="1807"/>
      <c r="F2" s="1807"/>
      <c r="G2" s="1807"/>
      <c r="H2" s="1807"/>
      <c r="I2" s="1808"/>
      <c r="J2" s="1808"/>
      <c r="K2" s="1809" t="str">
        <f>"估价期日："&amp;TEXT(项目基本情况!D3,"yyyy年m月d日;;")</f>
        <v>估价期日：2018年8月31日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2" t="s">
        <v>1991</v>
      </c>
      <c r="B3" s="3212" t="s">
        <v>2691</v>
      </c>
      <c r="C3" s="3213" t="s">
        <v>1992</v>
      </c>
      <c r="D3" s="3212" t="s">
        <v>2695</v>
      </c>
      <c r="E3" s="3207" t="s">
        <v>1993</v>
      </c>
      <c r="F3" s="3207"/>
      <c r="G3" s="3207"/>
      <c r="H3" s="3207" t="s">
        <v>1994</v>
      </c>
      <c r="I3" s="3207"/>
      <c r="J3" s="3207"/>
      <c r="K3" s="3213" t="s">
        <v>1995</v>
      </c>
      <c r="L3" s="3213" t="s">
        <v>1996</v>
      </c>
      <c r="M3" s="3212" t="s">
        <v>2692</v>
      </c>
      <c r="N3" s="3214" t="str">
        <f>"（分摊）"&amp;项目基本情况!B16&amp;"国有建设用地使用权面积/㎡"</f>
        <v>（分摊）出让国有建设用地使用权面积/㎡</v>
      </c>
      <c r="O3" s="3212" t="s">
        <v>2025</v>
      </c>
      <c r="P3" s="3213" t="s">
        <v>2005</v>
      </c>
      <c r="Q3" s="3213" t="s">
        <v>2026</v>
      </c>
      <c r="R3" s="3213" t="s">
        <v>1997</v>
      </c>
    </row>
    <row r="4" spans="1:18" ht="36.75" customHeight="1">
      <c r="A4" s="3212"/>
      <c r="B4" s="3212"/>
      <c r="C4" s="3213"/>
      <c r="D4" s="3212"/>
      <c r="E4" s="2649" t="s">
        <v>2004</v>
      </c>
      <c r="F4" s="2649" t="s">
        <v>2704</v>
      </c>
      <c r="G4" s="2649" t="s">
        <v>1998</v>
      </c>
      <c r="H4" s="2649" t="s">
        <v>1999</v>
      </c>
      <c r="I4" s="2649" t="s">
        <v>2705</v>
      </c>
      <c r="J4" s="2649" t="s">
        <v>1998</v>
      </c>
      <c r="K4" s="3213"/>
      <c r="L4" s="3213"/>
      <c r="M4" s="3212"/>
      <c r="N4" s="3214"/>
      <c r="O4" s="3212"/>
      <c r="P4" s="3213"/>
      <c r="Q4" s="3213"/>
      <c r="R4" s="3213"/>
    </row>
    <row r="5" spans="1:18" ht="135" customHeight="1">
      <c r="A5" s="1943" t="s">
        <v>2615</v>
      </c>
      <c r="B5" s="2867" t="s">
        <v>2613</v>
      </c>
      <c r="C5" s="2648">
        <v>22</v>
      </c>
      <c r="D5" s="2647" t="s">
        <v>2614</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121219</v>
      </c>
      <c r="P5" s="1810">
        <f ca="1">结果表!E42</f>
        <v>355261</v>
      </c>
      <c r="Q5" s="1810">
        <f ca="1">结果表!D42</f>
        <v>30548</v>
      </c>
      <c r="R5" s="1811">
        <f ca="1">结果表!C42</f>
        <v>370297</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2">
        <f ca="1">结果表!O39</f>
        <v>370297</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4.4"/>
  <sheetData/>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6" t="s">
        <v>2027</v>
      </c>
      <c r="B1" s="3216"/>
      <c r="C1" s="3216"/>
      <c r="D1" s="3216"/>
    </row>
    <row r="2" spans="1:4" ht="47.25" customHeight="1">
      <c r="A2" s="3217" t="str">
        <f>"1.权利限制："&amp;项目基本情况!L24&amp;"未设定租赁等其他他项权利。"</f>
        <v>1.权利限制：根据估价对象《不动产权证书》——、《国有土地使用权》——，截至估价期日，估价对象抵押权未见登记。未设定租赁等其他他项权利。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3.估价规划限制条件：详见《建设用地规划许可证》。</v>
      </c>
      <c r="B4" s="3216"/>
      <c r="C4" s="3216"/>
      <c r="D4" s="3216"/>
    </row>
    <row r="5" spans="1:4">
      <c r="A5" s="3215" t="s">
        <v>2028</v>
      </c>
      <c r="B5" s="3215"/>
      <c r="C5" s="3215"/>
      <c r="D5" s="3215"/>
    </row>
    <row r="6" spans="1:4">
      <c r="A6" s="3216" t="s">
        <v>2006</v>
      </c>
      <c r="B6" s="3216"/>
      <c r="C6" s="3216"/>
      <c r="D6" s="3216"/>
    </row>
    <row r="7" spans="1:4" ht="33" customHeight="1">
      <c r="A7" s="3216" t="s">
        <v>2535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（1）根据估价对象《不动产权证书》——、《国有土地使用权》——，截至估价期日，估价对象抵押权未见登记。</v>
      </c>
      <c r="B11" s="3218"/>
      <c r="C11" s="3218"/>
      <c r="D11" s="3218"/>
    </row>
    <row r="12" spans="1:4" ht="168" customHeight="1">
      <c r="A12" s="3215" t="s">
        <v>2030</v>
      </c>
      <c r="B12" s="3215"/>
      <c r="C12" s="3215"/>
      <c r="D12" s="3215"/>
    </row>
    <row r="13" spans="1:4">
      <c r="A13" s="3219" t="s">
        <v>2706</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2662</v>
      </c>
      <c r="B17" s="3216"/>
      <c r="C17" s="3216"/>
      <c r="D17" s="3216"/>
    </row>
    <row r="18" spans="1:4">
      <c r="A18" s="3216" t="s">
        <v>2654</v>
      </c>
      <c r="B18" s="3216"/>
      <c r="C18" s="3216"/>
      <c r="D18" s="3216"/>
    </row>
    <row r="19" spans="1:4">
      <c r="A19" s="2868" t="s">
        <v>2655</v>
      </c>
      <c r="B19" s="2868" t="s">
        <v>2656</v>
      </c>
      <c r="C19" s="2868" t="s">
        <v>2657</v>
      </c>
      <c r="D19" s="2868" t="s">
        <v>2658</v>
      </c>
    </row>
    <row r="20" spans="1:4">
      <c r="A20" s="2868" t="str">
        <f>项目基本情况!B4</f>
        <v>王鹏</v>
      </c>
      <c r="B20" s="2868">
        <f ca="1">项目基本情况!C4</f>
        <v>2002110030</v>
      </c>
      <c r="C20" s="2870"/>
      <c r="D20" s="1800" t="s">
        <v>2663</v>
      </c>
    </row>
    <row r="21" spans="1:4">
      <c r="A21" s="2868" t="str">
        <f>项目基本情况!D4</f>
        <v>崔锴</v>
      </c>
      <c r="B21" s="2868">
        <f ca="1">项目基本情况!E4</f>
        <v>2010110070</v>
      </c>
      <c r="C21" s="2870"/>
      <c r="D21" s="1800" t="s">
        <v>2664</v>
      </c>
    </row>
    <row r="23" spans="1:4">
      <c r="A23" s="3216" t="s">
        <v>2659</v>
      </c>
      <c r="B23" s="3216"/>
      <c r="C23" s="3216"/>
      <c r="D23" s="3216"/>
    </row>
    <row r="24" spans="1:4">
      <c r="A24" s="2868" t="s">
        <v>2655</v>
      </c>
      <c r="B24" s="2868" t="s">
        <v>2660</v>
      </c>
      <c r="C24" s="2868" t="s">
        <v>2657</v>
      </c>
      <c r="D24" s="2868" t="s">
        <v>2658</v>
      </c>
    </row>
    <row r="25" spans="1:4">
      <c r="A25" s="2871" t="s">
        <v>2661</v>
      </c>
      <c r="B25" s="2868" t="s">
        <v>917</v>
      </c>
      <c r="C25" s="2870"/>
      <c r="D25" s="1800" t="s">
        <v>2664</v>
      </c>
    </row>
    <row r="29" spans="1:4">
      <c r="D29" s="2869" t="s">
        <v>2001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4" customWidth="1"/>
    <col min="2" max="16384" width="14.44140625" style="1162"/>
  </cols>
  <sheetData>
    <row r="1" spans="1:7" s="1160" customFormat="1" ht="17.399999999999999">
      <c r="A1" s="1159" t="s">
        <v>64</v>
      </c>
    </row>
    <row r="3" spans="1:7">
      <c r="A3" s="1161" t="s">
        <v>65</v>
      </c>
      <c r="B3" s="1162" t="s">
        <v>66</v>
      </c>
      <c r="G3" s="1163"/>
    </row>
    <row r="4" spans="1:7">
      <c r="G4" s="1163"/>
    </row>
    <row r="5" spans="1:7">
      <c r="A5" s="1165" t="s">
        <v>44</v>
      </c>
      <c r="B5" s="1162" t="s">
        <v>45</v>
      </c>
      <c r="G5" s="1163"/>
    </row>
    <row r="6" spans="1:7">
      <c r="G6" s="1163"/>
    </row>
    <row r="7" spans="1:7">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4">
      <c r="A15" s="3227" t="s">
        <v>52</v>
      </c>
      <c r="B15" s="3228" t="s">
        <v>811</v>
      </c>
      <c r="C15" s="3224"/>
    </row>
    <row r="16" spans="1:7" ht="14.4">
      <c r="A16" s="3227"/>
      <c r="B16" s="3225" t="s">
        <v>53</v>
      </c>
      <c r="C16" s="1171" t="s">
        <v>52</v>
      </c>
    </row>
    <row r="17" spans="1:3" ht="14.4">
      <c r="A17" s="3227"/>
      <c r="B17" s="3225"/>
      <c r="C17" s="1171" t="s">
        <v>54</v>
      </c>
    </row>
    <row r="18" spans="1:3" ht="14.4">
      <c r="A18" s="3227"/>
      <c r="B18" s="3225"/>
      <c r="C18" s="1171" t="s">
        <v>55</v>
      </c>
    </row>
    <row r="19" spans="1:3" ht="14.4">
      <c r="A19" s="3227"/>
      <c r="B19" s="3223" t="s">
        <v>56</v>
      </c>
      <c r="C19" s="3224"/>
    </row>
    <row r="20" spans="1:3" ht="14.4">
      <c r="A20" s="1172" t="s">
        <v>57</v>
      </c>
      <c r="B20" s="1173"/>
      <c r="C20" s="1174"/>
    </row>
    <row r="21" spans="1:3" ht="14.4">
      <c r="A21" s="3226" t="s">
        <v>58</v>
      </c>
      <c r="B21" s="3223" t="s">
        <v>59</v>
      </c>
      <c r="C21" s="3224"/>
    </row>
    <row r="22" spans="1:3" ht="14.4">
      <c r="A22" s="3226"/>
      <c r="B22" s="3223" t="s">
        <v>60</v>
      </c>
      <c r="C22" s="3224"/>
    </row>
    <row r="23" spans="1:3" ht="14.4">
      <c r="A23" s="3226"/>
      <c r="B23" s="3223" t="s">
        <v>61</v>
      </c>
      <c r="C23" s="3224"/>
    </row>
    <row r="24" spans="1:3" ht="14.4">
      <c r="A24" s="3226"/>
      <c r="B24" s="3229" t="s">
        <v>62</v>
      </c>
      <c r="C24" s="1175" t="s">
        <v>802</v>
      </c>
    </row>
    <row r="25" spans="1:3" ht="14.4">
      <c r="A25" s="3226"/>
      <c r="B25" s="3230"/>
      <c r="C25" s="1175" t="s">
        <v>803</v>
      </c>
    </row>
    <row r="26" spans="1:3" ht="14.4">
      <c r="A26" s="3226"/>
      <c r="B26" s="3230"/>
      <c r="C26" s="1175" t="s">
        <v>804</v>
      </c>
    </row>
    <row r="27" spans="1:3" ht="14.4">
      <c r="A27" s="3226"/>
      <c r="B27" s="3230"/>
      <c r="C27" s="1175" t="s">
        <v>805</v>
      </c>
    </row>
    <row r="28" spans="1:3" ht="14.4">
      <c r="A28" s="3226"/>
      <c r="B28" s="3230"/>
      <c r="C28" s="1175" t="s">
        <v>806</v>
      </c>
    </row>
    <row r="29" spans="1:3" ht="14.4">
      <c r="A29" s="3226"/>
      <c r="B29" s="3230"/>
      <c r="C29" s="1175" t="s">
        <v>807</v>
      </c>
    </row>
    <row r="30" spans="1:3" ht="14.4">
      <c r="A30" s="3226"/>
      <c r="B30" s="3230"/>
      <c r="C30" s="1175" t="s">
        <v>808</v>
      </c>
    </row>
    <row r="31" spans="1:3" ht="14.4">
      <c r="A31" s="3226"/>
      <c r="B31" s="3230"/>
      <c r="C31" s="1175" t="s">
        <v>809</v>
      </c>
    </row>
    <row r="32" spans="1:3" ht="14.4">
      <c r="A32" s="3226"/>
      <c r="B32" s="3230"/>
      <c r="C32" s="1175" t="s">
        <v>1611</v>
      </c>
    </row>
    <row r="33" spans="1:3" ht="14.4">
      <c r="A33" s="3226"/>
      <c r="B33" s="3220" t="s">
        <v>1617</v>
      </c>
      <c r="C33" s="1175" t="s">
        <v>1612</v>
      </c>
    </row>
    <row r="34" spans="1:3" ht="14.4">
      <c r="A34" s="3226"/>
      <c r="B34" s="3221"/>
      <c r="C34" s="1180" t="s">
        <v>1613</v>
      </c>
    </row>
    <row r="35" spans="1:3" ht="14.4">
      <c r="A35" s="3226"/>
      <c r="B35" s="3221"/>
      <c r="C35" s="1181" t="s">
        <v>1614</v>
      </c>
    </row>
    <row r="36" spans="1:3" ht="14.4">
      <c r="A36" s="3226"/>
      <c r="B36" s="3221"/>
      <c r="C36" s="1181" t="s">
        <v>1615</v>
      </c>
    </row>
    <row r="37" spans="1:3" ht="14.4">
      <c r="A37" s="3226"/>
      <c r="B37" s="3222"/>
      <c r="C37" s="1182" t="s">
        <v>1616</v>
      </c>
    </row>
    <row r="38" spans="1:3">
      <c r="A38" s="1176" t="s">
        <v>810</v>
      </c>
    </row>
    <row r="41" spans="1:3">
      <c r="A41" s="1176" t="s">
        <v>67</v>
      </c>
    </row>
    <row r="42" spans="1:3" ht="14.4">
      <c r="A42" s="1177" t="s">
        <v>818</v>
      </c>
    </row>
    <row r="43" spans="1:3" ht="14.4">
      <c r="A43" s="1178" t="s">
        <v>68</v>
      </c>
    </row>
    <row r="44" spans="1:3" ht="14.4">
      <c r="A44" s="1177" t="s">
        <v>817</v>
      </c>
    </row>
    <row r="45" spans="1:3" ht="14.4">
      <c r="A45" s="1179" t="s">
        <v>819</v>
      </c>
    </row>
    <row r="46" spans="1:3" ht="14.4">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1869</v>
      </c>
      <c r="B2" s="1656">
        <f ca="1">TODAY()</f>
        <v>43350</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2926</v>
      </c>
      <c r="B12" s="2343">
        <v>1120110054</v>
      </c>
      <c r="C12" s="3006">
        <v>43937</v>
      </c>
      <c r="D12" s="2343" t="s">
        <v>2926</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2534</v>
      </c>
      <c r="B15" s="2343">
        <v>1120070085</v>
      </c>
      <c r="C15" s="3006">
        <v>43814</v>
      </c>
      <c r="D15" s="2343" t="s">
        <v>2534</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31" t="s">
        <v>1890</v>
      </c>
      <c r="B25" s="3231"/>
      <c r="C25" s="3231"/>
      <c r="D25" s="3231"/>
      <c r="E25" s="3231"/>
      <c r="F25" s="3231"/>
      <c r="G25" s="3231"/>
    </row>
    <row r="26" spans="1:7" ht="20.25" customHeight="1">
      <c r="A26" s="3232" t="s">
        <v>1891</v>
      </c>
      <c r="B26" s="3232"/>
      <c r="C26" s="3232"/>
      <c r="D26" s="3232" t="s">
        <v>1892</v>
      </c>
      <c r="E26" s="3232"/>
      <c r="F26" s="3232"/>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9" sqref="AA9"/>
    </sheetView>
  </sheetViews>
  <sheetFormatPr defaultColWidth="9" defaultRowHeight="13.8"/>
  <cols>
    <col min="1" max="1" width="14.441406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2505</v>
      </c>
      <c r="R1" s="2582" t="s">
        <v>2499</v>
      </c>
      <c r="S1" s="6" t="s">
        <v>119</v>
      </c>
      <c r="T1" s="7" t="s">
        <v>120</v>
      </c>
      <c r="U1" s="6" t="s">
        <v>121</v>
      </c>
      <c r="V1" s="6" t="s">
        <v>122</v>
      </c>
      <c r="W1" s="1004" t="s">
        <v>839</v>
      </c>
    </row>
    <row r="2" spans="1:23" ht="14.4">
      <c r="A2" s="3111" t="s">
        <v>2962</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2500</v>
      </c>
      <c r="S2" s="9" t="s">
        <v>73</v>
      </c>
      <c r="T2" s="9" t="s">
        <v>74</v>
      </c>
      <c r="U2" s="9" t="s">
        <v>73</v>
      </c>
      <c r="V2" s="9" t="s">
        <v>75</v>
      </c>
      <c r="W2" s="9" t="s">
        <v>840</v>
      </c>
    </row>
    <row r="3" spans="1:23" ht="14.4">
      <c r="A3" s="3111" t="s">
        <v>2964</v>
      </c>
      <c r="B3" s="10" t="s">
        <v>3148</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2501</v>
      </c>
      <c r="S3" s="9" t="s">
        <v>81</v>
      </c>
      <c r="T3" s="9" t="s">
        <v>82</v>
      </c>
      <c r="U3" s="9" t="s">
        <v>81</v>
      </c>
      <c r="V3" s="9" t="s">
        <v>83</v>
      </c>
      <c r="W3" s="9" t="s">
        <v>841</v>
      </c>
    </row>
    <row r="4" spans="1:23" ht="14.4">
      <c r="A4" s="3111" t="s">
        <v>2966</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2502</v>
      </c>
      <c r="S4" s="9" t="s">
        <v>88</v>
      </c>
      <c r="T4" s="9" t="s">
        <v>89</v>
      </c>
      <c r="U4" s="9" t="s">
        <v>88</v>
      </c>
      <c r="W4" s="9" t="s">
        <v>842</v>
      </c>
    </row>
    <row r="5" spans="1:23" ht="14.4">
      <c r="A5" s="3111" t="s">
        <v>2968</v>
      </c>
      <c r="B5" s="8" t="s">
        <v>2981</v>
      </c>
      <c r="C5" s="1550" t="s">
        <v>1674</v>
      </c>
      <c r="F5" s="9" t="s">
        <v>90</v>
      </c>
      <c r="H5" s="9" t="s">
        <v>69</v>
      </c>
      <c r="I5" s="9" t="s">
        <v>91</v>
      </c>
      <c r="K5" s="9" t="s">
        <v>92</v>
      </c>
      <c r="L5" s="9" t="s">
        <v>92</v>
      </c>
      <c r="M5" s="9" t="s">
        <v>92</v>
      </c>
      <c r="N5" s="9" t="s">
        <v>92</v>
      </c>
      <c r="O5" s="9" t="s">
        <v>92</v>
      </c>
      <c r="P5" s="1006" t="s">
        <v>511</v>
      </c>
      <c r="Q5" s="9" t="s">
        <v>92</v>
      </c>
      <c r="R5" s="1006" t="s">
        <v>2503</v>
      </c>
      <c r="S5" s="9" t="s">
        <v>92</v>
      </c>
      <c r="T5" s="9" t="s">
        <v>93</v>
      </c>
      <c r="U5" s="9" t="s">
        <v>92</v>
      </c>
      <c r="W5" s="9" t="s">
        <v>843</v>
      </c>
    </row>
    <row r="6" spans="1:23" ht="14.4">
      <c r="A6" s="3111" t="s">
        <v>2970</v>
      </c>
      <c r="B6" s="8" t="s">
        <v>2982</v>
      </c>
      <c r="C6" s="1552" t="s">
        <v>1675</v>
      </c>
      <c r="F6" s="9" t="s">
        <v>70</v>
      </c>
      <c r="H6" s="9" t="s">
        <v>71</v>
      </c>
      <c r="I6" s="9" t="s">
        <v>94</v>
      </c>
      <c r="K6" s="9" t="s">
        <v>95</v>
      </c>
      <c r="L6" s="9" t="s">
        <v>95</v>
      </c>
      <c r="M6" s="9" t="s">
        <v>95</v>
      </c>
      <c r="N6" s="9" t="s">
        <v>95</v>
      </c>
      <c r="O6" s="9" t="s">
        <v>95</v>
      </c>
      <c r="P6" s="1006" t="s">
        <v>846</v>
      </c>
      <c r="Q6" s="9" t="s">
        <v>95</v>
      </c>
      <c r="R6" s="1006" t="s">
        <v>2504</v>
      </c>
      <c r="S6" s="9" t="s">
        <v>95</v>
      </c>
      <c r="T6" s="9"/>
      <c r="U6" s="9" t="s">
        <v>95</v>
      </c>
      <c r="W6" s="9" t="s">
        <v>844</v>
      </c>
    </row>
    <row r="7" spans="1:23" ht="14.4">
      <c r="A7" s="3111" t="s">
        <v>2980</v>
      </c>
      <c r="B7" s="8" t="s">
        <v>2983</v>
      </c>
      <c r="C7" s="1550" t="s">
        <v>1676</v>
      </c>
      <c r="F7" s="9" t="s">
        <v>125</v>
      </c>
      <c r="H7" s="9" t="s">
        <v>96</v>
      </c>
      <c r="I7" s="9" t="s">
        <v>97</v>
      </c>
    </row>
    <row r="8" spans="1:23" ht="14.4">
      <c r="A8" s="8"/>
      <c r="B8" s="8" t="s">
        <v>2984</v>
      </c>
      <c r="C8" s="1550" t="s">
        <v>1677</v>
      </c>
      <c r="F8" s="9" t="s">
        <v>126</v>
      </c>
      <c r="H8" s="9"/>
      <c r="I8" s="9" t="s">
        <v>98</v>
      </c>
    </row>
    <row r="9" spans="1:23" ht="14.4">
      <c r="A9" s="8"/>
      <c r="B9" s="8" t="s">
        <v>2985</v>
      </c>
      <c r="C9" s="1550" t="s">
        <v>1678</v>
      </c>
      <c r="F9" s="9" t="s">
        <v>99</v>
      </c>
      <c r="H9" s="9"/>
    </row>
    <row r="10" spans="1:23" ht="14.4">
      <c r="A10" s="8"/>
      <c r="B10" s="8" t="s">
        <v>2986</v>
      </c>
      <c r="C10" s="1550" t="s">
        <v>1679</v>
      </c>
      <c r="F10" s="9" t="s">
        <v>6</v>
      </c>
    </row>
    <row r="11" spans="1:23" ht="14.4">
      <c r="A11" s="8"/>
      <c r="B11" s="8"/>
      <c r="C11" s="1550" t="s">
        <v>1680</v>
      </c>
    </row>
    <row r="12" spans="1:23" ht="14.4">
      <c r="A12" s="8"/>
      <c r="B12" s="8"/>
      <c r="C12" s="1550" t="s">
        <v>1681</v>
      </c>
    </row>
    <row r="13" spans="1:23" ht="14.4">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ht="14.4">
      <c r="A18" s="8"/>
      <c r="B18" s="3111"/>
      <c r="C18" s="1553"/>
    </row>
    <row r="19" spans="1:3" ht="14.4">
      <c r="A19" s="8"/>
      <c r="B19" s="3111"/>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33"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c r="D53" s="1767"/>
      <c r="E53" s="1767"/>
    </row>
    <row r="54" spans="1:5">
      <c r="A54" s="3233"/>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文件</vt:lpstr>
      <vt:lpstr>土地案例</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2018-09-07T06:45:18Z</dcterms:modified>
</cp:coreProperties>
</file>