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8108" windowHeight="1328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K59" i="21" l="1"/>
  <c r="J59" i="21"/>
  <c r="H59" i="21"/>
  <c r="G59" i="21"/>
  <c r="I37" i="21"/>
  <c r="G37" i="21"/>
  <c r="E37" i="21"/>
  <c r="I44" i="21" l="1"/>
  <c r="E44" i="21"/>
  <c r="C33" i="21"/>
  <c r="B14" i="74" s="1"/>
  <c r="F90" i="21"/>
  <c r="E90" i="21"/>
  <c r="D90" i="21"/>
  <c r="C90" i="21"/>
  <c r="D5" i="9"/>
  <c r="AH6" i="1"/>
  <c r="Y6" i="1"/>
  <c r="F16" i="81"/>
  <c r="F17" i="81"/>
  <c r="F18" i="81"/>
  <c r="F19" i="81"/>
  <c r="F20" i="81"/>
  <c r="F21" i="81"/>
  <c r="F22" i="81"/>
  <c r="F23" i="81"/>
  <c r="F24" i="81"/>
  <c r="F25" i="81"/>
  <c r="F26" i="81"/>
  <c r="F15" i="81"/>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L17" i="3"/>
  <c r="AZ17" i="3"/>
  <c r="J56" i="9"/>
  <c r="J57" i="9" s="1"/>
  <c r="J59" i="9" s="1"/>
  <c r="J61" i="9" s="1"/>
  <c r="A24" i="51"/>
  <c r="B18" i="72"/>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67"/>
  <c r="E8" i="76"/>
  <c r="B7" i="76"/>
  <c r="J15" i="67"/>
  <c r="B9" i="76"/>
  <c r="F3" i="73"/>
  <c r="M24" i="67"/>
  <c r="B10" i="76"/>
  <c r="F7" i="73"/>
  <c r="M9" i="15"/>
  <c r="F26" i="15"/>
  <c r="B13" i="76"/>
  <c r="M28" i="67"/>
  <c r="E2" i="68"/>
  <c r="M8" i="15"/>
  <c r="L47" i="67"/>
  <c r="F7" i="67"/>
  <c r="F20" i="31"/>
  <c r="F43" i="15"/>
  <c r="E9" i="76"/>
  <c r="F13" i="67"/>
  <c r="C76" i="67"/>
  <c r="D35" i="9"/>
  <c r="E13" i="76"/>
  <c r="F42" i="15"/>
  <c r="F37" i="15"/>
  <c r="F8" i="67"/>
  <c r="F9" i="67"/>
  <c r="F26" i="67"/>
  <c r="F37" i="67"/>
  <c r="J15" i="15"/>
  <c r="F6" i="73"/>
  <c r="F38" i="67"/>
  <c r="F43" i="67"/>
  <c r="E11" i="76"/>
  <c r="M8" i="67"/>
  <c r="M22" i="67"/>
  <c r="F40" i="67"/>
  <c r="F4" i="73"/>
  <c r="M9" i="67"/>
  <c r="F42" i="67"/>
  <c r="M29" i="67"/>
  <c r="E10" i="76"/>
  <c r="M26" i="15"/>
  <c r="E2" i="69"/>
  <c r="AO13" i="1"/>
  <c r="M6" i="67"/>
  <c r="B8" i="76"/>
  <c r="L48" i="67"/>
  <c r="M23" i="67"/>
  <c r="M22" i="15"/>
  <c r="D6" i="73"/>
  <c r="F16" i="67"/>
  <c r="F8" i="15"/>
  <c r="F9" i="15"/>
  <c r="F5" i="73"/>
  <c r="D34" i="9"/>
  <c r="B11" i="76"/>
  <c r="E12" i="76"/>
  <c r="M23" i="15"/>
  <c r="E7" i="76"/>
  <c r="B12" i="76"/>
  <c r="BI5" i="3" l="1"/>
  <c r="E32" i="6"/>
  <c r="F89" i="2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C17" i="21"/>
  <c r="S17" i="21"/>
  <c r="U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D7" i="73"/>
  <c r="C76" i="15"/>
  <c r="L47" i="15"/>
  <c r="F38" i="15"/>
  <c r="L48" i="15"/>
  <c r="F16" i="15"/>
  <c r="C16" i="67"/>
  <c r="M28" i="15"/>
  <c r="F7" i="15"/>
  <c r="F6" i="67"/>
  <c r="F40" i="15"/>
  <c r="M26" i="67"/>
  <c r="D4" i="73"/>
  <c r="F13" i="15"/>
  <c r="D5" i="73"/>
  <c r="M24" i="15"/>
  <c r="D3" i="73"/>
  <c r="M6" i="15"/>
  <c r="F36" i="15"/>
  <c r="M29" i="15"/>
  <c r="F6" i="15"/>
  <c r="G89" i="21" l="1"/>
  <c r="H89" i="21" s="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C16" i="15"/>
  <c r="AE6" i="1"/>
  <c r="G1" i="73"/>
  <c r="I89" i="21" l="1"/>
  <c r="F26" i="21"/>
  <c r="H26" i="21"/>
  <c r="M14" i="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67"/>
  <c r="F41" i="15"/>
  <c r="M27" i="15"/>
  <c r="J89" i="21" l="1"/>
  <c r="K89" i="21" s="1"/>
  <c r="L89" i="21" s="1"/>
  <c r="M89" i="21" s="1"/>
  <c r="J26" i="21"/>
  <c r="AB26" i="21"/>
  <c r="U26" i="21"/>
  <c r="S26" i="21"/>
  <c r="AA26" i="21"/>
  <c r="C47" i="11"/>
  <c r="D45" i="11" s="1"/>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W26" i="21" l="1"/>
  <c r="AC26" i="21"/>
  <c r="C44" i="68"/>
  <c r="D41" i="68" s="1"/>
  <c r="M19" i="9"/>
  <c r="C118" i="9" s="1"/>
  <c r="B2" i="74"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7"/>
  <c r="C20" i="9"/>
  <c r="D2" i="36"/>
  <c r="D2" i="34"/>
  <c r="L51" i="15"/>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11" i="1"/>
  <c r="AO12" i="1"/>
  <c r="AO9" i="1"/>
  <c r="AO6" i="1"/>
  <c r="AO8" i="1"/>
  <c r="AO10"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135" i="80" l="1"/>
  <c r="C32" i="9"/>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I4" i="52" l="1"/>
  <c r="C105" i="9"/>
  <c r="B21" i="72"/>
  <c r="D52" i="9"/>
  <c r="D53" i="9"/>
  <c r="N61" i="9"/>
  <c r="N60" i="9"/>
  <c r="H4" i="52"/>
  <c r="C104" i="9"/>
  <c r="B53" i="72"/>
  <c r="P57" i="9"/>
  <c r="N59" i="9"/>
  <c r="N58" i="9"/>
  <c r="E97" i="9"/>
  <c r="B20" i="72"/>
  <c r="E81" i="9"/>
  <c r="F5" i="52"/>
  <c r="B31" i="72"/>
  <c r="D7" i="53"/>
  <c r="H102" i="9"/>
  <c r="C5" i="74"/>
  <c r="D9" i="52"/>
  <c r="M48" i="9"/>
  <c r="F119" i="9"/>
  <c r="B49" i="72"/>
  <c r="C68" i="9"/>
  <c r="D54" i="9"/>
  <c r="D15" i="53"/>
  <c r="C6" i="74"/>
  <c r="D119" i="9"/>
  <c r="D5" i="52"/>
  <c r="C81" i="9"/>
  <c r="H108" i="9"/>
  <c r="E4" i="52"/>
  <c r="B48" i="72"/>
  <c r="D123" i="9"/>
  <c r="D122" i="9"/>
  <c r="D8" i="52"/>
  <c r="D5" i="53"/>
  <c r="D6" i="53"/>
  <c r="B22" i="72"/>
  <c r="C97" i="9"/>
  <c r="D58" i="9"/>
  <c r="D56" i="9"/>
  <c r="M54" i="9"/>
  <c r="G4" i="52"/>
  <c r="B52" i="72"/>
  <c r="C93" i="9"/>
  <c r="C86" i="9"/>
  <c r="B32" i="72"/>
  <c r="C72" i="9"/>
  <c r="C79" i="9"/>
  <c r="C80" i="9"/>
  <c r="E80" i="9"/>
  <c r="B30" i="72"/>
  <c r="H107" i="9"/>
  <c r="D13" i="53"/>
  <c r="D14" i="53"/>
  <c r="H119" i="9"/>
  <c r="H5" i="52"/>
  <c r="C64" i="9"/>
  <c r="C63" i="9"/>
  <c r="C67" i="9"/>
  <c r="D59" i="9"/>
  <c r="M55" i="9"/>
  <c r="E118" i="9"/>
  <c r="D118" i="9"/>
  <c r="D4" i="52"/>
  <c r="B47" i="72"/>
  <c r="C78" i="9"/>
  <c r="C73" i="9"/>
  <c r="D55" i="9"/>
  <c r="M53" i="9"/>
  <c r="N57" i="9"/>
  <c r="I118" i="9"/>
  <c r="H118" i="9"/>
  <c r="H101" i="9"/>
  <c r="D45" i="9"/>
  <c r="C85" i="9"/>
  <c r="C95" i="9"/>
  <c r="C96" i="9"/>
  <c r="E96" i="9"/>
  <c r="G118" i="9"/>
  <c r="F118" i="9"/>
  <c r="F4" i="52"/>
  <c r="B51"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<sst xmlns="http://schemas.openxmlformats.org/spreadsheetml/2006/main" count="7985" uniqueCount="3531">
  <si>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</si>
  <si>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</si>
  <si>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</si>
  <si>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</si>
  <si>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</si>
  <si>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</si>
  <si>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</si>
  <si>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</si>
  <si>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</si>
  <si>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</si>
  <si>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</si>
  <si>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</si>
  <si>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</si>
  <si>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</si>
  <si>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</si>
  <si>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</si>
  <si>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</si>
  <si>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</si>
  <si>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</si>
  <si>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</si>
  <si>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</si>
  <si>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</si>
  <si>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</si>
  <si>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</si>
  <si>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</si>
  <si>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</si>
  <si>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</si>
  <si>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</si>
  <si>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</si>
  <si>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</si>
  <si>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</si>
  <si>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</si>
  <si>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</si>
  <si>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</si>
  <si>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</si>
  <si>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</si>
  <si>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</si>
  <si>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</si>
  <si>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</si>
  <si>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</si>
  <si>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</si>
  <si>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</si>
  <si>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</si>
  <si>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</si>
  <si>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</si>
  <si>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</si>
  <si>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</si>
  <si>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</si>
  <si>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</si>
  <si>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</si>
  <si>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</si>
  <si>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</si>
  <si>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</si>
  <si>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</si>
  <si>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</si>
  <si>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</si>
  <si>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</si>
  <si>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</si>
  <si>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</si>
  <si>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</si>
  <si>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</si>
  <si>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</si>
  <si>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</si>
  <si>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</si>
  <si>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</si>
  <si>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</si>
  <si>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</si>
  <si>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</si>
  <si>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</si>
  <si>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</si>
  <si>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</si>
  <si>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</si>
  <si>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</si>
  <si>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</si>
  <si>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</si>
  <si>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</si>
  <si>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</si>
  <si>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</si>
  <si>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</si>
  <si>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</si>
  <si>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</si>
  <si>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</si>
  <si>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</si>
  <si>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</si>
  <si>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</si>
  <si>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</si>
  <si>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</si>
  <si>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</si>
  <si>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</si>
  <si>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</si>
  <si>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</si>
  <si>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</si>
  <si>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</si>
  <si>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</si>
  <si>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</si>
  <si>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</si>
  <si>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</si>
  <si>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</si>
  <si>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</si>
  <si>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</si>
  <si>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</si>
  <si>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</si>
  <si>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</si>
  <si>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</si>
  <si>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</si>
  <si>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</si>
  <si>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</si>
  <si>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</si>
  <si>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</si>
  <si>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</si>
  <si>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</si>
  <si>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</si>
  <si>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</si>
  <si>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</si>
  <si>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</si>
  <si>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</si>
  <si>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</si>
  <si>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</si>
  <si>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</si>
  <si>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</si>
  <si>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</si>
  <si>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</si>
  <si>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</si>
  <si>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</si>
  <si>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</si>
  <si>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</si>
  <si>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</si>
  <si>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</si>
  <si>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</si>
  <si>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</si>
  <si>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</si>
  <si>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</si>
  <si>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</si>
  <si>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</si>
  <si>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</si>
  <si>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</si>
  <si>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</si>
  <si>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</si>
  <si>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</si>
  <si>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</si>
  <si>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</si>
  <si>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</si>
  <si>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</si>
  <si>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</si>
  <si>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</si>
  <si>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</si>
  <si>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</si>
  <si>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</si>
  <si>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</si>
  <si>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</si>
  <si>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</si>
  <si>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</si>
  <si>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</si>
  <si>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</si>
  <si>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</si>
  <si>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</si>
  <si>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</si>
  <si>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</si>
  <si>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</si>
  <si>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</si>
  <si>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</si>
  <si>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</si>
  <si>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</si>
  <si>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</si>
  <si>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</si>
  <si>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</si>
  <si>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</si>
  <si>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</si>
  <si>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</si>
  <si>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</si>
  <si>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</si>
  <si>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</si>
  <si>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</si>
  <si>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</si>
  <si>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</si>
  <si>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</si>
  <si>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</si>
  <si>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</si>
  <si>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</si>
  <si>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</si>
  <si>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</si>
  <si>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</si>
  <si>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</si>
  <si>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</si>
  <si>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</si>
  <si>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</si>
  <si>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</si>
  <si>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</si>
  <si>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</si>
  <si>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</si>
  <si>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</si>
  <si>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</si>
  <si>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</si>
  <si>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</si>
  <si>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</si>
  <si>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</si>
  <si>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</si>
  <si>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</si>
  <si>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</si>
  <si>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</si>
  <si>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</si>
  <si>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</si>
  <si>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</si>
  <si>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</si>
  <si>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</si>
  <si>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</si>
  <si>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</si>
  <si>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</si>
  <si>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</si>
  <si>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</si>
  <si>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</si>
  <si>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</si>
  <si>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</si>
  <si>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</si>
  <si>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</si>
  <si>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</si>
  <si>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</si>
  <si>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</si>
  <si>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</si>
  <si>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</si>
  <si>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</si>
  <si>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</si>
  <si>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</si>
  <si>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</si>
  <si>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</si>
  <si>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</si>
  <si>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</si>
  <si>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</si>
  <si>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</si>
  <si>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</si>
  <si>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</si>
  <si>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</si>
  <si>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</si>
  <si>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</si>
  <si>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</si>
  <si>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</si>
  <si>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</si>
  <si>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</si>
  <si>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</si>
  <si>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</si>
  <si>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</si>
  <si>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</si>
  <si>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</si>
  <si>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</si>
  <si>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</si>
  <si>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</si>
  <si>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</si>
  <si>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</si>
  <si>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</si>
  <si>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</si>
  <si>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</si>
  <si>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</si>
  <si>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</si>
  <si>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</si>
  <si>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</si>
  <si>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</si>
  <si>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</si>
  <si>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</si>
  <si>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</si>
  <si>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</si>
  <si>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</si>
  <si>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</si>
  <si>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</si>
  <si>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</si>
  <si>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</si>
  <si>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</si>
  <si>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</si>
  <si>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</si>
  <si>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</si>
  <si>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</si>
  <si>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</si>
  <si>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</si>
  <si>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</si>
  <si>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</si>
  <si>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</si>
  <si>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</si>
  <si>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</si>
  <si>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</si>
  <si>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</si>
  <si>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</si>
  <si>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</si>
  <si>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</si>
  <si>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</si>
  <si>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</si>
  <si>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</si>
  <si>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</si>
  <si>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</si>
  <si>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</si>
  <si>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</si>
  <si>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</si>
  <si>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</si>
  <si>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</si>
  <si>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</si>
  <si>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</si>
  <si>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</si>
  <si>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</si>
  <si>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</si>
  <si>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</si>
  <si>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</si>
  <si>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</si>
  <si>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</si>
  <si>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</si>
  <si>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</si>
  <si>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</si>
  <si>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</si>
  <si>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</si>
  <si>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</si>
  <si>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</si>
  <si>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</si>
  <si>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</si>
  <si>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</si>
  <si>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</si>
  <si>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</si>
  <si>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</si>
  <si>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</si>
  <si>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</si>
  <si>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</si>
  <si>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</si>
  <si>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</si>
  <si>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</si>
  <si>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</si>
  <si>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</si>
  <si>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</si>
  <si>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</si>
  <si>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</si>
  <si>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</si>
  <si>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</si>
  <si>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</si>
  <si>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</si>
  <si>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</si>
  <si>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</si>
  <si>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</si>
  <si>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</si>
  <si>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</si>
  <si>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</si>
  <si>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</si>
  <si>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</si>
  <si>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</si>
  <si>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</si>
  <si>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</si>
  <si>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</si>
  <si>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</si>
  <si>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</si>
  <si>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</si>
  <si>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</si>
  <si>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</si>
  <si>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</si>
  <si>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</si>
  <si>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</si>
  <si>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</si>
  <si>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</si>
  <si>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</si>
  <si>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</si>
  <si>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</si>
  <si>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</si>
  <si>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</si>
  <si>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</si>
  <si>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</si>
  <si>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</si>
  <si>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</si>
  <si>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</si>
  <si>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</si>
  <si>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</si>
  <si>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</si>
  <si>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</si>
  <si>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</si>
  <si>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</si>
  <si>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</si>
  <si>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</si>
  <si>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</si>
  <si>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</si>
  <si>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</si>
  <si>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</si>
  <si>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</si>
  <si>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</si>
  <si>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</si>
  <si>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</si>
  <si>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</si>
  <si>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</si>
  <si>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</si>
  <si>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</si>
  <si>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</si>
  <si>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</si>
  <si>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</si>
  <si>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</si>
  <si>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</si>
  <si>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</si>
  <si>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</si>
  <si>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</si>
  <si>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</si>
  <si>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</si>
  <si>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</si>
  <si>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</si>
  <si>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</si>
  <si>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</si>
  <si>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</si>
  <si>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</si>
  <si>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</si>
  <si>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</si>
  <si>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</si>
  <si>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</si>
  <si>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</si>
  <si>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</si>
  <si>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</si>
  <si>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</si>
  <si>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</si>
  <si>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</si>
  <si>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</si>
  <si>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</si>
  <si>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</si>
  <si>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</si>
  <si>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</si>
  <si>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</si>
  <si>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</si>
  <si>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</si>
  <si>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</si>
  <si>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</si>
  <si>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</si>
  <si>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</si>
  <si>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</si>
  <si>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</si>
  <si>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</si>
  <si>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</si>
  <si>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</si>
  <si>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</si>
  <si>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</si>
  <si>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</si>
  <si>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</si>
  <si>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</si>
  <si>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</si>
  <si>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</si>
  <si>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</si>
  <si>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</si>
  <si>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</si>
  <si>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</si>
  <si>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</si>
  <si>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</si>
  <si>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</si>
  <si>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</si>
  <si>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</si>
  <si>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</si>
  <si>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</si>
  <si>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</si>
  <si>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</si>
  <si>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</si>
  <si>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</si>
  <si>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</si>
  <si>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</si>
  <si>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</si>
  <si>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</si>
  <si>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</si>
  <si>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</si>
  <si>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</si>
  <si>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</si>
  <si>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</si>
  <si>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</si>
  <si>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</si>
  <si>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</si>
  <si>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</si>
  <si>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</si>
  <si>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</si>
  <si>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</si>
  <si>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</si>
  <si>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</si>
  <si>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</si>
  <si>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</si>
  <si>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</si>
  <si>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</si>
  <si>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</si>
  <si>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</si>
  <si>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</si>
  <si>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</si>
  <si>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</si>
  <si>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</si>
  <si>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</si>
  <si>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</si>
  <si>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</si>
  <si>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</si>
  <si>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</si>
  <si>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</si>
  <si>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</si>
  <si>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</si>
  <si>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</si>
  <si>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</si>
  <si>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</si>
  <si>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</si>
  <si>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</si>
  <si>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</si>
  <si>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</si>
  <si>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</si>
  <si>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</si>
  <si>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</si>
  <si>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</si>
  <si>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</si>
  <si>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</si>
  <si>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</si>
  <si>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</si>
  <si>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</si>
  <si>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</si>
  <si>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</si>
  <si>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</si>
  <si>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</si>
  <si>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</si>
  <si>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</si>
  <si>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</si>
  <si>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</si>
  <si>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</si>
  <si>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</si>
  <si>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</si>
  <si>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</si>
  <si>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</si>
  <si>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</si>
  <si>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</si>
  <si>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</si>
  <si>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</si>
  <si>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</si>
  <si>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</si>
  <si>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</si>
  <si>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</si>
  <si>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</si>
  <si>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</si>
  <si>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</si>
  <si>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</si>
  <si>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</si>
  <si>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</si>
  <si>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</si>
  <si>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</si>
  <si>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</si>
  <si>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</si>
  <si>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</si>
  <si>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</si>
  <si>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</si>
  <si>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</si>
  <si>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</si>
  <si>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</si>
  <si>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</si>
  <si>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</si>
  <si>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</si>
  <si>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</si>
  <si>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</si>
  <si>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</si>
  <si>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</si>
  <si>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</si>
  <si>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</si>
  <si>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</si>
  <si>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</si>
  <si>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</si>
  <si>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</si>
  <si>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</si>
  <si>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</si>
  <si>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</si>
  <si>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</si>
  <si>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</si>
  <si>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</si>
  <si>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</si>
  <si>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</si>
  <si>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</si>
  <si>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</si>
  <si>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</si>
  <si>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</si>
  <si>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</si>
  <si>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</si>
  <si>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</si>
  <si>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</si>
  <si>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</si>
  <si>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</si>
  <si>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</si>
  <si>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</si>
  <si>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</si>
  <si>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</si>
  <si>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</si>
  <si>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</si>
  <si>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</si>
  <si>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</si>
  <si>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</si>
  <si>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</si>
  <si>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</si>
  <si>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</si>
  <si>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</si>
  <si>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</si>
  <si>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</si>
  <si>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</si>
  <si>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</si>
  <si>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</si>
  <si>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</si>
  <si>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</si>
  <si>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</si>
  <si>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</si>
  <si>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</si>
  <si>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</si>
  <si>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</si>
  <si>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</si>
  <si>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</si>
  <si>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</si>
  <si>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</si>
  <si>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</si>
  <si>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</si>
  <si>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</si>
  <si>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</si>
  <si>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</si>
  <si>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</si>
  <si>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</si>
  <si>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</si>
  <si>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</si>
  <si>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</si>
  <si>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</si>
  <si>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</si>
  <si>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</si>
  <si>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</si>
  <si>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</si>
  <si>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</si>
  <si>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</si>
  <si>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</si>
  <si>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</si>
  <si>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</si>
  <si>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</si>
  <si>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</si>
  <si>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</si>
  <si>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</si>
  <si>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</si>
  <si>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</si>
  <si>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</si>
  <si>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</si>
  <si>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</si>
  <si>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</si>
  <si>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</si>
  <si>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</si>
  <si>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</si>
  <si>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</si>
  <si>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</si>
  <si>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</si>
  <si>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</si>
  <si>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</si>
  <si>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</si>
  <si>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</si>
  <si>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</si>
  <si>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</si>
  <si>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</si>
  <si>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</si>
  <si>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</si>
  <si>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</si>
  <si>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</si>
  <si>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</si>
  <si>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</si>
  <si>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</si>
  <si>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</si>
  <si>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</si>
  <si>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</si>
  <si>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</si>
  <si>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</si>
  <si>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</si>
  <si>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</si>
  <si>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</si>
  <si>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</si>
  <si>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</si>
  <si>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</si>
  <si>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</si>
  <si>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</si>
  <si>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</si>
  <si>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</si>
  <si>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</si>
  <si>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</si>
  <si>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</si>
  <si>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</si>
  <si>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</si>
  <si>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</si>
  <si>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</si>
  <si>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</si>
  <si>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</si>
  <si>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</si>
  <si>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</si>
  <si>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</si>
  <si>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</si>
  <si>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</si>
  <si>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</si>
  <si>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</si>
  <si>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</si>
  <si>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</si>
  <si>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</si>
  <si>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</si>
  <si>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</si>
  <si>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</si>
  <si>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</si>
  <si>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</si>
  <si>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</si>
  <si>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</si>
  <si>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</si>
  <si>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</si>
  <si>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</si>
  <si>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</si>
  <si>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</si>
  <si>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</si>
  <si>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</si>
  <si>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</si>
  <si>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</si>
  <si>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</si>
  <si>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</si>
  <si>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</si>
  <si>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</si>
  <si>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</si>
  <si>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</si>
  <si>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</si>
  <si>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</si>
  <si>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</si>
  <si>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</si>
  <si>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</si>
  <si>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</si>
  <si>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</si>
  <si>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</si>
  <si>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</si>
  <si>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</si>
  <si>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</si>
  <si>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</si>
  <si>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</si>
  <si>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</si>
  <si>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</si>
  <si>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</si>
  <si>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</si>
  <si>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</si>
  <si>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</si>
  <si>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</si>
  <si>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</si>
  <si>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</si>
  <si>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</si>
  <si>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</si>
  <si>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</si>
  <si>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</si>
  <si>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</si>
  <si>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</si>
  <si>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</si>
  <si>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</si>
  <si>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</si>
  <si>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</si>
  <si>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</si>
  <si>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</si>
  <si>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</si>
  <si>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</si>
  <si>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</si>
  <si>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</si>
  <si>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</si>
  <si>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</si>
  <si>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</si>
  <si>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</si>
  <si>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</si>
  <si>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</si>
  <si>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</si>
  <si>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</si>
  <si>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</si>
  <si>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</si>
  <si>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</si>
  <si>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</si>
  <si>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</si>
  <si>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</si>
  <si>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</si>
  <si>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</si>
  <si>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</si>
  <si>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</si>
  <si>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</si>
  <si>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</si>
  <si>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</si>
  <si>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</si>
  <si>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</si>
  <si>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</si>
  <si>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</si>
  <si>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</si>
  <si>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</si>
  <si>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</si>
  <si>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</si>
  <si>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</si>
  <si>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</si>
  <si>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</si>
  <si>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</si>
  <si>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</si>
  <si>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</si>
  <si>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</si>
  <si>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</si>
  <si>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</si>
  <si>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</si>
  <si>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</si>
  <si>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</si>
  <si>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</si>
  <si>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</si>
  <si>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</si>
  <si>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</si>
  <si>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</si>
  <si>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</si>
  <si>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</si>
  <si>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</si>
  <si>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</si>
  <si>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</si>
  <si>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</si>
  <si>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</si>
  <si>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</si>
  <si>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</si>
  <si>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</si>
  <si>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</si>
  <si>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</si>
  <si>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</si>
  <si>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</si>
  <si>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</si>
  <si>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</si>
  <si>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</si>
  <si>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</si>
  <si>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</si>
  <si>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</si>
  <si>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</si>
  <si>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</si>
  <si>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</si>
  <si>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</si>
  <si>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</si>
  <si>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</si>
  <si>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</si>
  <si>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</si>
  <si>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</si>
  <si>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</si>
  <si>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</si>
  <si>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</si>
  <si>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</si>
  <si>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</si>
  <si>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</si>
  <si>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</si>
  <si>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</si>
  <si>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</si>
  <si>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</si>
  <si>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</si>
  <si>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</si>
  <si>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</si>
  <si>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</si>
  <si>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</si>
  <si>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</si>
  <si>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</si>
  <si>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</si>
  <si>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</si>
  <si>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</si>
  <si>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</si>
  <si>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</si>
  <si>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</si>
  <si>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</si>
  <si>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</si>
  <si>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</si>
  <si>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</si>
  <si>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</si>
  <si>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</si>
  <si>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</si>
  <si>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</si>
  <si>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</si>
  <si>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</si>
  <si>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</si>
  <si>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</si>
  <si>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</si>
  <si>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</si>
  <si>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</si>
  <si>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</si>
  <si>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</si>
  <si>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</si>
  <si>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</si>
  <si>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</si>
  <si>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</si>
  <si>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</si>
  <si>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</si>
  <si>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</si>
  <si>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</si>
  <si>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</si>
  <si>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</si>
  <si>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</si>
  <si>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</si>
  <si>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</si>
  <si>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</si>
  <si>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</si>
  <si>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</si>
  <si>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</si>
  <si>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</si>
  <si>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</si>
  <si>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</si>
  <si>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</si>
  <si>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</si>
  <si>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</si>
  <si>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</si>
  <si>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</si>
  <si>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</si>
  <si>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</si>
  <si>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</si>
  <si>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</si>
  <si>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</si>
  <si>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</si>
  <si>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</si>
  <si>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</si>
  <si>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</si>
  <si>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</si>
  <si>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</si>
  <si>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</si>
  <si>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</si>
  <si>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</si>
  <si>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</si>
  <si>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</si>
  <si>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</si>
  <si>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</si>
  <si>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</si>
  <si>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</si>
  <si>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</si>
  <si>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</si>
  <si>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</si>
  <si>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</si>
  <si>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</si>
  <si>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</si>
  <si>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</si>
  <si>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</si>
  <si>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</si>
  <si>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</si>
  <si>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</si>
  <si>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</si>
  <si>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</si>
  <si>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</si>
  <si>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</si>
  <si>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</si>
  <si>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</si>
  <si>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</si>
  <si>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</si>
  <si>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</si>
  <si>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</si>
  <si>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</si>
  <si>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</si>
  <si>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</si>
  <si>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</si>
  <si>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</si>
  <si>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</si>
  <si>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</si>
  <si>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</si>
  <si>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</si>
  <si>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</si>
  <si>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</si>
  <si>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</si>
  <si>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</si>
  <si>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</si>
  <si>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</si>
  <si>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</si>
  <si>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</si>
  <si>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</si>
  <si>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</si>
  <si>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</si>
  <si>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</si>
  <si>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</si>
  <si>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</si>
  <si>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</si>
  <si>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</si>
  <si>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</si>
  <si>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</si>
  <si>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</si>
  <si>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</si>
  <si>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</si>
  <si>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</si>
  <si>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</si>
  <si>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</si>
  <si>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</si>
  <si>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</si>
  <si>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</si>
  <si>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</si>
  <si>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</si>
  <si>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</si>
  <si>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</si>
  <si>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</si>
  <si>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</si>
  <si>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</si>
  <si>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</si>
  <si>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</si>
  <si>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</si>
  <si>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</si>
  <si>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</si>
  <si>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</si>
  <si>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</si>
  <si>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</si>
  <si>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</si>
  <si>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</si>
  <si>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</si>
  <si>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</si>
  <si>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</si>
  <si>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</si>
  <si>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</si>
  <si>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</si>
  <si>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</si>
  <si>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</si>
  <si>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</si>
  <si>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</si>
  <si>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</si>
  <si>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</si>
  <si>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</si>
  <si>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</si>
  <si>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</si>
  <si>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</si>
  <si>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</si>
  <si>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</si>
  <si>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</si>
  <si>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</si>
  <si>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</si>
  <si>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</si>
  <si>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</si>
  <si>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</si>
  <si>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</si>
  <si>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</si>
  <si>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</si>
  <si>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</si>
  <si>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</si>
  <si>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</si>
  <si>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</si>
  <si>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</si>
  <si>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</si>
  <si>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</si>
  <si>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</si>
  <si>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</si>
  <si>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</si>
  <si>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</si>
  <si>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</si>
  <si>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</si>
  <si>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</si>
  <si>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</si>
  <si>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</si>
  <si>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</si>
  <si>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</si>
  <si>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</si>
  <si>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</si>
  <si>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</si>
  <si>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</si>
  <si>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</si>
  <si>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</si>
  <si>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</si>
  <si>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</si>
  <si>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</si>
  <si>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</si>
  <si>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</si>
  <si>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</si>
  <si>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</si>
  <si>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</si>
  <si>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</si>
  <si>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</si>
  <si>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</si>
  <si>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</si>
  <si>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</si>
  <si>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</si>
  <si>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</si>
  <si>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</si>
  <si>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</si>
  <si>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</si>
  <si>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</si>
  <si>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</si>
  <si>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</si>
  <si>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</si>
  <si>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</si>
  <si>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</si>
  <si>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</si>
  <si>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</si>
  <si>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</si>
  <si>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</si>
  <si>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</si>
  <si>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</si>
  <si>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</si>
  <si>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</si>
  <si>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</si>
  <si>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</si>
  <si>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</si>
  <si>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</si>
  <si>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</si>
  <si>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</si>
  <si>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</si>
  <si>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</si>
  <si>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</si>
  <si>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</si>
  <si>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</si>
  <si>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</si>
  <si>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</si>
  <si>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</si>
  <si>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</si>
  <si>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</si>
  <si>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</si>
  <si>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</si>
  <si>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</si>
  <si>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</si>
  <si>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</si>
  <si>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</si>
  <si>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</si>
  <si>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</si>
  <si>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</si>
  <si>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</si>
  <si>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</si>
  <si>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</si>
  <si>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</si>
  <si>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</si>
  <si>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</si>
  <si>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</si>
  <si>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</si>
  <si>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</si>
  <si>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</si>
  <si>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</si>
  <si>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</si>
  <si>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</si>
  <si>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</si>
  <si>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</si>
  <si>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</si>
  <si>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</si>
  <si>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</si>
  <si>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</si>
  <si>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</si>
  <si>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</si>
  <si>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</si>
  <si>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</si>
  <si>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</si>
  <si>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</si>
  <si>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</si>
  <si>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</si>
  <si>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</si>
  <si>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</si>
  <si>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</si>
  <si>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</si>
  <si>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</si>
  <si>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</si>
  <si>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</si>
  <si>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</si>
  <si>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</si>
  <si>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</si>
  <si>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</si>
  <si>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</si>
  <si>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</si>
  <si>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</si>
  <si>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</si>
  <si>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</si>
  <si>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</si>
  <si>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</si>
  <si>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</si>
  <si>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</si>
  <si>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</si>
  <si>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</si>
  <si>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</si>
  <si>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</si>
  <si>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</si>
  <si>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</si>
  <si>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</si>
  <si>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</si>
  <si>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</si>
  <si>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</si>
  <si>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</si>
  <si>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</si>
  <si>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</si>
  <si>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</si>
  <si>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</si>
  <si>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</si>
  <si>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</si>
  <si>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</si>
  <si>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</si>
  <si>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</si>
  <si>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</si>
  <si>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</si>
  <si>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</si>
  <si>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</si>
  <si>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</si>
  <si>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</si>
  <si>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</si>
  <si>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</si>
  <si>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</si>
  <si>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</si>
  <si>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</si>
  <si>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</si>
  <si>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</si>
  <si>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</si>
  <si>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</si>
  <si>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</si>
  <si>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</si>
  <si>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</si>
  <si>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</si>
  <si>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</si>
  <si>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</si>
  <si>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</si>
  <si>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</si>
  <si>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</si>
  <si>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</si>
  <si>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</si>
  <si>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</si>
  <si>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</si>
  <si>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</si>
  <si>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</si>
  <si>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</si>
  <si>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</si>
  <si>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</si>
  <si>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</si>
  <si>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</si>
  <si>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</si>
  <si>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</si>
  <si>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</si>
  <si>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</si>
  <si>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</si>
  <si>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</si>
  <si>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</si>
  <si>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</si>
  <si>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</si>
  <si>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</si>
  <si>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</si>
  <si>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</si>
  <si>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</si>
  <si>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</si>
  <si>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</si>
  <si>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</si>
  <si>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</si>
  <si>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</si>
  <si>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</si>
  <si>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</si>
  <si>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</si>
  <si>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</si>
  <si>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</si>
  <si>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</si>
  <si>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</si>
  <si>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</si>
  <si>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</si>
  <si>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</si>
  <si>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</si>
  <si>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</si>
  <si>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</si>
  <si>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</si>
  <si>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</si>
  <si>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</si>
  <si>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</si>
  <si>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</si>
  <si>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</si>
  <si>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</si>
  <si>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</si>
  <si>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</si>
  <si>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</si>
  <si>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</si>
  <si>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</si>
  <si>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</si>
  <si>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</si>
  <si>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</si>
  <si>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</si>
  <si>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</si>
  <si>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</si>
  <si>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</si>
  <si>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</si>
  <si>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</si>
  <si>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</si>
  <si>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</si>
  <si>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</si>
  <si>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</si>
  <si>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</si>
  <si>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</si>
  <si>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</si>
  <si>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</si>
  <si>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</si>
  <si>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</si>
  <si>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</si>
  <si>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</si>
  <si>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</si>
  <si>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</si>
  <si>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</si>
  <si>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</si>
  <si>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</si>
  <si>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</si>
  <si>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</si>
  <si>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</si>
  <si>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</si>
  <si>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</si>
  <si>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</si>
  <si>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</si>
  <si>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</si>
  <si>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</si>
  <si>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</si>
  <si>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</si>
  <si>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</si>
  <si>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</si>
  <si>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</si>
  <si>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</si>
  <si>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</si>
  <si>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</si>
  <si>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</si>
  <si>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</si>
  <si>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</si>
  <si>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</si>
  <si>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</si>
  <si>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</si>
  <si>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</si>
  <si>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</si>
  <si>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</si>
  <si>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</si>
  <si>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</si>
  <si>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</si>
  <si>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</si>
  <si>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</si>
  <si>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</si>
  <si>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</si>
  <si>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</si>
  <si>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</si>
  <si>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</si>
  <si>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</si>
  <si>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</si>
  <si>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</si>
  <si>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</si>
  <si>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</si>
  <si>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</si>
  <si>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</si>
  <si>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</si>
  <si>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</si>
  <si>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</si>
  <si>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</si>
  <si>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</si>
  <si>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</si>
  <si>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</si>
  <si>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</si>
  <si>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</si>
  <si>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</si>
  <si>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</si>
  <si>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</si>
  <si>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</si>
  <si>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</si>
  <si>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</si>
  <si>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</si>
  <si>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</si>
  <si>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</si>
  <si>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</si>
  <si>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</si>
  <si>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</si>
  <si>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</si>
  <si>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</si>
  <si>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</si>
  <si>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</si>
  <si>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</si>
  <si>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</si>
  <si>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</si>
  <si>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</si>
  <si>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</si>
  <si>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</si>
  <si>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</si>
  <si>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</si>
  <si>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</si>
  <si>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</si>
  <si>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</si>
  <si>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</si>
  <si>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</si>
  <si>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</si>
  <si>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</si>
  <si>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</si>
  <si>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</si>
  <si>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</si>
  <si>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</si>
  <si>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</si>
  <si>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</si>
  <si>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</si>
  <si>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</si>
  <si>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</si>
  <si>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</si>
  <si>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</si>
  <si>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</si>
  <si>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</si>
  <si>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</si>
  <si>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</si>
  <si>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</si>
  <si>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</si>
  <si>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</si>
  <si>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</si>
  <si>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</si>
  <si>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</si>
  <si>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</si>
  <si>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</si>
  <si>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</si>
  <si>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</si>
  <si>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</si>
  <si>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</si>
  <si>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</si>
  <si>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</si>
  <si>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</si>
  <si>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</si>
  <si>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</si>
  <si>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</si>
  <si>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</si>
  <si>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</si>
  <si>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</si>
  <si>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</si>
  <si>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</si>
  <si>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</si>
  <si>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</si>
  <si>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</si>
  <si>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</si>
  <si>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</si>
  <si>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</si>
  <si>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</si>
  <si>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</si>
  <si>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</si>
  <si>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</si>
  <si>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</si>
  <si>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</si>
  <si>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</si>
  <si>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</si>
  <si>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</si>
  <si>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</si>
  <si>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</si>
  <si>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</si>
  <si>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</si>
  <si>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</si>
  <si>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</si>
  <si>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</si>
  <si>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</si>
  <si>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</si>
  <si>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</si>
  <si>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</si>
  <si>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</si>
  <si>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</si>
  <si>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</si>
  <si>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</si>
  <si>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</si>
  <si>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</si>
  <si>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</si>
  <si>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</si>
  <si>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</si>
  <si>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</si>
  <si>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</si>
  <si>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</si>
  <si>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</si>
  <si>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</si>
  <si>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</si>
  <si>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</si>
  <si>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</si>
  <si>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</si>
  <si>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</si>
  <si>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</si>
  <si>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</si>
  <si>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</si>
  <si>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</si>
  <si>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</si>
  <si>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</si>
  <si>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</si>
  <si>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</si>
  <si>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</si>
  <si>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</si>
  <si>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</si>
  <si>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</si>
  <si>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</si>
  <si>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</si>
  <si>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</si>
  <si>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</si>
  <si>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</si>
  <si>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</si>
  <si>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</si>
  <si>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</si>
  <si>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</si>
  <si>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</si>
  <si>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</si>
  <si>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</si>
  <si>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</si>
  <si>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</si>
  <si>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</si>
  <si>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</si>
  <si>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</si>
  <si>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</si>
  <si>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</si>
  <si>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</si>
  <si>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</si>
  <si>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</si>
  <si>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</si>
  <si>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</si>
  <si>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</si>
  <si>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</si>
  <si>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</si>
  <si>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</si>
  <si>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</si>
  <si>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</si>
  <si>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</si>
  <si>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</si>
  <si>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</si>
  <si>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</si>
  <si>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</si>
  <si>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</si>
  <si>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</si>
  <si>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</si>
  <si>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</si>
  <si>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</si>
  <si>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</si>
  <si>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</si>
  <si>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</si>
  <si>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</si>
  <si>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</si>
  <si>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</si>
  <si>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</si>
  <si>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</si>
  <si>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</si>
  <si>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</si>
  <si>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</si>
  <si>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</si>
  <si>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</si>
  <si>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</si>
  <si>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</si>
  <si>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</si>
  <si>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</si>
  <si>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</si>
  <si>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</si>
  <si>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</si>
  <si>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</si>
  <si>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</si>
  <si>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</si>
  <si>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</si>
  <si>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</si>
  <si>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</si>
  <si>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</si>
  <si>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</si>
  <si>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</si>
  <si>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</si>
  <si>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</si>
  <si>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</si>
  <si>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</si>
  <si>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</si>
  <si>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</si>
  <si>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</si>
  <si>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</si>
  <si>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</si>
  <si>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</si>
  <si>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</si>
  <si>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</si>
  <si>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</si>
  <si>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</si>
  <si>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</si>
  <si>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</si>
  <si>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</si>
  <si>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</si>
  <si>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</si>
  <si>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</si>
  <si>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</si>
  <si>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</si>
  <si>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</si>
  <si>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</si>
  <si>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</si>
  <si>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</si>
  <si>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</si>
  <si>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</si>
  <si>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</si>
  <si>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</si>
  <si>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</si>
  <si>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</si>
  <si>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</si>
  <si>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</si>
  <si>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</si>
  <si>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</si>
  <si>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</si>
  <si>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</si>
  <si>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</si>
  <si>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</si>
  <si>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</si>
  <si>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</si>
  <si>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</si>
  <si>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</si>
  <si>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</si>
  <si>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</si>
  <si>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</si>
  <si>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</si>
  <si>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</si>
  <si>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</si>
  <si>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</si>
  <si>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</si>
  <si>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</si>
  <si>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</si>
  <si>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</si>
  <si>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</si>
  <si>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</si>
  <si>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</si>
  <si>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</si>
  <si>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</si>
  <si>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</si>
  <si>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</si>
  <si>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</si>
  <si>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</si>
  <si>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</si>
  <si>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</si>
  <si>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</si>
  <si>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</si>
  <si>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</si>
  <si>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</si>
  <si>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</si>
  <si>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</si>
  <si>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</si>
  <si>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</si>
  <si>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</si>
  <si>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</si>
  <si>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</si>
  <si>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</si>
  <si>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</si>
  <si>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</si>
  <si>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</si>
  <si>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</si>
  <si>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</si>
  <si>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</si>
  <si>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</si>
  <si>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</si>
  <si>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</si>
  <si>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</si>
  <si>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</si>
  <si>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</si>
  <si>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</si>
  <si>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</si>
  <si>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</si>
  <si>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</si>
  <si>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</si>
  <si>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</si>
  <si>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</si>
  <si>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</si>
  <si>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</si>
  <si>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</si>
  <si>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</si>
  <si>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</si>
  <si>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</si>
  <si>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</si>
  <si>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</si>
  <si>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</si>
  <si>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</si>
  <si>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</si>
  <si>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</si>
  <si>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</si>
  <si>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</si>
  <si>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</si>
  <si>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</si>
  <si>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</si>
  <si>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</si>
  <si>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</si>
  <si>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</si>
  <si>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</si>
  <si>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</si>
  <si>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</si>
  <si>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</si>
  <si>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</si>
  <si>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</si>
  <si>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</si>
  <si>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</si>
  <si>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</si>
  <si>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</si>
  <si>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</si>
  <si>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</si>
  <si>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</si>
  <si>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</si>
  <si>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</si>
  <si>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</si>
  <si>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</si>
  <si>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</si>
  <si>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</si>
  <si>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</si>
  <si>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</si>
  <si>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</si>
  <si>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</si>
  <si>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</si>
  <si>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</si>
  <si>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</si>
  <si>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</si>
  <si>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</si>
  <si>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</si>
  <si>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</si>
  <si>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</si>
  <si>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</si>
  <si>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</si>
  <si>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</si>
  <si>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</si>
  <si>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</si>
  <si>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</si>
  <si>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</si>
  <si>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</si>
  <si>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</si>
  <si>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</si>
  <si>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</si>
  <si>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</si>
  <si>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</si>
  <si>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</si>
  <si>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</si>
  <si>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</si>
  <si>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</si>
  <si>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</si>
  <si>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</si>
  <si>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</si>
  <si>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</si>
  <si>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</si>
  <si>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</si>
  <si>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</si>
  <si>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</si>
  <si>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</si>
  <si>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</si>
  <si>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</si>
  <si>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</si>
  <si>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</si>
  <si>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</si>
  <si>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</si>
  <si>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</si>
  <si>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</si>
  <si>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</si>
  <si>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</si>
  <si>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</si>
  <si>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</si>
  <si>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</si>
  <si>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</si>
  <si>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</si>
  <si>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</si>
  <si>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</si>
  <si>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</si>
  <si>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</si>
  <si>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</si>
  <si>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</si>
  <si>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</si>
  <si>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</si>
  <si>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</si>
  <si>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</si>
  <si>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</si>
  <si>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</si>
  <si>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</si>
  <si>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</si>
  <si>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</si>
  <si>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</si>
  <si>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</si>
  <si>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</si>
  <si>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</si>
  <si>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</si>
  <si>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</si>
  <si>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</si>
  <si>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</si>
  <si>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</si>
  <si>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</si>
  <si>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</si>
  <si>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</si>
  <si>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</si>
  <si>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</si>
  <si>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</si>
  <si>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</si>
  <si>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</si>
  <si>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</si>
  <si>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</si>
  <si>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</si>
  <si>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</si>
  <si>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</si>
  <si>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</si>
  <si>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</si>
  <si>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</si>
  <si>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</si>
  <si>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</si>
  <si>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</si>
  <si>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</si>
  <si>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</si>
  <si>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</si>
  <si>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</si>
  <si>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</si>
  <si>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</si>
  <si>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</si>
  <si>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</si>
  <si>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</si>
  <si>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</si>
  <si>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</si>
  <si>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</si>
  <si>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</si>
  <si>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</si>
  <si>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</si>
  <si>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</si>
  <si>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</si>
  <si>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</si>
  <si>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</si>
  <si>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</si>
  <si>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</si>
  <si>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</si>
  <si>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</si>
  <si>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</si>
  <si>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</si>
  <si>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</si>
  <si>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</si>
  <si>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</si>
  <si>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</si>
  <si>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</si>
  <si>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</si>
  <si>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</si>
  <si>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</si>
  <si>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</si>
  <si>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</si>
  <si>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</si>
  <si>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</si>
  <si>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</si>
  <si>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</si>
  <si>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</si>
  <si>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</si>
  <si>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</si>
  <si>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</si>
  <si>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</si>
  <si>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</si>
  <si>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</si>
  <si>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</si>
  <si>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</si>
  <si>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</si>
  <si>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</si>
  <si>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</si>
  <si>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</si>
  <si>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</si>
  <si>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</si>
  <si>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</si>
  <si>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</si>
  <si>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</si>
  <si>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</si>
  <si>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</si>
  <si>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</si>
  <si>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</si>
  <si>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</si>
  <si>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</si>
  <si>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</si>
  <si>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</si>
  <si>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</si>
  <si>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</si>
  <si>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</si>
  <si>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</si>
  <si>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</si>
  <si>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</si>
  <si>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</si>
  <si>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</si>
  <si>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</si>
  <si>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</si>
  <si>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</si>
  <si>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</si>
  <si>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</si>
  <si>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</si>
  <si>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</si>
  <si>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</si>
  <si>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</si>
  <si>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</si>
  <si>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</si>
  <si>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</si>
  <si>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</si>
  <si>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</si>
  <si>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</si>
  <si>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</si>
  <si>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</si>
  <si>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</si>
  <si>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</si>
  <si>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</si>
  <si>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</si>
  <si>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</si>
  <si>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</si>
  <si>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</si>
  <si>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</si>
  <si>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</si>
  <si>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</si>
  <si>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</si>
  <si>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</si>
  <si>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</si>
  <si>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</si>
  <si>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</si>
  <si>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</si>
  <si>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</si>
  <si>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</si>
  <si>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</si>
  <si>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</si>
  <si>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</si>
  <si>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</si>
  <si>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</si>
  <si>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</si>
  <si>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</si>
  <si>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</si>
  <si>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</si>
  <si>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</si>
  <si>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</si>
  <si>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</si>
  <si>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</si>
  <si>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</si>
  <si>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</si>
  <si>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</si>
  <si>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</si>
  <si>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</si>
  <si>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</si>
  <si>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</si>
  <si>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</si>
  <si>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</si>
  <si>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</si>
  <si>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</si>
  <si>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</si>
  <si>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</si>
  <si>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</si>
  <si>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</si>
  <si>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</si>
  <si>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</si>
  <si>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</si>
  <si>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</si>
  <si>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</si>
  <si>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</si>
  <si>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</si>
  <si>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</si>
  <si>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</si>
  <si>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</si>
  <si>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</si>
  <si>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</si>
  <si>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</si>
  <si>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</si>
  <si>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</si>
  <si>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</si>
  <si>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</si>
  <si>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</si>
  <si>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</si>
  <si>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</si>
  <si>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</si>
  <si>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</si>
  <si>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</si>
  <si>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</si>
  <si>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</si>
  <si>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</si>
  <si>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</si>
  <si>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</si>
  <si>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</si>
  <si>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</si>
  <si>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</si>
  <si>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</si>
  <si>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</si>
  <si>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</si>
  <si>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</si>
  <si>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</si>
  <si>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</si>
  <si>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</si>
  <si>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</si>
  <si>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</si>
  <si>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</si>
  <si>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</si>
  <si>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</si>
  <si>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</si>
  <si>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</si>
  <si>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</si>
  <si>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</si>
  <si>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</si>
  <si>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</si>
  <si>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</si>
  <si>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</si>
  <si>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</si>
  <si>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</si>
  <si>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</si>
  <si>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</si>
  <si>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</si>
  <si>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</si>
  <si>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</si>
  <si>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</si>
  <si>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</si>
  <si>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</si>
  <si>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</si>
  <si>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</si>
  <si>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</si>
  <si>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</si>
  <si>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</si>
  <si>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</si>
  <si>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</si>
  <si>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</si>
  <si>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</si>
  <si>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</si>
  <si>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</si>
  <si>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</si>
  <si>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</si>
  <si>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</si>
  <si>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</si>
  <si>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</si>
  <si>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</si>
  <si>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</si>
  <si>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</si>
  <si>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</si>
  <si>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</si>
  <si>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</si>
  <si>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</si>
  <si>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</si>
  <si>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</si>
  <si>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</si>
  <si>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</si>
  <si>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</si>
  <si>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</si>
  <si>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</si>
  <si>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</si>
  <si>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</si>
  <si>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</si>
  <si>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</si>
  <si>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</si>
  <si>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</si>
  <si>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</si>
  <si>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</si>
  <si>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</si>
  <si>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</si>
  <si>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</si>
  <si>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</si>
  <si>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</si>
  <si>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</si>
  <si>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</si>
  <si>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</si>
  <si>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</si>
  <si>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</si>
  <si>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</si>
  <si>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</si>
  <si>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</si>
  <si>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</si>
  <si>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</si>
  <si>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</si>
  <si>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</si>
  <si>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</si>
  <si>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</si>
  <si>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</si>
  <si>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</si>
  <si>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</si>
  <si>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</si>
  <si>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</si>
  <si>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</si>
  <si>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</si>
  <si>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</si>
  <si>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</si>
  <si>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</si>
  <si>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</si>
  <si>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</si>
  <si>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</si>
  <si>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</si>
  <si>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</si>
  <si>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</si>
  <si>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</si>
  <si>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</si>
  <si>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</si>
  <si>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</si>
  <si>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</si>
  <si>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</si>
  <si>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</si>
  <si>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</si>
  <si>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</si>
  <si>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</si>
  <si>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</si>
  <si>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</si>
  <si>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</si>
  <si>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</si>
  <si>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</si>
  <si>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</si>
  <si>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</si>
  <si>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</si>
  <si>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</si>
  <si>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</si>
  <si>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</si>
  <si>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</si>
  <si>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</si>
  <si>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</si>
  <si>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</si>
  <si>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</si>
  <si>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</si>
  <si>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</si>
  <si>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</si>
  <si>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</si>
  <si>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</si>
  <si>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</si>
  <si>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</si>
  <si>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</si>
  <si>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</si>
  <si>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</si>
  <si>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</si>
  <si>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</si>
  <si>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</si>
  <si>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</si>
  <si>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</si>
  <si>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</si>
  <si>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</si>
  <si>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</si>
  <si>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</si>
  <si>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</si>
  <si>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</si>
  <si>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</si>
  <si>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</si>
  <si>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</si>
  <si>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</si>
  <si>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</si>
  <si>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</si>
  <si>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</si>
  <si>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</si>
  <si>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</si>
  <si>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</si>
  <si>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</si>
  <si>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</si>
  <si>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</si>
  <si>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</si>
  <si>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</si>
  <si>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</si>
  <si>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</si>
  <si>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</si>
  <si>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</si>
  <si>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</si>
  <si>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</si>
  <si>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</si>
  <si>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</si>
  <si>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</si>
  <si>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</si>
  <si>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</si>
  <si>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</si>
  <si>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</si>
  <si>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</si>
  <si>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</si>
  <si>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</si>
  <si>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</si>
  <si>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</si>
  <si>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</si>
  <si>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</si>
  <si>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</si>
  <si>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</si>
  <si>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</si>
  <si>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</si>
  <si>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</si>
  <si>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</si>
  <si>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</si>
  <si>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</si>
  <si>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</si>
  <si>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</si>
  <si>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</si>
  <si>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</si>
  <si>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</si>
  <si>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</si>
  <si>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</si>
  <si>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</si>
  <si>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</si>
  <si>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</si>
  <si>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</si>
  <si>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</si>
  <si>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</si>
  <si>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</si>
  <si>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</si>
  <si>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</si>
  <si>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</si>
  <si>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</si>
  <si>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</si>
  <si>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</si>
  <si>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</si>
  <si>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</si>
  <si>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</si>
  <si>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</si>
  <si>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</si>
  <si>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</si>
  <si>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</si>
  <si>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</si>
  <si>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</si>
  <si>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</si>
  <si>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</si>
  <si>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</si>
  <si>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</si>
  <si>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</si>
  <si>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</si>
  <si>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</si>
  <si>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</si>
  <si>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</si>
  <si>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</si>
  <si>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</si>
  <si>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</si>
  <si>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</si>
  <si>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</si>
  <si>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</si>
  <si>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</si>
  <si>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</si>
  <si>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</si>
  <si>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</si>
  <si>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</si>
  <si>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</si>
  <si>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</si>
  <si>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</si>
  <si>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</si>
  <si>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</si>
  <si>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</si>
  <si>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</si>
  <si>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</si>
  <si>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</si>
  <si>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</si>
  <si>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</si>
  <si>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</si>
  <si>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</si>
  <si>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</si>
  <si>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</si>
  <si>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</si>
  <si>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</si>
  <si>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</si>
  <si>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</si>
  <si>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</si>
  <si>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</si>
  <si>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</si>
  <si>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</si>
  <si>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</si>
  <si>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</si>
  <si>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</si>
  <si>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</si>
  <si>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</si>
  <si>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</si>
  <si>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</si>
  <si>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</si>
  <si>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</si>
  <si>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</si>
  <si>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</si>
  <si>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</si>
  <si>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</si>
  <si>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</si>
  <si>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</si>
  <si>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</si>
  <si>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</si>
  <si>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</si>
  <si>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</si>
  <si>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</si>
  <si>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</si>
  <si>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</si>
  <si>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</si>
  <si>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</si>
  <si>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</si>
  <si>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</si>
  <si>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</si>
  <si>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</si>
  <si>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</si>
  <si>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</si>
  <si>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</si>
  <si>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</si>
  <si>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</si>
  <si>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</si>
  <si>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</si>
  <si>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</si>
  <si>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</si>
  <si>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</si>
  <si>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</si>
  <si>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</si>
  <si>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</si>
  <si>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</si>
  <si>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</si>
  <si>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</si>
  <si>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</si>
  <si>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</si>
  <si>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</si>
  <si>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</si>
  <si>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</si>
  <si>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</si>
  <si>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</si>
  <si>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</si>
  <si>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</si>
  <si>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</si>
  <si>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</si>
  <si>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</si>
  <si>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</si>
  <si>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</si>
  <si>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</si>
  <si>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</si>
  <si>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</si>
  <si>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</si>
  <si>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</si>
  <si>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</si>
  <si>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</si>
  <si>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</si>
  <si>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</si>
  <si>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</si>
  <si>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</si>
  <si>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</si>
  <si>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</si>
  <si>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</si>
  <si>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</si>
  <si>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</si>
  <si>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</si>
  <si>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</si>
  <si>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</si>
  <si>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</si>
  <si>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</si>
  <si>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</si>
  <si>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</si>
  <si>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</si>
  <si>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</si>
  <si>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</si>
  <si>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</si>
  <si>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</si>
  <si>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</si>
  <si>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</si>
  <si>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</si>
  <si>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</si>
  <si>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</si>
  <si>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</si>
  <si>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</si>
  <si>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</si>
  <si>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</si>
  <si>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</si>
  <si>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</si>
  <si>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</si>
  <si>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</si>
  <si>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</si>
  <si>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</si>
  <si>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</si>
  <si>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</si>
  <si>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</si>
  <si>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</si>
  <si>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</si>
  <si>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</si>
  <si>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</si>
  <si>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</si>
  <si>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</si>
  <si>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</si>
  <si>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</si>
  <si>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</si>
  <si>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</si>
  <si>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</si>
  <si>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</si>
  <si>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</si>
  <si>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</si>
  <si>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</si>
  <si>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</si>
  <si>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</si>
  <si>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</si>
  <si>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</si>
  <si>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</si>
  <si>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</si>
  <si>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</si>
  <si>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</si>
  <si>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</si>
  <si>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</si>
  <si>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</si>
  <si>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</si>
  <si>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</si>
  <si>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</si>
  <si>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</si>
  <si>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</si>
  <si>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</si>
  <si>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</si>
  <si>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</si>
  <si>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</si>
  <si>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</si>
  <si>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</si>
  <si>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</si>
  <si>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</si>
  <si>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</si>
  <si>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</si>
  <si>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</si>
  <si>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</si>
  <si>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</si>
  <si>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</si>
  <si>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</si>
  <si>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</si>
  <si>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</si>
  <si>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</si>
  <si>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</si>
  <si>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</si>
  <si>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</si>
  <si>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</si>
  <si>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</si>
  <si>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</si>
  <si>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</si>
  <si>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</si>
  <si>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</si>
  <si>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</si>
  <si>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</si>
  <si>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</si>
  <si>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</si>
  <si>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</si>
  <si>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</si>
  <si>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</si>
  <si>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</si>
  <si>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</si>
  <si>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</si>
  <si>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</si>
  <si>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</si>
  <si>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</si>
  <si>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</si>
  <si>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</si>
  <si>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</si>
  <si>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</si>
  <si>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</si>
  <si>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</si>
  <si>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</si>
  <si>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</si>
  <si>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</si>
  <si>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</si>
  <si>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</si>
  <si>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</si>
  <si>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</si>
  <si>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</si>
  <si>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</si>
  <si>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</si>
  <si>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</si>
  <si>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</si>
  <si>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</si>
  <si>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</si>
  <si>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</si>
  <si>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</si>
  <si>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</si>
  <si>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</si>
  <si>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</si>
  <si>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</si>
  <si>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</si>
  <si>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</si>
  <si>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</si>
  <si>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</si>
  <si>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</si>
  <si>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</si>
  <si>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</si>
  <si>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</si>
  <si>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</si>
  <si>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</si>
  <si>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</si>
  <si>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</si>
  <si>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</si>
  <si>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</si>
  <si>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</si>
  <si>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</si>
  <si>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</si>
  <si>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</si>
  <si>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</si>
  <si>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</si>
  <si>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</si>
  <si>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</si>
  <si>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</si>
  <si>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</si>
  <si>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</si>
  <si>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</si>
  <si>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</si>
  <si>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</si>
  <si>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</si>
  <si>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</si>
  <si>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</si>
  <si>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</si>
  <si>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</si>
  <si>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</si>
  <si>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</si>
  <si>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</si>
  <si>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</si>
  <si>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</si>
  <si>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</si>
  <si>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</si>
  <si>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</si>
  <si>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</si>
  <si>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</si>
  <si>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</si>
  <si>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</si>
  <si>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</si>
  <si>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</si>
  <si>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</si>
  <si>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</si>
  <si>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</si>
  <si>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</si>
  <si>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</si>
  <si>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</si>
  <si>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</si>
  <si>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</si>
  <si>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</si>
  <si>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</si>
  <si>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</si>
  <si>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</si>
  <si>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</si>
  <si>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</si>
  <si>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</si>
  <si>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</si>
  <si>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</si>
  <si>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</si>
  <si>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</si>
  <si>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</si>
  <si>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</si>
  <si>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</si>
  <si>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</si>
  <si>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</si>
  <si>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</si>
  <si>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</si>
  <si>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</si>
  <si>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</si>
  <si>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</si>
  <si>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</si>
  <si>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</si>
  <si>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</si>
  <si>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</si>
  <si>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</si>
  <si>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</si>
  <si>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</si>
  <si>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</si>
  <si>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</si>
  <si>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</si>
  <si>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</si>
  <si>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</si>
  <si>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</si>
  <si>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</si>
  <si>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</si>
  <si>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</si>
  <si>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</si>
  <si>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</si>
  <si>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</si>
  <si>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</si>
  <si>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</si>
  <si>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</si>
  <si>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</si>
  <si>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</si>
  <si>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</si>
  <si>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</si>
  <si>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</si>
  <si>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</si>
  <si>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</si>
  <si>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</si>
  <si>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</si>
  <si>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</si>
  <si>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</si>
  <si>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</si>
  <si>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</si>
  <si>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</si>
  <si>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</si>
  <si>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</si>
  <si>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</si>
  <si>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</si>
  <si>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</si>
  <si>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</si>
  <si>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</si>
  <si>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</si>
  <si>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</si>
  <si>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</si>
  <si>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</si>
  <si>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</si>
  <si>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</si>
  <si>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</si>
  <si>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</si>
  <si>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</si>
  <si>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</si>
  <si>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</si>
  <si>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</si>
  <si>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</si>
  <si>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</si>
  <si>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</si>
  <si>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</si>
  <si>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</si>
  <si>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</si>
  <si>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</si>
  <si>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</si>
  <si>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</si>
  <si>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</si>
  <si>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</si>
  <si>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</si>
  <si>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</si>
  <si>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</si>
  <si>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</si>
  <si>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</si>
  <si>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</si>
  <si>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</si>
  <si>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</si>
  <si>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</si>
  <si>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</si>
  <si>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</si>
  <si>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</si>
  <si>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</si>
  <si>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</si>
  <si>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</si>
  <si>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</si>
  <si>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</si>
  <si>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</si>
  <si>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</si>
  <si>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</si>
  <si>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</si>
  <si>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</si>
  <si>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</si>
  <si>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</si>
  <si>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</si>
  <si>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</si>
  <si>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</si>
  <si>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</si>
  <si>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</si>
  <si>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</si>
  <si>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</si>
  <si>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</si>
  <si>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</si>
  <si>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</si>
  <si>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</si>
  <si>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</si>
  <si>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</si>
  <si>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</si>
  <si>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</si>
  <si>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</si>
  <si>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</si>
  <si>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</si>
  <si>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</si>
  <si>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</si>
  <si>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</si>
  <si>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</si>
  <si>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</si>
  <si>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</si>
  <si>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</si>
  <si>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</si>
  <si>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</si>
  <si>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</si>
  <si>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</si>
  <si>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</si>
  <si>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</si>
  <si>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</si>
  <si>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</si>
  <si>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</si>
  <si>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</si>
  <si>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</si>
  <si>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</si>
  <si>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</si>
  <si>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</si>
  <si>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</si>
  <si>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</si>
  <si>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</si>
  <si>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</si>
  <si>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</si>
  <si>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</si>
  <si>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</si>
  <si>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</si>
  <si>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</si>
  <si>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</si>
  <si>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</si>
  <si>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</si>
  <si>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</si>
  <si>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</si>
  <si>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</si>
  <si>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</si>
  <si>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</si>
  <si>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</si>
  <si>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</si>
  <si>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</si>
  <si>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</si>
  <si>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</si>
  <si>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</si>
  <si>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</si>
  <si>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</si>
  <si>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</si>
  <si>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</si>
  <si>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</si>
  <si>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</si>
  <si>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</si>
  <si>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</si>
  <si>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</si>
  <si>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</si>
  <si>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</si>
  <si>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</si>
  <si>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</si>
  <si>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</si>
  <si>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</si>
  <si>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</si>
  <si>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</si>
  <si>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</si>
  <si>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</si>
  <si>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</si>
  <si>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</si>
  <si>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</si>
  <si>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</si>
  <si>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</si>
  <si>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</si>
  <si>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</si>
  <si>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</si>
  <si>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</si>
  <si>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</si>
  <si>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</si>
  <si>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</si>
  <si>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</si>
  <si>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</si>
  <si>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</si>
  <si>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</si>
  <si>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</si>
  <si>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</si>
  <si>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</si>
  <si>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</si>
  <si>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</si>
  <si>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</si>
  <si>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</si>
  <si>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</si>
  <si>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</si>
  <si>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</si>
  <si>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</si>
  <si>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</si>
  <si>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</si>
  <si>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</si>
  <si>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</si>
  <si>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</si>
  <si>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</si>
  <si>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</si>
  <si>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</si>
  <si>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</si>
  <si>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</si>
  <si>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</si>
  <si>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</si>
  <si>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</si>
  <si>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</si>
  <si>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</si>
  <si>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</si>
  <si>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</si>
  <si>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</si>
  <si>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</si>
  <si>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</si>
  <si>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</si>
  <si>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</si>
  <si>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</si>
  <si>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</si>
  <si>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</si>
  <si>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</si>
  <si>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</si>
  <si>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</si>
  <si>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</si>
  <si>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</si>
  <si>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</si>
  <si>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</si>
  <si>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</si>
  <si>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</si>
  <si>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</si>
  <si>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</si>
  <si>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</si>
  <si>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</si>
  <si>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</si>
  <si>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</si>
  <si>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</si>
  <si>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</si>
  <si>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</si>
  <si>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</si>
  <si>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</si>
  <si>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</si>
  <si>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</si>
  <si>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</si>
  <si>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</si>
  <si>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</si>
  <si>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</si>
  <si>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</si>
  <si>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</si>
  <si>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</si>
  <si>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</si>
  <si>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</si>
  <si>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</si>
  <si>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</si>
  <si>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</si>
  <si>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</si>
  <si>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</si>
  <si>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</si>
  <si>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</si>
  <si>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</si>
  <si>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</si>
  <si>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</si>
  <si>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</si>
  <si>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</si>
  <si>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</si>
  <si>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</si>
  <si>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</si>
  <si>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</si>
  <si>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</si>
  <si>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</si>
  <si>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</si>
  <si>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</si>
  <si>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</si>
  <si>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</si>
  <si>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</si>
  <si>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</si>
  <si>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</si>
  <si>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</si>
  <si>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</si>
  <si>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</si>
  <si>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</si>
  <si>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</si>
  <si>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</si>
  <si>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</si>
  <si>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</si>
  <si>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</si>
  <si>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</si>
  <si>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</si>
  <si>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</si>
  <si>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</si>
  <si>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</si>
  <si>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</si>
  <si>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</si>
  <si>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</si>
  <si>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</si>
  <si>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</si>
  <si>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</si>
  <si>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</si>
  <si>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</si>
  <si>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</si>
  <si>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</si>
  <si>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</si>
  <si>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</si>
  <si>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</si>
  <si>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</si>
  <si>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</si>
  <si>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</si>
  <si>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</si>
  <si>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</si>
  <si>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</si>
  <si>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</si>
  <si>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</si>
  <si>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</si>
  <si>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</si>
  <si>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</si>
  <si>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</si>
  <si>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</si>
  <si>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</si>
  <si>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</si>
  <si>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</si>
  <si>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</si>
  <si>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</si>
  <si>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</si>
  <si>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</si>
  <si>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</si>
  <si>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</si>
  <si>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</si>
  <si>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</si>
  <si>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</si>
  <si>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</si>
  <si>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</si>
  <si>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</si>
  <si>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</si>
  <si>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</si>
  <si>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</si>
  <si>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</si>
  <si>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</si>
  <si>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</si>
  <si>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</si>
  <si>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</si>
  <si>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</si>
  <si>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</si>
  <si>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</si>
  <si>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</si>
  <si>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</si>
  <si>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</si>
  <si>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</si>
  <si>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</si>
  <si>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</si>
  <si>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</si>
  <si>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</si>
  <si>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</si>
  <si>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</si>
  <si>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</si>
  <si>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</si>
  <si>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</si>
  <si>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</si>
  <si>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</si>
  <si>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</si>
  <si>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</si>
  <si>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</si>
  <si>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</si>
  <si>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</si>
  <si>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</si>
  <si>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</si>
  <si>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</si>
  <si>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</si>
  <si>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</si>
  <si>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</si>
  <si>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</si>
  <si>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</si>
  <si>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</si>
  <si>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</si>
  <si>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</si>
  <si>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</si>
  <si>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</si>
  <si>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</si>
  <si>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</si>
  <si>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</si>
  <si>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</si>
  <si>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</si>
  <si>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</si>
  <si>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</si>
  <si>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</si>
  <si>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</si>
  <si>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</si>
  <si>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</si>
  <si>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</si>
  <si>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</si>
  <si>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</si>
  <si>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</si>
  <si>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</si>
  <si>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</si>
  <si>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</si>
  <si>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</si>
  <si>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</si>
  <si>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</si>
  <si>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</si>
  <si>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</si>
  <si>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</si>
  <si>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</si>
  <si>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</si>
  <si>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</si>
  <si>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</si>
  <si>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</si>
  <si>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</si>
  <si>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</si>
  <si>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</si>
  <si>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</si>
  <si>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</si>
  <si>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</si>
  <si>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</si>
  <si>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</si>
  <si>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</si>
  <si>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</si>
  <si>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</si>
  <si>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</si>
  <si>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</si>
  <si>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</si>
  <si>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</si>
  <si>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</si>
  <si>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</si>
  <si>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</si>
  <si>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</si>
  <si>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</si>
  <si>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</si>
  <si>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</si>
  <si>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</si>
  <si>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</si>
  <si>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</si>
  <si>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</si>
  <si>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</si>
  <si>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</si>
  <si>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</si>
  <si>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</si>
  <si>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</si>
  <si>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</si>
  <si>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</si>
  <si>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</si>
  <si>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</si>
  <si>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</si>
  <si>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</si>
  <si>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</si>
  <si>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</si>
  <si>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</si>
  <si>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</si>
  <si>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</si>
  <si>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</si>
  <si>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</si>
  <si>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</si>
  <si>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</si>
  <si>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</si>
  <si>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</si>
  <si>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</si>
  <si>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</si>
  <si>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</si>
  <si>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</si>
  <si>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</si>
  <si>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</si>
  <si>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</si>
  <si>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</si>
  <si>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</si>
  <si>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</si>
  <si>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</si>
  <si>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</si>
  <si>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</si>
  <si>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</si>
  <si>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</si>
  <si>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</si>
  <si>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</si>
  <si>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</si>
  <si>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</si>
  <si>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</si>
  <si>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</si>
  <si>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</si>
  <si>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</si>
  <si>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</si>
  <si>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</si>
  <si>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</si>
  <si>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</si>
  <si>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</si>
  <si>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</si>
  <si>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</si>
  <si>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</si>
  <si>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</si>
  <si>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</si>
  <si>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</si>
  <si>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</si>
  <si>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</si>
  <si>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</si>
  <si>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</si>
  <si>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</si>
  <si>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</si>
  <si>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</si>
  <si>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</si>
  <si>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</si>
  <si>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</si>
  <si>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</si>
  <si>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</si>
  <si>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</si>
  <si>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</si>
  <si>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</si>
  <si>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</si>
  <si>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</si>
  <si>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</si>
  <si>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</si>
  <si>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</si>
  <si>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</si>
  <si>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</si>
  <si>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</si>
  <si>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</si>
  <si>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</si>
  <si>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</si>
  <si>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</si>
  <si>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</si>
  <si>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</si>
  <si>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</si>
  <si>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</si>
  <si>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</si>
  <si>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</si>
  <si>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</si>
  <si>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</si>
  <si>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</si>
  <si>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</si>
  <si>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</si>
  <si>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</si>
  <si>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</si>
  <si>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</si>
  <si>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</si>
  <si>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</si>
  <si>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</si>
  <si>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</si>
  <si>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</si>
  <si>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</si>
  <si>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</si>
  <si>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</si>
  <si>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</si>
  <si>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</si>
  <si>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</si>
  <si>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</si>
  <si>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</si>
  <si>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</si>
  <si>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</si>
  <si>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</si>
  <si>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</si>
  <si>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</si>
  <si>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</si>
  <si>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</si>
  <si>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</si>
  <si>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</si>
  <si>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</si>
  <si>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</si>
  <si>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</si>
  <si>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</si>
  <si>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</si>
  <si>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</si>
  <si>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</si>
  <si>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</si>
  <si>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</si>
  <si>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</si>
  <si>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</si>
  <si>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</si>
  <si>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</si>
  <si>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</si>
  <si>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</si>
  <si>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</si>
  <si>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</si>
  <si>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</si>
  <si>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</si>
  <si>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</si>
  <si>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</si>
  <si>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</si>
  <si>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</si>
  <si>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</si>
  <si>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</si>
  <si>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</si>
  <si>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</si>
  <si>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</si>
  <si>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</si>
  <si>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</si>
  <si>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</si>
  <si>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</si>
  <si>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</si>
  <si>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</si>
  <si>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</si>
  <si>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</si>
  <si>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</si>
  <si>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</si>
  <si>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</si>
  <si>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</si>
  <si>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</si>
  <si>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</si>
  <si>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</si>
  <si>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</si>
  <si>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</si>
  <si>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</si>
  <si>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</si>
  <si>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</si>
  <si>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</si>
  <si>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</si>
  <si>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</si>
  <si>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</si>
  <si>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</si>
  <si>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</si>
  <si>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</si>
  <si>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</si>
  <si>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</si>
  <si>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</si>
  <si>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</si>
  <si>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</si>
  <si>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</si>
  <si>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</si>
  <si>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</si>
  <si>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</si>
  <si>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</si>
  <si>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</si>
  <si>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</si>
  <si>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</si>
  <si>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</si>
  <si>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</si>
  <si>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</si>
  <si>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</si>
  <si>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</si>
  <si>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</si>
  <si>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</si>
  <si>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</si>
  <si>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</si>
  <si>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</si>
  <si>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</si>
  <si>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</si>
  <si>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</si>
  <si>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</si>
  <si>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</si>
  <si>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</si>
  <si>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</si>
  <si>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</si>
  <si>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</si>
  <si>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</si>
  <si>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</si>
  <si>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</si>
  <si>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</si>
  <si>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</si>
  <si>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</si>
  <si>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</si>
  <si>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</si>
  <si>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</si>
  <si>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</si>
  <si>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</si>
  <si>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</si>
  <si>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</si>
  <si>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</si>
  <si>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</si>
  <si>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</si>
  <si>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</si>
  <si>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</si>
  <si>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</si>
  <si>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</si>
  <si>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</si>
  <si>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</si>
  <si>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</si>
  <si>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</si>
  <si>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</si>
  <si>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</si>
  <si>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</si>
  <si>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</si>
  <si>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</si>
  <si>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</si>
  <si>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</si>
  <si>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</si>
  <si>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</si>
  <si>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</si>
  <si>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</si>
  <si>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</si>
  <si>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</si>
  <si>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</si>
  <si>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</si>
  <si>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</si>
  <si>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</si>
  <si>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</si>
  <si>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</si>
  <si>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</si>
  <si>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</si>
  <si>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</si>
  <si>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</si>
  <si>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</si>
  <si>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</si>
  <si>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</si>
  <si>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</si>
  <si>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</si>
  <si>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</si>
  <si>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</si>
  <si>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</si>
  <si>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</si>
  <si>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</si>
  <si>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</si>
  <si>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</si>
  <si>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</si>
  <si>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</si>
  <si>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</si>
  <si>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</si>
  <si>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</si>
  <si>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</si>
  <si>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</si>
  <si>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</si>
  <si>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</si>
  <si>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</si>
  <si>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</si>
  <si>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</si>
  <si>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</si>
  <si>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</si>
  <si>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</si>
  <si>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</si>
  <si>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</si>
  <si>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</si>
  <si>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</si>
  <si>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</si>
  <si>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</si>
  <si>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</si>
  <si>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</si>
  <si>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</si>
  <si>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</si>
  <si>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</si>
  <si>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</si>
  <si>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</si>
  <si>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</si>
  <si>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</si>
  <si>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</si>
  <si>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</si>
  <si>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</si>
  <si>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</si>
  <si>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</si>
  <si>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</si>
  <si>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</si>
  <si>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</si>
  <si>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</si>
  <si>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</si>
  <si>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</si>
  <si>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</si>
  <si>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</si>
  <si>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</si>
  <si>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</si>
  <si>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</si>
  <si>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</si>
  <si>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</si>
  <si>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</si>
  <si>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</si>
  <si>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</si>
  <si>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</si>
  <si>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</si>
  <si>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</si>
  <si>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</si>
  <si>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</si>
  <si>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</si>
  <si>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</si>
  <si>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</si>
  <si>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</si>
  <si>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</si>
  <si>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</si>
  <si>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</si>
  <si>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</si>
  <si>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</si>
  <si>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</si>
  <si>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</si>
  <si>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</si>
  <si>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</si>
  <si>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</si>
  <si>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</si>
  <si>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</si>
  <si>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</si>
  <si>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</si>
  <si>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</si>
  <si>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</si>
  <si>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</si>
  <si>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</si>
  <si>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</si>
  <si>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</si>
  <si>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</si>
  <si>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</si>
  <si>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</si>
  <si>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</si>
  <si>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</si>
  <si>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</si>
  <si>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</si>
  <si>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</si>
  <si>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</si>
  <si>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</si>
  <si>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</si>
  <si>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</si>
  <si>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</si>
  <si>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</si>
  <si>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</si>
  <si>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</si>
  <si>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</si>
  <si>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</si>
  <si>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</si>
  <si>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</si>
  <si>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</si>
  <si>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</si>
  <si>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</si>
  <si>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</si>
  <si>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</si>
  <si>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</si>
  <si>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</si>
  <si>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</si>
  <si>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</si>
  <si>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</si>
  <si>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</si>
  <si>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</si>
  <si>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</si>
  <si>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</si>
  <si>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</si>
  <si>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</si>
  <si>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</si>
  <si>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</si>
  <si>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</si>
  <si>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</si>
  <si>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</si>
  <si>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</si>
  <si>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</si>
  <si>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</si>
  <si>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</si>
  <si>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</si>
  <si>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</si>
  <si>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</si>
  <si>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</si>
  <si>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</si>
  <si>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</si>
  <si>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</si>
  <si>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</si>
  <si>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</si>
  <si>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</si>
  <si>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</si>
  <si>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</si>
  <si>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</si>
  <si>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</si>
  <si>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</si>
  <si>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</si>
  <si>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</si>
  <si>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</si>
  <si>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</si>
  <si>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</si>
  <si>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</si>
  <si>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</si>
  <si>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</si>
  <si>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</si>
  <si>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</si>
  <si>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</si>
  <si>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</si>
  <si>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</si>
  <si>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</si>
  <si>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</si>
  <si>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</si>
  <si>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</si>
  <si>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</si>
  <si>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</si>
  <si>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</si>
  <si>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</si>
  <si>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</si>
  <si>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</si>
  <si>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</si>
  <si>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</si>
  <si>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</si>
  <si>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</si>
  <si>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</si>
  <si>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</si>
  <si>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</si>
  <si>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</si>
  <si>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</si>
  <si>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</si>
  <si>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</si>
  <si>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</si>
  <si>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</si>
  <si>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</si>
  <si>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</si>
  <si>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</si>
  <si>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</si>
  <si>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</si>
  <si>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</si>
  <si>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</si>
  <si>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</si>
  <si>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</si>
  <si>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</si>
  <si>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</si>
  <si>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</si>
  <si>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</si>
  <si>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</si>
  <si>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</si>
  <si>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</si>
  <si>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</si>
  <si>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</si>
  <si>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</si>
  <si>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</si>
  <si>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</si>
  <si>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</si>
  <si>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</si>
  <si>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</si>
  <si>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</si>
  <si>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</si>
  <si>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</si>
  <si>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</si>
  <si>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</si>
  <si>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</si>
  <si>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</si>
  <si>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</si>
  <si>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</si>
  <si>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</si>
  <si>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</si>
  <si>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</si>
  <si>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</si>
  <si>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</si>
  <si>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</si>
  <si>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</si>
  <si>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</si>
  <si>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</si>
  <si>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</si>
  <si>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</si>
  <si>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</si>
  <si>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</si>
  <si>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</si>
  <si>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</si>
  <si>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</si>
  <si>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</si>
  <si>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</si>
  <si>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</si>
  <si>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</si>
  <si>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</si>
  <si>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</si>
  <si>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</si>
  <si>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</si>
  <si>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</si>
  <si>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</si>
  <si>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</si>
  <si>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</si>
  <si>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</si>
  <si>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</si>
  <si>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</si>
  <si>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</si>
  <si>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</si>
  <si>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</si>
  <si>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</si>
  <si>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</si>
  <si>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</si>
  <si>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</si>
  <si>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</si>
  <si>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</si>
  <si>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</si>
  <si>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</si>
  <si>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</si>
  <si>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</si>
  <si>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</si>
  <si>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</si>
  <si>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</si>
  <si>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</si>
  <si>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</si>
  <si>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</si>
  <si>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</si>
  <si>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</si>
  <si>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</si>
  <si>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</si>
  <si>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</si>
  <si>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</si>
  <si>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</si>
  <si>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</si>
  <si>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</si>
  <si>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</si>
  <si>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</si>
  <si>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</si>
  <si>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</si>
  <si>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</si>
  <si>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</si>
  <si>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</si>
  <si>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</si>
  <si>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</si>
  <si>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</si>
  <si>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</si>
  <si>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</si>
  <si>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</si>
  <si>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</si>
  <si>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</si>
  <si>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</si>
  <si>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</si>
  <si>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</si>
  <si>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</si>
  <si>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</si>
  <si>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</si>
  <si>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</si>
  <si>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</si>
  <si>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</si>
  <si>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</si>
  <si>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</si>
  <si>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</si>
  <si>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</si>
  <si>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</si>
  <si>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</si>
  <si>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</si>
  <si>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</si>
  <si>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</si>
  <si>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</si>
  <si>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</si>
  <si>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</si>
  <si>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</si>
  <si>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</si>
  <si>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</si>
  <si>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</si>
  <si>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</si>
  <si>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</si>
  <si>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</si>
  <si>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</si>
  <si>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</si>
  <si>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</si>
  <si>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</si>
  <si>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</si>
  <si>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</si>
  <si>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</si>
  <si>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</si>
  <si>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</si>
  <si>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</si>
  <si>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</si>
  <si>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</si>
  <si>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</si>
  <si>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</si>
  <si>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</si>
  <si>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</si>
  <si>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</si>
  <si>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</si>
  <si>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</si>
  <si>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</si>
  <si>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</si>
  <si>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</si>
  <si>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</si>
  <si>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</si>
  <si>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</si>
  <si>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</si>
  <si>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</si>
  <si>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</si>
  <si>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</si>
  <si>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</si>
  <si>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</si>
  <si>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</si>
  <si>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</si>
  <si>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</si>
  <si>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</si>
  <si>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</si>
  <si>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</si>
  <si>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</si>
  <si>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</si>
  <si>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</si>
  <si>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</si>
  <si>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东西</t>
  </si>
  <si>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</si>
  <si>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</si>
  <si>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</si>
  <si>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</si>
  <si>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</si>
  <si>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</si>
  <si>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</si>
  <si>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</si>
  <si>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</si>
  <si>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</si>
  <si>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</si>
  <si>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</si>
  <si>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</si>
  <si>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</si>
  <si>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</si>
  <si>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</si>
  <si>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</si>
  <si>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</si>
  <si>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</si>
  <si>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</si>
  <si>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</si>
  <si>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</si>
  <si>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</si>
  <si>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</si>
  <si>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</si>
  <si>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</si>
  <si>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</si>
  <si>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</si>
  <si>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</si>
  <si>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</si>
  <si>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</si>
  <si>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</si>
  <si>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西南</t>
    <phoneticPr fontId="134" type="noConversion"/>
  </si>
  <si>
    <t>南北东</t>
    <phoneticPr fontId="134" type="noConversion"/>
  </si>
  <si>
    <t>西北</t>
  </si>
  <si>
    <t>东南</t>
    <phoneticPr fontId="24" type="noConversion"/>
  </si>
  <si>
    <t>西南</t>
    <phoneticPr fontId="24" type="noConversion"/>
  </si>
  <si>
    <t>东西</t>
    <phoneticPr fontId="24" type="noConversion"/>
  </si>
  <si>
    <t>东北</t>
    <phoneticPr fontId="24" type="noConversion"/>
  </si>
  <si>
    <t>西北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</si>
</sst>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0" fillId="0" borderId="0" xfId="0" applyAlignment="1">
      <alignment horizontal="center" vertical="center"/>
    </xf>
    <xf numFmtId="0" fontId="95" fillId="0" borderId="0" xfId="0" applyFont="1">
      <alignment vertical="center"/>
    </xf>
    <xf numFmtId="14" fontId="0" fillId="0" borderId="0" xfId="0" applyNumberFormat="1"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NumberFormat="1" applyAlignment="1"/>
    <xf numFmtId="0"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0" fillId="0" borderId="0" xfId="0" applyNumberFormat="1" applyAlignment="1"/>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570676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估价对象为北京市房地产，为所有。根据《国有土地使用证》[]，估价对象（分摊）出让国有建设用地使用权面积为0平方米，建筑面积为132.98平方米。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估价对象为北京市房地产,属开发建设的，该项目尚在开发建设中。根据《国有土地使用证》[]，估价对象（分摊）出让国有建设用地使用权面积为0平方米，规划建筑面积为132.98平方米。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132.97999999999999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3" t="str">
        <f>IF(B10="北京市","北京市",C10)&amp;F10&amp;IF(结果表!G1="在建","出让国有建设用地使用权及在建建筑物",IF(结果表!G1="土地","出让国有建设用地使用权",))&amp;B9&amp;"预评估"</f>
        <v>北京市房地产市场价值预评估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36"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37"/>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3"/>
      <c r="C16" s="3544"/>
      <c r="D16" s="3545"/>
      <c r="E16" s="2413" t="s">
        <v>2194</v>
      </c>
      <c r="F16" s="3546"/>
      <c r="G16" s="3547"/>
      <c r="H16" s="3547"/>
      <c r="I16" s="3548"/>
      <c r="J16" s="2439"/>
      <c r="K16" s="2617"/>
      <c r="L16" s="2451"/>
      <c r="M16" s="2451"/>
      <c r="N16" s="2509"/>
      <c r="O16" s="2451"/>
      <c r="P16" s="2509"/>
      <c r="Q16" s="2439"/>
      <c r="R16" s="2439"/>
    </row>
    <row r="17" spans="1:28">
      <c r="A17" s="313" t="s">
        <v>2195</v>
      </c>
      <c r="B17" s="302" t="s">
        <v>2196</v>
      </c>
      <c r="C17" s="8">
        <f>'数据-汇总表'!E3</f>
        <v>132.97999999999999</v>
      </c>
      <c r="D17" s="2322" t="s">
        <v>2197</v>
      </c>
      <c r="E17" s="3549" t="s">
        <v>2198</v>
      </c>
      <c r="F17" s="3550"/>
      <c r="G17" s="3550"/>
      <c r="H17" s="3550"/>
      <c r="I17" s="355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52" t="s">
        <v>2202</v>
      </c>
      <c r="F18" s="3553"/>
      <c r="G18" s="3553"/>
      <c r="H18" s="3553"/>
      <c r="I18" s="355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9" t="s">
        <v>2206</v>
      </c>
      <c r="C20" s="3540"/>
      <c r="D20" s="3541" t="s">
        <v>2207</v>
      </c>
      <c r="E20" s="3542"/>
      <c r="F20" s="2647" t="s">
        <v>1056</v>
      </c>
      <c r="G20" s="2664"/>
      <c r="H20" s="2664"/>
      <c r="I20" s="2664"/>
      <c r="J20" s="2439"/>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132.97999999999999</v>
      </c>
      <c r="BA5" s="15">
        <f t="shared" si="1"/>
        <v>132.97999999999999</v>
      </c>
      <c r="BB5" s="15">
        <f t="shared" si="1"/>
        <v>132.97999999999999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3448</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3447</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132.97999999999999</v>
      </c>
      <c r="BA14" s="13">
        <f>SUM(BB14:BK14)</f>
        <v>132.97999999999999</v>
      </c>
      <c r="BB14" s="13">
        <f>IF($D14="是",I14-J14,0)</f>
        <v>132.97999999999999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3448</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3448</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4" t="s">
        <v>1131</v>
      </c>
      <c r="B2" s="3564"/>
      <c r="C2" s="3564"/>
      <c r="D2" s="796" t="s">
        <v>1107</v>
      </c>
      <c r="E2" s="1639" t="s">
        <v>1108</v>
      </c>
      <c r="F2" s="2659"/>
      <c r="G2" s="2650"/>
      <c r="H2" s="2651"/>
      <c r="I2" s="2325" t="s">
        <v>1132</v>
      </c>
      <c r="J2" s="2659"/>
      <c r="K2" s="2659"/>
      <c r="L2" s="2659"/>
      <c r="M2" s="2659"/>
      <c r="N2" s="2661"/>
      <c r="O2" s="2659"/>
      <c r="P2" s="2659"/>
    </row>
    <row r="3" spans="1:16" ht="15" thickBot="1">
      <c r="A3" s="3565" t="s">
        <v>1105</v>
      </c>
      <c r="B3" s="3565"/>
      <c r="C3" s="3565"/>
      <c r="D3" s="43">
        <f>'数据-基础表'!AY6</f>
        <v>0</v>
      </c>
      <c r="E3" s="43">
        <f>'数据-基础表'!AZ5</f>
        <v>132.97999999999999</v>
      </c>
      <c r="F3" s="2659"/>
      <c r="G3" s="1145"/>
      <c r="H3" s="1026" t="s">
        <v>1106</v>
      </c>
      <c r="I3" s="855" t="e">
        <f>ROUND('数据-基础表'!B3/'数据-基础表'!A3,2)</f>
        <v>#DIV/0!</v>
      </c>
      <c r="J3" s="2659"/>
      <c r="K3" s="2659"/>
      <c r="L3" s="2659"/>
      <c r="M3" s="2659"/>
      <c r="N3" s="2661"/>
      <c r="O3" s="2659"/>
      <c r="P3" s="2659"/>
    </row>
    <row r="4" spans="1:16" ht="14.4">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9" t="s">
        <v>1110</v>
      </c>
      <c r="C5" s="3569"/>
      <c r="D5" s="45">
        <f>ROUND($D$3*E5/$E$3,2)</f>
        <v>0</v>
      </c>
      <c r="E5" s="46">
        <f>SUMIF('数据-基础表'!$11:$11,"住宅",'数据-基础表'!$5:$5)</f>
        <v>132.97999999999999</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1"/>
      <c r="B7" s="3562"/>
      <c r="C7" s="356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132.97999999999999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132.97999999999999</v>
      </c>
      <c r="F16" s="2659"/>
      <c r="G16" s="2660"/>
      <c r="H16" s="1648" t="s">
        <v>1135</v>
      </c>
      <c r="I16" s="1649"/>
      <c r="J16" s="1139"/>
      <c r="K16" s="3558" t="s">
        <v>1135</v>
      </c>
      <c r="L16" s="3559"/>
      <c r="M16" s="3559"/>
      <c r="N16" s="3559"/>
      <c r="O16" s="3559"/>
      <c r="P16" s="3560"/>
    </row>
    <row r="17" spans="1:19" ht="14.4">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132.97999999999999</v>
      </c>
      <c r="F19" s="2795">
        <f>'数据-基础表'!I14</f>
        <v>132.97999999999999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132.97999999999999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132.97999999999999</v>
      </c>
      <c r="F27" s="1140">
        <f>IF(SUM(F19:F26)=E8,SUM(F19:F26),"地上面积有误")</f>
        <v>132.97999999999999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132.97999999999999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132.97999999999999</v>
      </c>
      <c r="F31" s="677">
        <f>F27+F30</f>
        <v>132.97999999999999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132.97999999999999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132.97999999999999</v>
      </c>
      <c r="L6" s="733">
        <v>5000</v>
      </c>
      <c r="M6" s="67">
        <f t="shared" ref="M6:M14" si="0">ROUND(K6*L6/10000,0)</f>
        <v>66</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132.97999999999999</v>
      </c>
      <c r="AI6" s="76">
        <v>12</v>
      </c>
      <c r="AJ6" s="77"/>
      <c r="AK6" s="78">
        <v>2E-3</v>
      </c>
      <c r="AL6" s="79">
        <v>1E-3</v>
      </c>
      <c r="AM6" s="80">
        <v>0.01</v>
      </c>
      <c r="AN6" s="1715" t="s">
        <v>3474</v>
      </c>
      <c r="AO6" s="52">
        <f ca="1">SUMIF(INDIRECT("'"&amp;AN6&amp;"'"&amp;"!A:A"),"总价",INDIRECT("'"&amp;AN6&amp;"'"&amp;"!B:B"))</f>
        <v>580.30970000000002</v>
      </c>
      <c r="AP6" s="1716">
        <f>IF(C6="住宅",K6*L6,0)</f>
        <v>664900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132.97999999999999</v>
      </c>
      <c r="L16" s="93">
        <f>ROUND(M16*10000/SUM(K6:K14),0)</f>
        <v>4963</v>
      </c>
      <c r="M16" s="93">
        <f>SUM(M6:M14)</f>
        <v>66</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132.97999999999999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908.65233999999987</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132.97999999999999</v>
      </c>
      <c r="C14" s="2518"/>
      <c r="D14" s="2518">
        <f ca="1">E14*B14/10000</f>
        <v>908.65233999999987</v>
      </c>
      <c r="E14" s="2518">
        <f ca="1">结果表!G20</f>
        <v>68330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23" sqref="M2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3.2">
      <c r="A3" s="3610" t="s">
        <v>1264</v>
      </c>
      <c r="B3" s="3611"/>
      <c r="C3" s="3611"/>
      <c r="D3" s="3611"/>
      <c r="E3" s="3611"/>
      <c r="F3" s="3611"/>
      <c r="G3" s="3611"/>
      <c r="H3" s="3611"/>
      <c r="I3" s="3611"/>
    </row>
    <row r="4" spans="1:12" ht="14.4">
      <c r="A4" s="1754" t="s">
        <v>1265</v>
      </c>
      <c r="B4" s="1755" t="s">
        <v>1266</v>
      </c>
      <c r="C4" s="1756" t="s">
        <v>3476</v>
      </c>
      <c r="D4" s="1756" t="s">
        <v>3474</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6" t="s">
        <v>1268</v>
      </c>
      <c r="B5" s="3573">
        <v>25</v>
      </c>
      <c r="C5" s="3589">
        <v>8</v>
      </c>
      <c r="D5" s="3609">
        <f>10-C5</f>
        <v>2</v>
      </c>
      <c r="E5" s="131" t="s">
        <v>1269</v>
      </c>
      <c r="F5" s="1757"/>
      <c r="G5" s="1757"/>
      <c r="H5" s="1757"/>
      <c r="I5" s="1373"/>
    </row>
    <row r="6" spans="1:12" ht="13.2">
      <c r="A6" s="3586"/>
      <c r="B6" s="3573"/>
      <c r="C6" s="3590"/>
      <c r="D6" s="3609"/>
      <c r="E6" s="131" t="s">
        <v>1270</v>
      </c>
      <c r="F6" s="1757"/>
      <c r="G6" s="1757"/>
      <c r="H6" s="1757"/>
      <c r="I6" s="1373"/>
    </row>
    <row r="7" spans="1:12" ht="13.2">
      <c r="A7" s="3586"/>
      <c r="B7" s="3573"/>
      <c r="C7" s="3591"/>
      <c r="D7" s="3609"/>
      <c r="E7" s="131" t="s">
        <v>1271</v>
      </c>
      <c r="F7" s="1757"/>
      <c r="G7" s="1757"/>
      <c r="H7" s="1757"/>
      <c r="I7" s="1373"/>
    </row>
    <row r="8" spans="1:12" ht="13.2">
      <c r="A8" s="3586" t="s">
        <v>1272</v>
      </c>
      <c r="B8" s="3573">
        <v>15</v>
      </c>
      <c r="C8" s="3589"/>
      <c r="D8" s="3609"/>
      <c r="E8" s="131" t="s">
        <v>1273</v>
      </c>
      <c r="F8" s="1757"/>
      <c r="G8" s="1757"/>
      <c r="H8" s="1757"/>
      <c r="I8" s="1373"/>
    </row>
    <row r="9" spans="1:12" ht="13.2">
      <c r="A9" s="3586"/>
      <c r="B9" s="3573"/>
      <c r="C9" s="3591"/>
      <c r="D9" s="3609"/>
      <c r="E9" s="131" t="s">
        <v>1274</v>
      </c>
      <c r="F9" s="1757"/>
      <c r="G9" s="1757"/>
      <c r="H9" s="1757"/>
      <c r="I9" s="1373"/>
    </row>
    <row r="10" spans="1:12" ht="13.2">
      <c r="A10" s="3586" t="s">
        <v>1275</v>
      </c>
      <c r="B10" s="3573">
        <v>15</v>
      </c>
      <c r="C10" s="3589"/>
      <c r="D10" s="3609"/>
      <c r="E10" s="131" t="s">
        <v>1276</v>
      </c>
      <c r="F10" s="1757"/>
      <c r="G10" s="1757"/>
      <c r="H10" s="1757"/>
      <c r="I10" s="1373"/>
    </row>
    <row r="11" spans="1:12" ht="13.2">
      <c r="A11" s="3586"/>
      <c r="B11" s="3573"/>
      <c r="C11" s="3591"/>
      <c r="D11" s="3609"/>
      <c r="E11" s="131" t="s">
        <v>1277</v>
      </c>
      <c r="F11" s="1757"/>
      <c r="G11" s="1757"/>
      <c r="H11" s="1757"/>
      <c r="I11" s="1373"/>
    </row>
    <row r="12" spans="1:12" ht="13.2">
      <c r="A12" s="3586" t="s">
        <v>1278</v>
      </c>
      <c r="B12" s="3573">
        <v>15</v>
      </c>
      <c r="C12" s="3589"/>
      <c r="D12" s="3609"/>
      <c r="E12" s="131" t="s">
        <v>1279</v>
      </c>
      <c r="F12" s="1757"/>
      <c r="G12" s="1757"/>
      <c r="H12" s="1757"/>
      <c r="I12" s="1373"/>
    </row>
    <row r="13" spans="1:12" ht="13.2">
      <c r="A13" s="3586"/>
      <c r="B13" s="3573"/>
      <c r="C13" s="3591"/>
      <c r="D13" s="3609"/>
      <c r="E13" s="131" t="s">
        <v>1280</v>
      </c>
      <c r="F13" s="1757"/>
      <c r="G13" s="1757"/>
      <c r="H13" s="1757"/>
      <c r="I13" s="1373"/>
    </row>
    <row r="14" spans="1:12" ht="13.2">
      <c r="A14" s="3586" t="s">
        <v>1281</v>
      </c>
      <c r="B14" s="3573">
        <v>30</v>
      </c>
      <c r="C14" s="3589"/>
      <c r="D14" s="3609"/>
      <c r="E14" s="131" t="s">
        <v>1282</v>
      </c>
      <c r="F14" s="1757"/>
      <c r="G14" s="1757"/>
      <c r="H14" s="1757"/>
      <c r="I14" s="1373"/>
    </row>
    <row r="15" spans="1:12" ht="13.2">
      <c r="A15" s="3586"/>
      <c r="B15" s="3573"/>
      <c r="C15" s="3590"/>
      <c r="D15" s="3609"/>
      <c r="E15" s="131" t="s">
        <v>1283</v>
      </c>
      <c r="F15" s="1757"/>
      <c r="G15" s="1757"/>
      <c r="H15" s="1757"/>
      <c r="I15" s="1373"/>
    </row>
    <row r="16" spans="1:12" ht="13.2">
      <c r="A16" s="3586"/>
      <c r="B16" s="3573"/>
      <c r="C16" s="3591"/>
      <c r="D16" s="3609"/>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6" t="s">
        <v>2131</v>
      </c>
      <c r="F18" s="3597"/>
      <c r="G18" s="3597"/>
      <c r="H18" s="3597"/>
      <c r="I18" s="3597"/>
      <c r="K18" s="302" t="s">
        <v>1289</v>
      </c>
      <c r="L18" s="302">
        <f>IF(C1="",'数据-汇总表'!E3,SUMIF(项目类型,C1,'数据-汇总表'!E17:E26)+SUMIF(项目类型,C1,'数据-汇总表'!I17:I26))</f>
        <v>132.97999999999999</v>
      </c>
      <c r="M18" s="302">
        <f>IF(C1="",'数据-汇总表'!E3,SUMIF(项目类型,C1,'数据-汇总表'!E17:E26))</f>
        <v>132.97999999999999</v>
      </c>
    </row>
    <row r="19" spans="1:36" ht="14.4">
      <c r="A19" s="1761" t="s">
        <v>1290</v>
      </c>
      <c r="B19" s="1762" t="s">
        <v>1291</v>
      </c>
      <c r="C19" s="134">
        <f ca="1">SUMIF(INDIRECT("'"&amp;C4&amp;"'"&amp;"!A:A"),结果表!B19,INDIRECT("'"&amp;C4&amp;"'"&amp;"!B:B"))</f>
        <v>990.74090000000001</v>
      </c>
      <c r="D19" s="135">
        <f ca="1">SUMIF(INDIRECT("'"&amp;D4&amp;"'"&amp;"!A:A"),结果表!B19,INDIRECT("'"&amp;D4&amp;"'"&amp;"!B:B"))</f>
        <v>580.30970000000002</v>
      </c>
      <c r="E19" s="1761" t="s">
        <v>1292</v>
      </c>
      <c r="F19" s="1762" t="s">
        <v>1291</v>
      </c>
      <c r="G19" s="136">
        <f ca="1">ROUND(C19*$C$18+D19*$D$18,0)</f>
        <v>909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74503</v>
      </c>
      <c r="D20" s="138">
        <f ca="1">SUMIF(INDIRECT("'"&amp;D4&amp;"'"&amp;"!A:A"),结果表!B20,INDIRECT("'"&amp;D4&amp;"'"&amp;"!B:B"))</f>
        <v>43639</v>
      </c>
      <c r="E20" s="1764"/>
      <c r="F20" s="1026" t="s">
        <v>1295</v>
      </c>
      <c r="G20" s="139">
        <f ca="1">ROUND(C20*$C$18+D20*$D$18,0)</f>
        <v>68330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0.70726234629543505</v>
      </c>
      <c r="E22" s="129"/>
      <c r="F22" s="129"/>
      <c r="G22" s="129"/>
      <c r="H22" s="129"/>
      <c r="I22" s="129"/>
    </row>
    <row r="23" spans="1:36" ht="13.8" thickBot="1">
      <c r="A23" s="1747"/>
      <c r="B23" s="1747"/>
      <c r="C23" s="1747"/>
      <c r="D23" s="1747"/>
      <c r="E23" s="129"/>
      <c r="F23" s="129"/>
      <c r="G23" s="129"/>
      <c r="H23" s="129"/>
      <c r="I23" s="129"/>
    </row>
    <row r="24" spans="1:36" ht="14.4">
      <c r="A24" s="3580" t="s">
        <v>1299</v>
      </c>
      <c r="B24" s="1762" t="s">
        <v>1291</v>
      </c>
      <c r="C24" s="136">
        <f>IF(B30=0,0,D30)</f>
        <v>0</v>
      </c>
      <c r="D24" s="1769"/>
      <c r="E24" s="129"/>
      <c r="F24" s="129"/>
      <c r="G24" s="129"/>
      <c r="H24" s="129"/>
      <c r="I24" s="129"/>
    </row>
    <row r="25" spans="1:36" ht="14.4">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68330</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0" t="s">
        <v>1312</v>
      </c>
      <c r="B36" s="1787" t="s">
        <v>1313</v>
      </c>
      <c r="C36" s="145"/>
      <c r="D36" s="1788"/>
      <c r="E36" s="1789"/>
      <c r="F36" s="1790"/>
      <c r="G36" s="129"/>
      <c r="H36" s="129"/>
      <c r="I36" s="129"/>
    </row>
    <row r="37" spans="1:15" ht="15" thickBot="1">
      <c r="A37" s="3601"/>
      <c r="B37" s="1674" t="s">
        <v>1314</v>
      </c>
      <c r="C37" s="147"/>
      <c r="D37" s="1139"/>
      <c r="E37" s="1139"/>
      <c r="F37" s="1790"/>
      <c r="G37" s="129"/>
      <c r="H37" s="129"/>
      <c r="I37" s="129"/>
    </row>
    <row r="38" spans="1:15" ht="15" thickBot="1">
      <c r="A38" s="360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t="e">
        <f ca="1">ROUND(H101*F45,0)</f>
        <v>#REF!</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45828</v>
      </c>
      <c r="N47" s="3657"/>
      <c r="O47" s="3657"/>
    </row>
    <row r="48" spans="1:15" ht="26.4">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6" t="s">
        <v>1340</v>
      </c>
      <c r="L48" s="3636"/>
      <c r="M48" s="3658" t="e">
        <f ca="1">H101</f>
        <v>#REF!</v>
      </c>
      <c r="N48" s="3658"/>
      <c r="O48" s="3658"/>
    </row>
    <row r="49" spans="1:35" ht="25.5" customHeight="1">
      <c r="A49" s="2333" t="s">
        <v>1341</v>
      </c>
      <c r="B49" s="3572" t="s">
        <v>1342</v>
      </c>
      <c r="C49" s="3572"/>
      <c r="D49" s="1590">
        <v>0</v>
      </c>
      <c r="E49" s="324" t="s">
        <v>1343</v>
      </c>
      <c r="F49" s="2424" t="s">
        <v>28</v>
      </c>
      <c r="G49" s="3642"/>
      <c r="H49" s="2310" t="s">
        <v>2134</v>
      </c>
      <c r="I49" s="2311"/>
      <c r="J49" s="2523">
        <v>4</v>
      </c>
      <c r="K49" s="3636" t="str">
        <f>IF(项目基本情况!E8="房地产抵押价值","房地产抵押价值","抵押担保权已注销时的房地产抵押价值")</f>
        <v>抵押担保权已注销时的房地产抵押价值</v>
      </c>
      <c r="L49" s="3636"/>
      <c r="M49" s="3658" t="str">
        <f>IF(项目基本情况!E8="房地产抵押价值",H107,H109)</f>
        <v>——</v>
      </c>
      <c r="N49" s="3658"/>
      <c r="O49" s="3658"/>
    </row>
    <row r="50" spans="1:35" ht="25.5" customHeight="1">
      <c r="A50" s="2551"/>
      <c r="B50" s="3572" t="s">
        <v>1344</v>
      </c>
      <c r="C50" s="3572"/>
      <c r="D50" s="2552"/>
      <c r="E50" s="332"/>
      <c r="F50" s="2424"/>
      <c r="G50" s="3643"/>
      <c r="H50" s="2312" t="s">
        <v>2135</v>
      </c>
      <c r="I50" s="2311"/>
      <c r="J50" s="3655" t="s">
        <v>1345</v>
      </c>
      <c r="K50" s="3655"/>
      <c r="L50" s="3655"/>
      <c r="M50" s="3655"/>
      <c r="N50" s="3655"/>
      <c r="O50" s="3655"/>
    </row>
    <row r="51" spans="1:35" ht="20.399999999999999" customHeight="1">
      <c r="A51" s="2553"/>
      <c r="B51" s="3572" t="s">
        <v>1346</v>
      </c>
      <c r="C51" s="3572"/>
      <c r="D51" s="1087"/>
      <c r="E51" s="327"/>
      <c r="F51" s="2424"/>
      <c r="G51" s="3644"/>
      <c r="H51" s="2312" t="s">
        <v>2136</v>
      </c>
      <c r="I51" s="2311"/>
      <c r="J51" s="2524" t="s">
        <v>1347</v>
      </c>
      <c r="K51" s="3636" t="s">
        <v>1348</v>
      </c>
      <c r="L51" s="3636"/>
      <c r="M51" s="2524" t="s">
        <v>1349</v>
      </c>
      <c r="N51" s="2524" t="s">
        <v>1350</v>
      </c>
      <c r="O51" s="2524" t="s">
        <v>1351</v>
      </c>
    </row>
    <row r="52" spans="1:35" ht="24" customHeight="1">
      <c r="A52" s="2335" t="s">
        <v>1352</v>
      </c>
      <c r="B52" s="3572" t="s">
        <v>1353</v>
      </c>
      <c r="C52" s="3572"/>
      <c r="D52" s="1087" t="e">
        <f ca="1">ROUND(D45*'数据-取费表'!B41/(1+'数据-取费表'!C42),0)</f>
        <v>#REF!</v>
      </c>
      <c r="E52" s="2334" t="s">
        <v>1354</v>
      </c>
      <c r="F52" s="2554">
        <f>'数据-取费表'!B41</f>
        <v>5.6000000000000001E-2</v>
      </c>
      <c r="G52" s="2555"/>
      <c r="H52" s="2544"/>
      <c r="I52" s="1807"/>
      <c r="J52" s="2523">
        <v>1</v>
      </c>
      <c r="K52" s="3637" t="s">
        <v>1355</v>
      </c>
      <c r="L52" s="3637"/>
      <c r="M52" s="2525" t="b">
        <f>D48</f>
        <v>0</v>
      </c>
      <c r="N52" s="2523" t="str">
        <f>E48</f>
        <v>销售额×税（费）率</v>
      </c>
      <c r="O52" s="2526">
        <f>F48</f>
        <v>5.6000000000000001E-2</v>
      </c>
    </row>
    <row r="53" spans="1:35" ht="12" customHeight="1">
      <c r="A53" s="2335" t="s">
        <v>1356</v>
      </c>
      <c r="B53" s="3598" t="s">
        <v>2291</v>
      </c>
      <c r="C53" s="3599"/>
      <c r="D53" s="1087" t="e">
        <f ca="1">ROUND(D45*'数据-取费表'!B41/(1+'数据-取费表'!C42),0)</f>
        <v>#REF!</v>
      </c>
      <c r="E53" s="2334" t="s">
        <v>1354</v>
      </c>
      <c r="F53" s="2554">
        <f>'数据-取费表'!B41</f>
        <v>5.6000000000000001E-2</v>
      </c>
      <c r="G53" s="2555"/>
      <c r="H53" s="2544"/>
      <c r="I53" s="1807"/>
      <c r="J53" s="2523">
        <v>2</v>
      </c>
      <c r="K53" s="3637" t="s">
        <v>1357</v>
      </c>
      <c r="L53" s="3637"/>
      <c r="M53" s="2525" t="e">
        <f t="shared" ref="M53:O54" ca="1" si="0">D55</f>
        <v>#REF!</v>
      </c>
      <c r="N53" s="2523" t="str">
        <f t="shared" si="0"/>
        <v>销售额×税（费）率</v>
      </c>
      <c r="O53" s="2526" t="str">
        <f t="shared" si="0"/>
        <v>免征</v>
      </c>
    </row>
    <row r="54" spans="1:35" ht="12" customHeight="1">
      <c r="A54" s="2335" t="s">
        <v>1358</v>
      </c>
      <c r="B54" s="3598" t="s">
        <v>2292</v>
      </c>
      <c r="C54" s="3599"/>
      <c r="D54" s="1087" t="e">
        <f ca="1">C68</f>
        <v>#REF!</v>
      </c>
      <c r="E54" s="327" t="s">
        <v>1359</v>
      </c>
      <c r="F54" s="2554">
        <f>'数据-取费表'!B41</f>
        <v>5.6000000000000001E-2</v>
      </c>
      <c r="G54" s="2555"/>
      <c r="H54" s="2556"/>
      <c r="I54" s="1807"/>
      <c r="J54" s="2523">
        <v>3</v>
      </c>
      <c r="K54" s="3637" t="s">
        <v>1360</v>
      </c>
      <c r="L54" s="3637"/>
      <c r="M54" s="2525" t="e">
        <f t="shared" ca="1" si="0"/>
        <v>#REF!</v>
      </c>
      <c r="N54" s="2523" t="str">
        <f t="shared" si="0"/>
        <v>增值额×税（费）率</v>
      </c>
      <c r="O54" s="2527" t="str">
        <f t="shared" si="0"/>
        <v>免征</v>
      </c>
    </row>
    <row r="55" spans="1:35" ht="24" customHeight="1">
      <c r="A55" s="3587" t="s">
        <v>1361</v>
      </c>
      <c r="B55" s="3588"/>
      <c r="C55" s="3588"/>
      <c r="D55" s="2324" t="e">
        <f ca="1">IF(H55="个人住宅",0,ROUND(D45*I55,0))</f>
        <v>#REF!</v>
      </c>
      <c r="E55" s="2334" t="s">
        <v>1362</v>
      </c>
      <c r="F55" s="2554" t="str">
        <f>IF(H55="正常",I55,"免征")</f>
        <v>免征</v>
      </c>
      <c r="G55" s="2555"/>
      <c r="H55" s="2550"/>
      <c r="I55" s="165">
        <f>'数据-取费表'!B49</f>
        <v>5.0000000000000001E-4</v>
      </c>
      <c r="J55" s="2523">
        <f>IF(H59="非个人房产","",4)</f>
        <v>4</v>
      </c>
      <c r="K55" s="3637" t="str">
        <f>IF(H59="非个人房产","——","个人所得税")</f>
        <v>个人所得税</v>
      </c>
      <c r="L55" s="3637"/>
      <c r="M55" s="2528" t="e">
        <f ca="1">D59</f>
        <v>#REF!</v>
      </c>
      <c r="N55" s="2040" t="str">
        <f>E59</f>
        <v>差额计税</v>
      </c>
      <c r="O55" s="2529">
        <f>F59</f>
        <v>0.01</v>
      </c>
    </row>
    <row r="56" spans="1:35" ht="25.2">
      <c r="A56" s="3587" t="s">
        <v>1363</v>
      </c>
      <c r="B56" s="3588"/>
      <c r="C56" s="3588"/>
      <c r="D56" s="2324" t="e">
        <f ca="1">IF(H56="个人住宅",D57,D58)</f>
        <v>#REF!</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3.2">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0</v>
      </c>
      <c r="O57" s="2533"/>
      <c r="P57" s="2690" t="e">
        <f ca="1">N57/M49</f>
        <v>#VALUE!</v>
      </c>
    </row>
    <row r="58" spans="1:35" ht="25.2">
      <c r="A58" s="2335" t="s">
        <v>1352</v>
      </c>
      <c r="B58" s="3598" t="s">
        <v>1369</v>
      </c>
      <c r="C58" s="3572"/>
      <c r="D58" s="2324" t="e">
        <f ca="1">IF(H58="转让取得",C81,C97)</f>
        <v>#REF!</v>
      </c>
      <c r="E58" s="2334" t="s">
        <v>1364</v>
      </c>
      <c r="F58" s="302" t="s">
        <v>28</v>
      </c>
      <c r="G58" s="2555"/>
      <c r="H58" s="2558"/>
      <c r="I58" s="1808"/>
      <c r="J58" s="3637"/>
      <c r="K58" s="3637"/>
      <c r="L58" s="2530" t="s">
        <v>1370</v>
      </c>
      <c r="M58" s="2534"/>
      <c r="N58" s="2535" t="str">
        <f ca="1">NUMBERSTRING(INT(N57*10000),2)&amp;"元整"</f>
        <v>零元整</v>
      </c>
      <c r="O58" s="2536"/>
    </row>
    <row r="59" spans="1:35" ht="24.6" thickBot="1">
      <c r="A59" s="3640" t="s">
        <v>1371</v>
      </c>
      <c r="B59" s="3641"/>
      <c r="C59" s="364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2523" t="s">
        <v>1368</v>
      </c>
      <c r="M59" s="2537"/>
      <c r="N59" s="2538" t="e">
        <f ca="1">M49-N57</f>
        <v>#VALUE!</v>
      </c>
      <c r="O59" s="2539"/>
    </row>
    <row r="60" spans="1:35" ht="12" customHeight="1">
      <c r="A60" s="1809"/>
      <c r="B60" s="1747"/>
      <c r="C60" s="1747"/>
      <c r="D60" s="1747"/>
      <c r="E60" s="1578"/>
      <c r="F60" s="1808"/>
      <c r="G60" s="1808"/>
      <c r="H60" s="1810"/>
      <c r="I60" s="129"/>
      <c r="J60" s="3639"/>
      <c r="K60" s="3637"/>
      <c r="L60" s="2530" t="s">
        <v>1370</v>
      </c>
      <c r="M60" s="2534"/>
      <c r="N60" s="2535" t="e">
        <f ca="1">NUMBERSTRING(INT(N59*10000),2)&amp;"元整"</f>
        <v>#VALUE!</v>
      </c>
      <c r="O60" s="2536"/>
    </row>
    <row r="61" spans="1:35" ht="13.8" thickBot="1">
      <c r="A61" s="3585" t="s">
        <v>1373</v>
      </c>
      <c r="B61" s="3585"/>
      <c r="C61" s="3585"/>
      <c r="D61" s="3585"/>
      <c r="E61" s="3585"/>
      <c r="F61" s="1808"/>
      <c r="G61" s="1808"/>
      <c r="H61" s="1810"/>
      <c r="I61" s="129"/>
      <c r="J61" s="2523">
        <f>J59+1</f>
        <v>7</v>
      </c>
      <c r="K61" s="3637" t="s">
        <v>1374</v>
      </c>
      <c r="L61" s="3637"/>
      <c r="M61" s="2540"/>
      <c r="N61" s="2541" t="e">
        <f ca="1">ROUND(N59*10000/'数据-汇总表'!E3,0)</f>
        <v>#VALUE!</v>
      </c>
      <c r="O61" s="2542"/>
    </row>
    <row r="62" spans="1:35" ht="13.2">
      <c r="A62" s="3603" t="s">
        <v>1375</v>
      </c>
      <c r="B62" s="360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比较法-住宅</v>
      </c>
      <c r="D101" s="2586" t="str">
        <f>D4</f>
        <v>收益法 (元)</v>
      </c>
      <c r="E101" s="3659" t="s">
        <v>1431</v>
      </c>
      <c r="F101" s="3616"/>
      <c r="G101" s="1827" t="s">
        <v>1432</v>
      </c>
      <c r="H101" s="2595" t="e">
        <f ca="1">H118</f>
        <v>#REF!</v>
      </c>
      <c r="I101" s="129"/>
    </row>
    <row r="102" spans="1:35" ht="18.75" customHeight="1">
      <c r="A102" s="3618" t="s">
        <v>1433</v>
      </c>
      <c r="B102" s="2584" t="s">
        <v>1432</v>
      </c>
      <c r="C102" s="2585">
        <f ca="1">IF(D32="楼面单价",ROUND(C19,0),C19)</f>
        <v>990.74090000000001</v>
      </c>
      <c r="D102" s="2586">
        <f ca="1">IF(D32="楼面单价",ROUND(D19,0),D19)</f>
        <v>580.30970000000002</v>
      </c>
      <c r="E102" s="3659"/>
      <c r="F102" s="3616"/>
      <c r="G102" s="1827" t="s">
        <v>1434</v>
      </c>
      <c r="H102" s="2555" t="e">
        <f ca="1">I118</f>
        <v>#REF!</v>
      </c>
      <c r="I102" s="129"/>
    </row>
    <row r="103" spans="1:35" ht="42.75" customHeight="1">
      <c r="A103" s="3618"/>
      <c r="B103" s="2584" t="s">
        <v>1434</v>
      </c>
      <c r="C103" s="2587">
        <f ca="1">C20</f>
        <v>74503</v>
      </c>
      <c r="D103" s="2588">
        <f ca="1">D20</f>
        <v>43639</v>
      </c>
      <c r="E103" s="3653" t="s">
        <v>1435</v>
      </c>
      <c r="F103" s="3654"/>
      <c r="G103" s="1828" t="s">
        <v>1436</v>
      </c>
      <c r="H103" s="2595">
        <f>IF(D36="正常操作",H104+H105+H106,H105+H106)</f>
        <v>0</v>
      </c>
      <c r="I103" s="129"/>
    </row>
    <row r="104" spans="1:35" ht="18.75" customHeight="1">
      <c r="A104" s="361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t="e">
        <f ca="1">IF(E107="——","——",H101-H103)</f>
        <v>#REF!</v>
      </c>
      <c r="I107" s="129"/>
    </row>
    <row r="108" spans="1:35" ht="18.75" customHeight="1">
      <c r="A108" s="129"/>
      <c r="B108" s="129"/>
      <c r="C108" s="129"/>
      <c r="D108" s="129"/>
      <c r="E108" s="3615"/>
      <c r="F108" s="3616"/>
      <c r="G108" s="1827" t="s">
        <v>1434</v>
      </c>
      <c r="H108" s="2555">
        <f ca="1">IF(H107=H101,H102,ROUND(H107*10000/'数据-汇总表'!E3,0))</f>
        <v>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132.97999999999999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626" t="e">
        <f ca="1">NUMBERSTRING(INT(D118*10000),2)&amp;"元整"</f>
        <v>#REF!</v>
      </c>
      <c r="E119" s="3628"/>
      <c r="F119" s="3626" t="e">
        <f ca="1">NUMBERSTRING(INT(F118*10000),2)&amp;"元整"</f>
        <v>#REF!</v>
      </c>
      <c r="G119" s="3628"/>
      <c r="H119" s="3626" t="e">
        <f ca="1">NUMBERSTRING(INT(H118*10000),2)&amp;"元整"</f>
        <v>#REF!</v>
      </c>
      <c r="I119" s="3628"/>
    </row>
    <row r="120" spans="1:27" ht="18.75" customHeight="1">
      <c r="A120" s="3650" t="str">
        <f>IF(项目基本情况!B9="房地产市场价值","",MID(E103,3,LEN(E103)-2))</f>
        <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
      </c>
      <c r="B122" s="3617"/>
      <c r="C122" s="3617"/>
      <c r="D122" s="3650" t="e">
        <f ca="1">H107</f>
        <v>#REF!</v>
      </c>
      <c r="E122" s="3651"/>
      <c r="F122" s="3651"/>
      <c r="G122" s="3651"/>
      <c r="H122" s="3651"/>
      <c r="I122" s="3652"/>
      <c r="AA122" s="725"/>
    </row>
    <row r="123" spans="1:27" ht="18.75" customHeight="1">
      <c r="A123" s="3586" t="s">
        <v>1452</v>
      </c>
      <c r="B123" s="3586"/>
      <c r="C123" s="3586"/>
      <c r="D123" s="3626" t="e">
        <f ca="1">NUMBERSTRING(INT(D122*10000),2)&amp;"元整"</f>
        <v>#REF!</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8498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132.97999999999999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132.97999999999999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7</v>
      </c>
      <c r="D36" s="220"/>
      <c r="E36" s="220"/>
      <c r="F36" s="259">
        <f>'数据-取费表'!B34</f>
        <v>0.1</v>
      </c>
      <c r="G36" s="260" t="s">
        <v>1530</v>
      </c>
    </row>
    <row r="37" spans="1:7" s="258" customFormat="1" ht="13.5" customHeight="1">
      <c r="A37" s="780" t="s">
        <v>353</v>
      </c>
      <c r="B37" s="215" t="s">
        <v>1531</v>
      </c>
      <c r="C37" s="249">
        <f ca="1">ROUND(E37*D37*F34/10000,0)</f>
        <v>3</v>
      </c>
      <c r="D37" s="217">
        <f ca="1">D19</f>
        <v>132.97999999999999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17</v>
      </c>
      <c r="D45" s="235">
        <f ca="1">C47</f>
        <v>4.0000000000000001E-3</v>
      </c>
      <c r="E45" s="236" t="s">
        <v>1539</v>
      </c>
      <c r="F45" s="246">
        <f ca="1">F27</f>
        <v>0.2</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115</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109</v>
      </c>
      <c r="D51" s="232"/>
      <c r="E51" s="232"/>
      <c r="F51" s="264"/>
      <c r="G51" s="234" t="s">
        <v>1560</v>
      </c>
    </row>
    <row r="52" spans="1:7" s="208" customFormat="1" ht="16.8" thickBot="1">
      <c r="A52" s="265" t="s">
        <v>1561</v>
      </c>
      <c r="B52" s="266"/>
      <c r="C52" s="267">
        <f ca="1">C31+C51</f>
        <v>113</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北京市房地产市场价值预评估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114.9614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21277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21277</v>
      </c>
      <c r="D8" s="222"/>
      <c r="E8" s="220"/>
      <c r="F8" s="221"/>
      <c r="G8" s="1856"/>
    </row>
    <row r="9" spans="1:8" s="214" customFormat="1" ht="13.5" customHeight="1">
      <c r="A9" s="779" t="s">
        <v>355</v>
      </c>
      <c r="B9" s="224" t="s">
        <v>1478</v>
      </c>
      <c r="C9" s="225">
        <f ca="1">ROUND(D9*E9,0)</f>
        <v>21277</v>
      </c>
      <c r="D9" s="845">
        <f ca="1">IF(B1="",'数据-汇总表'!E5,IF(INDIRECT("'数据-取费表'!c"&amp;$G$1)="住宅",INDIRECT("'数据-取费表'!k"&amp;$G$1),0))</f>
        <v>132.97999999999999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26596</v>
      </c>
      <c r="D19" s="849">
        <f ca="1">D9+D10</f>
        <v>132.97999999999999</v>
      </c>
      <c r="E19" s="211">
        <f>'数据-取费表'!B31</f>
        <v>200</v>
      </c>
      <c r="F19" s="231"/>
      <c r="G19" s="1856"/>
    </row>
    <row r="20" spans="1:7" s="214" customFormat="1" ht="13.5" customHeight="1">
      <c r="A20" s="255" t="s">
        <v>1574</v>
      </c>
      <c r="B20" s="210" t="s">
        <v>1575</v>
      </c>
      <c r="C20" s="232">
        <f ca="1">ROUND((C5+C19)*F20,0)</f>
        <v>957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2945</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1620</v>
      </c>
      <c r="D24" s="238"/>
      <c r="E24" s="238"/>
      <c r="F24" s="239"/>
      <c r="G24" s="240" t="s">
        <v>1586</v>
      </c>
    </row>
    <row r="25" spans="1:7" s="214" customFormat="1" ht="24">
      <c r="A25" s="780" t="s">
        <v>1476</v>
      </c>
      <c r="B25" s="215" t="s">
        <v>1587</v>
      </c>
      <c r="C25" s="1128">
        <f ca="1">ROUND(IF('数据-取费表'!B22&lt;=1,C20*F22*'数据-取费表'!B22/2,C20*(POWER((1+F22),'数据-取费表'!B22/2)-1)),0)</f>
        <v>29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9766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9766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66740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837774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664900</v>
      </c>
      <c r="D34" s="217"/>
      <c r="E34" s="220"/>
      <c r="F34" s="257"/>
      <c r="G34" s="219"/>
    </row>
    <row r="35" spans="1:7" ht="13.5" customHeight="1">
      <c r="A35" s="780" t="s">
        <v>351</v>
      </c>
      <c r="B35" s="215" t="s">
        <v>1527</v>
      </c>
      <c r="C35" s="220">
        <f ca="1">ROUND(C34*F35,0)</f>
        <v>66490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66490</v>
      </c>
      <c r="D36" s="220"/>
      <c r="E36" s="220"/>
      <c r="F36" s="259">
        <f>'数据-取费表'!B34</f>
        <v>0.1</v>
      </c>
      <c r="G36" s="260" t="s">
        <v>1530</v>
      </c>
    </row>
    <row r="37" spans="1:7" s="258" customFormat="1" ht="13.5" customHeight="1">
      <c r="A37" s="780" t="s">
        <v>353</v>
      </c>
      <c r="B37" s="215" t="s">
        <v>1531</v>
      </c>
      <c r="C37" s="249">
        <f ca="1">ROUND(E37*D37,0)</f>
        <v>26596</v>
      </c>
      <c r="D37" s="217">
        <f ca="1">D19</f>
        <v>132.97999999999999</v>
      </c>
      <c r="E37" s="249">
        <f>'数据-取费表'!B35</f>
        <v>200</v>
      </c>
      <c r="F37" s="259"/>
      <c r="G37" s="261"/>
    </row>
    <row r="38" spans="1:7" ht="13.5" customHeight="1">
      <c r="A38" s="780" t="s">
        <v>354</v>
      </c>
      <c r="B38" s="215" t="s">
        <v>1533</v>
      </c>
      <c r="C38" s="220">
        <f ca="1">ROUND(C34*F38,0)</f>
        <v>13298</v>
      </c>
      <c r="D38" s="220"/>
      <c r="E38" s="220"/>
      <c r="F38" s="259">
        <f>'数据-取费表'!B36</f>
        <v>0.02</v>
      </c>
      <c r="G38" s="219" t="s">
        <v>1528</v>
      </c>
    </row>
    <row r="39" spans="1:7" s="214" customFormat="1" ht="13.5" customHeight="1">
      <c r="A39" s="255" t="s">
        <v>1534</v>
      </c>
      <c r="B39" s="210" t="s">
        <v>1535</v>
      </c>
      <c r="C39" s="232">
        <f ca="1">ROUND(C33*F20,0)</f>
        <v>16755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25636</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25133</v>
      </c>
      <c r="D42" s="238"/>
      <c r="E42" s="238"/>
      <c r="F42" s="239"/>
      <c r="G42" s="3666" t="s">
        <v>1591</v>
      </c>
    </row>
    <row r="43" spans="1:7" ht="13.5" customHeight="1">
      <c r="A43" s="780" t="s">
        <v>347</v>
      </c>
      <c r="B43" s="215" t="s">
        <v>1545</v>
      </c>
      <c r="C43" s="238">
        <f ca="1">ROUND(IF('数据-取费表'!B22&lt;=1,C39*F22*'数据-取费表'!B20/2,C39*(POWER((1+F22),'数据-取费表'!B20/2)-1)),0)</f>
        <v>503</v>
      </c>
      <c r="D43" s="238"/>
      <c r="E43" s="238"/>
      <c r="F43" s="239"/>
      <c r="G43" s="3667"/>
    </row>
    <row r="44" spans="1:7" ht="13.5" customHeight="1">
      <c r="A44" s="780"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170906</v>
      </c>
      <c r="D45" s="235">
        <f ca="1">C47</f>
        <v>4.0000000000000001E-3</v>
      </c>
      <c r="E45" s="236" t="s">
        <v>1539</v>
      </c>
      <c r="F45" s="246">
        <f ca="1">F27</f>
        <v>0.2</v>
      </c>
      <c r="G45" s="247" t="s">
        <v>1548</v>
      </c>
    </row>
    <row r="46" spans="1:7" s="214" customFormat="1" ht="13.5" customHeight="1">
      <c r="A46" s="780" t="s">
        <v>346</v>
      </c>
      <c r="B46" s="248" t="s">
        <v>1549</v>
      </c>
      <c r="C46" s="249">
        <f ca="1">ROUND((C33+C39)*F27,0)</f>
        <v>170906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1139867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1082874</v>
      </c>
      <c r="D51" s="232"/>
      <c r="E51" s="232"/>
      <c r="F51" s="264"/>
      <c r="G51" s="234" t="s">
        <v>1560</v>
      </c>
    </row>
    <row r="52" spans="1:7" s="208" customFormat="1" ht="16.8" thickBot="1">
      <c r="A52" s="265" t="s">
        <v>1561</v>
      </c>
      <c r="B52" s="266"/>
      <c r="C52" s="267">
        <f ca="1">C31+C51</f>
        <v>1149614</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-150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132.97999999999999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132.97999999999999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132.97999999999999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C31" sqref="C31:C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580.30970000000002</v>
      </c>
      <c r="C2" s="1387" t="s">
        <v>879</v>
      </c>
      <c r="D2" s="1471">
        <f ca="1">C40+J29+L46</f>
        <v>5803097</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208507</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208247</v>
      </c>
      <c r="D6" s="155" t="s">
        <v>2106</v>
      </c>
      <c r="E6" s="302" t="s">
        <v>696</v>
      </c>
      <c r="F6" s="303">
        <f ca="1">INDIRECT("'数据-取费表'!u"&amp;$G$1)</f>
        <v>145</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132.97999999999999</v>
      </c>
      <c r="G7" s="1384"/>
      <c r="H7" s="304"/>
      <c r="I7" s="3672"/>
      <c r="J7" s="306"/>
      <c r="K7" s="307"/>
      <c r="L7" s="302" t="s">
        <v>697</v>
      </c>
      <c r="M7" s="303">
        <f ca="1">F7</f>
        <v>132.97999999999999</v>
      </c>
    </row>
    <row r="8" spans="1:37" ht="18" customHeight="1">
      <c r="A8" s="304"/>
      <c r="B8" s="3672"/>
      <c r="C8" s="306"/>
      <c r="D8" s="307"/>
      <c r="E8" s="302" t="s">
        <v>698</v>
      </c>
      <c r="F8" s="303">
        <f ca="1">INDIRECT("'数据-取费表'!ai"&amp;$G$1)</f>
        <v>12</v>
      </c>
      <c r="G8" s="1384"/>
      <c r="H8" s="304"/>
      <c r="I8" s="3672"/>
      <c r="J8" s="306"/>
      <c r="K8" s="307"/>
      <c r="L8" s="302" t="s">
        <v>698</v>
      </c>
      <c r="M8" s="303">
        <f ca="1">INDIRECT("'数据-取费表'!ai"&amp;$G$1)</f>
        <v>12</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260</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1082874</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664900</v>
      </c>
      <c r="D14" s="1345" t="s">
        <v>708</v>
      </c>
      <c r="E14" s="1342"/>
      <c r="F14" s="319"/>
      <c r="G14" s="1384"/>
      <c r="H14" s="982" t="s">
        <v>398</v>
      </c>
      <c r="I14" s="302" t="s">
        <v>709</v>
      </c>
      <c r="J14" s="21">
        <f ca="1">C29</f>
        <v>1139867</v>
      </c>
      <c r="K14" s="12"/>
      <c r="L14" s="807"/>
      <c r="M14" s="808"/>
    </row>
    <row r="15" spans="1:37" s="1397" customFormat="1" ht="18" customHeight="1" thickBot="1">
      <c r="A15" s="982" t="s">
        <v>399</v>
      </c>
      <c r="B15" s="302" t="s">
        <v>710</v>
      </c>
      <c r="C15" s="21">
        <f ca="1">ROUND(C14*F15,0)</f>
        <v>66490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66490</v>
      </c>
      <c r="D16" s="302" t="s">
        <v>711</v>
      </c>
      <c r="E16" s="302" t="s">
        <v>712</v>
      </c>
      <c r="F16" s="322">
        <f ca="1">IF(INDIRECT("'数据-取费表'!c"&amp;$G$1)="住宅",'数据-取费表'!B34,0)</f>
        <v>0.1</v>
      </c>
      <c r="G16" s="1384"/>
      <c r="H16" s="1079" t="s">
        <v>393</v>
      </c>
      <c r="I16" s="1080" t="s">
        <v>714</v>
      </c>
      <c r="J16" s="310">
        <f ca="1">ROUND(J17+J22+J23+J24,0)</f>
        <v>2280</v>
      </c>
      <c r="K16" s="1087" t="s">
        <v>715</v>
      </c>
      <c r="L16" s="1088"/>
      <c r="M16" s="1072"/>
    </row>
    <row r="17" spans="1:37" s="1397" customFormat="1" ht="18" customHeight="1">
      <c r="A17" s="982" t="s">
        <v>681</v>
      </c>
      <c r="B17" s="302" t="s">
        <v>716</v>
      </c>
      <c r="C17" s="21">
        <f ca="1">ROUND(F17*(F43+INDIRECT("'数据-取费表'!S"&amp;$G$1)),0)</f>
        <v>26596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13298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837774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16755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2280</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25636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-2280</v>
      </c>
      <c r="K25" s="1095" t="s">
        <v>753</v>
      </c>
      <c r="L25" s="1096"/>
      <c r="M25" s="1097"/>
    </row>
    <row r="26" spans="1:37" ht="18" customHeight="1">
      <c r="A26" s="982" t="s">
        <v>397</v>
      </c>
      <c r="B26" s="302" t="s">
        <v>754</v>
      </c>
      <c r="C26" s="21">
        <f ca="1">ROUND((C19+C20)*F26,0)</f>
        <v>170906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1139867</v>
      </c>
      <c r="D29" s="1092"/>
      <c r="E29" s="1090"/>
      <c r="F29" s="1093"/>
      <c r="G29" s="1396"/>
      <c r="H29" s="334" t="s">
        <v>396</v>
      </c>
      <c r="I29" s="335" t="s">
        <v>768</v>
      </c>
      <c r="J29" s="336">
        <f ca="1">ROUND(J26/(1+F40)^F41,0)</f>
        <v>0</v>
      </c>
      <c r="K29" s="337" t="s">
        <v>769</v>
      </c>
      <c r="L29" s="338"/>
      <c r="M29" s="339">
        <f ca="1">INDIRECT("'数据-取费表'!k"&amp;$G$1)</f>
        <v>132.97999999999999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40355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34907</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11107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23800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2280</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1083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2085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168152</v>
      </c>
      <c r="D39" s="1095" t="s">
        <v>773</v>
      </c>
      <c r="E39" s="1096"/>
      <c r="F39" s="1097"/>
      <c r="G39" s="1384"/>
      <c r="H39" s="2700"/>
      <c r="I39" s="1398"/>
      <c r="J39" s="1399"/>
      <c r="K39" s="2704"/>
      <c r="L39" s="2700"/>
      <c r="M39" s="2700"/>
    </row>
    <row r="40" spans="1:18" ht="18" customHeight="1">
      <c r="A40" s="299" t="s">
        <v>395</v>
      </c>
      <c r="B40" s="300" t="s">
        <v>774</v>
      </c>
      <c r="C40" s="301">
        <f ca="1">ROUND(C39*(1-((1+F42)/(1+F40))^F41)/(F40-F42),0)</f>
        <v>5803097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132.97999999999999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-587.20910000000003</v>
      </c>
      <c r="D45" s="3432" t="s">
        <v>3353</v>
      </c>
      <c r="E45" s="1400"/>
      <c r="F45" s="1400"/>
      <c r="O45" s="1403" t="s">
        <v>808</v>
      </c>
      <c r="P45" s="1461"/>
      <c r="Q45" s="1461"/>
      <c r="R45" s="1461"/>
    </row>
    <row r="46" spans="1:18" s="1384" customFormat="1" ht="13.8" thickBot="1">
      <c r="A46" s="1404" t="s">
        <v>809</v>
      </c>
      <c r="C46" s="1405">
        <f ca="1">ROUND(C45,0)</f>
        <v>-587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5803097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1139867</v>
      </c>
      <c r="R49" s="1420" t="s">
        <v>818</v>
      </c>
    </row>
    <row r="50" spans="1:18" s="1384" customFormat="1" ht="13.8" thickBot="1">
      <c r="A50" s="976"/>
      <c r="B50" s="979"/>
      <c r="C50" s="980"/>
      <c r="D50" s="953"/>
      <c r="E50" s="1056" t="s">
        <v>697</v>
      </c>
      <c r="F50" s="1057">
        <f ca="1">F7</f>
        <v>132.97999999999999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69" t="s">
        <v>837</v>
      </c>
      <c r="L53" s="3670"/>
      <c r="O53" s="1418" t="s">
        <v>409</v>
      </c>
      <c r="P53" s="1419" t="s">
        <v>838</v>
      </c>
      <c r="Q53" s="1420">
        <f ca="1">Q47+Q48</f>
        <v>5803097</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1082874</v>
      </c>
      <c r="D56" s="1447"/>
      <c r="E56" s="1448"/>
      <c r="F56" s="1440"/>
      <c r="I56" s="1449" t="s">
        <v>842</v>
      </c>
      <c r="J56" s="1450"/>
      <c r="K56" s="1421" t="s">
        <v>843</v>
      </c>
      <c r="L56" s="1424">
        <f ca="1">IF(L48&lt;J51,"——",L48-J51)</f>
        <v>43.81</v>
      </c>
      <c r="O56" s="1418" t="s">
        <v>403</v>
      </c>
      <c r="P56" s="1419" t="s">
        <v>817</v>
      </c>
      <c r="Q56" s="1420">
        <f ca="1">C40+J29</f>
        <v>5803097</v>
      </c>
      <c r="R56" s="1420" t="s">
        <v>818</v>
      </c>
    </row>
    <row r="57" spans="1:18" s="1384" customFormat="1" ht="24.6" thickBot="1">
      <c r="A57" s="1451"/>
      <c r="B57" s="950" t="s">
        <v>767</v>
      </c>
      <c r="C57" s="238">
        <f ca="1">C29</f>
        <v>1139867</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3363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5803097</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2280</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1083</v>
      </c>
      <c r="D65" s="964" t="s">
        <v>743</v>
      </c>
      <c r="E65" s="950" t="s">
        <v>744</v>
      </c>
      <c r="F65" s="330">
        <f t="shared" ca="1" si="0"/>
        <v>1E-3</v>
      </c>
      <c r="I65" s="1462" t="s">
        <v>867</v>
      </c>
      <c r="J65" s="1463">
        <v>40</v>
      </c>
      <c r="K65" s="1463">
        <v>30</v>
      </c>
      <c r="L65" s="1463">
        <v>50</v>
      </c>
      <c r="M65" s="1465">
        <v>0.02</v>
      </c>
      <c r="O65" s="1418" t="s">
        <v>403</v>
      </c>
      <c r="P65" s="1419" t="s">
        <v>868</v>
      </c>
      <c r="Q65" s="1420">
        <f ca="1">C40+J29</f>
        <v>5803097</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-3363</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-68994</v>
      </c>
      <c r="D68" s="965" t="s">
        <v>758</v>
      </c>
      <c r="E68" s="950" t="s">
        <v>759</v>
      </c>
      <c r="F68" s="312">
        <f ca="1">F40</f>
        <v>0.04</v>
      </c>
      <c r="O68" s="1428" t="s">
        <v>406</v>
      </c>
      <c r="P68" s="1467" t="s">
        <v>871</v>
      </c>
      <c r="Q68" s="1420">
        <f ca="1">ROUND(Q69-Q70*Q71,0)</f>
        <v>168152</v>
      </c>
      <c r="R68" s="1420" t="s">
        <v>414</v>
      </c>
    </row>
    <row r="69" spans="1:18" s="1384" customFormat="1" ht="13.8" thickBot="1">
      <c r="A69" s="951"/>
      <c r="B69" s="952"/>
      <c r="C69" s="306"/>
      <c r="D69" s="970" t="s">
        <v>762</v>
      </c>
      <c r="E69" s="950" t="s">
        <v>763</v>
      </c>
      <c r="F69" s="333">
        <f ca="1">F41</f>
        <v>43.81</v>
      </c>
      <c r="O69" s="1428" t="s">
        <v>411</v>
      </c>
      <c r="P69" s="1467" t="s">
        <v>872</v>
      </c>
      <c r="Q69" s="1420">
        <f ca="1">C39</f>
        <v>168152</v>
      </c>
      <c r="R69" s="1420" t="s">
        <v>818</v>
      </c>
    </row>
    <row r="70" spans="1:18" s="1384" customFormat="1" ht="13.8" thickBot="1">
      <c r="A70" s="954"/>
      <c r="B70" s="955"/>
      <c r="C70" s="310"/>
      <c r="D70" s="966"/>
      <c r="E70" s="950" t="s">
        <v>766</v>
      </c>
      <c r="F70" s="1054"/>
      <c r="O70" s="1428" t="s">
        <v>412</v>
      </c>
      <c r="P70" s="1467" t="s">
        <v>873</v>
      </c>
      <c r="Q70" s="1420">
        <f ca="1">C13</f>
        <v>1082874</v>
      </c>
      <c r="R70" s="1420" t="s">
        <v>818</v>
      </c>
    </row>
    <row r="71" spans="1:18" s="1384" customFormat="1" ht="13.8" thickBot="1">
      <c r="A71" s="971" t="s">
        <v>396</v>
      </c>
      <c r="B71" s="972" t="s">
        <v>776</v>
      </c>
      <c r="C71" s="336">
        <f ca="1">ROUND(C68/F71,0)</f>
        <v>-519</v>
      </c>
      <c r="D71" s="973" t="s">
        <v>777</v>
      </c>
      <c r="E71" s="974" t="s">
        <v>778</v>
      </c>
      <c r="F71" s="339">
        <f ca="1">F43</f>
        <v>132.97999999999999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5803097</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0" t="s">
        <v>2317</v>
      </c>
      <c r="K2" s="3681"/>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2" t="s">
        <v>2327</v>
      </c>
      <c r="K3" s="3683"/>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2" t="s">
        <v>2329</v>
      </c>
      <c r="K4" s="3683"/>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8" t="s">
        <v>2333</v>
      </c>
      <c r="B6" s="3689"/>
      <c r="C6" s="3690"/>
      <c r="D6" s="2870"/>
      <c r="E6" s="2871"/>
      <c r="F6" s="2872"/>
      <c r="G6" s="2873"/>
      <c r="H6" s="2848"/>
      <c r="I6" s="2849"/>
      <c r="J6" s="3674">
        <v>1</v>
      </c>
      <c r="K6" s="367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4"/>
      <c r="K7" s="3676"/>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1" t="s">
        <v>2347</v>
      </c>
      <c r="C8" s="3692"/>
      <c r="D8" s="2889" t="s">
        <v>2348</v>
      </c>
      <c r="E8" s="2890" t="s">
        <v>2349</v>
      </c>
      <c r="F8" s="2891" t="s">
        <v>2350</v>
      </c>
      <c r="G8" s="2892"/>
      <c r="H8" s="2848"/>
      <c r="I8" s="2849"/>
      <c r="J8" s="3674"/>
      <c r="K8" s="3676"/>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1" t="s">
        <v>2353</v>
      </c>
      <c r="C9" s="3692"/>
      <c r="D9" s="2889">
        <f>ROUND(D6*E9,0)</f>
        <v>0</v>
      </c>
      <c r="E9" s="2893"/>
      <c r="F9" s="2894" t="s">
        <v>2354</v>
      </c>
      <c r="G9" s="2873"/>
      <c r="H9" s="2848"/>
      <c r="I9" s="2849"/>
      <c r="J9" s="3674"/>
      <c r="K9" s="3676"/>
      <c r="L9" s="2883" t="s">
        <v>2355</v>
      </c>
      <c r="M9" s="2884"/>
      <c r="N9" s="2860"/>
      <c r="O9" s="2885"/>
      <c r="P9" s="2885"/>
      <c r="Q9" s="2886">
        <v>365</v>
      </c>
      <c r="R9" s="2887">
        <f t="shared" si="0"/>
        <v>0</v>
      </c>
      <c r="S9" s="2841"/>
      <c r="T9" s="2841"/>
      <c r="U9" s="2841"/>
      <c r="V9" s="2849"/>
    </row>
    <row r="10" spans="1:22" s="2853" customFormat="1" ht="13.2" customHeight="1">
      <c r="A10" s="2888">
        <v>2</v>
      </c>
      <c r="B10" s="3691" t="s">
        <v>2356</v>
      </c>
      <c r="C10" s="3692"/>
      <c r="D10" s="2889">
        <f>ROUND(D6*E10,0)</f>
        <v>0</v>
      </c>
      <c r="E10" s="2893"/>
      <c r="F10" s="2894" t="s">
        <v>2357</v>
      </c>
      <c r="G10" s="2873"/>
      <c r="H10" s="2848"/>
      <c r="I10" s="2849"/>
      <c r="J10" s="3674"/>
      <c r="K10" s="3676"/>
      <c r="L10" s="2883" t="s">
        <v>2358</v>
      </c>
      <c r="M10" s="2884"/>
      <c r="N10" s="2860"/>
      <c r="O10" s="2885"/>
      <c r="P10" s="2885"/>
      <c r="Q10" s="2886">
        <v>365</v>
      </c>
      <c r="R10" s="2887">
        <f t="shared" si="0"/>
        <v>0</v>
      </c>
      <c r="S10" s="2841"/>
      <c r="T10" s="2841"/>
      <c r="U10" s="2841"/>
      <c r="V10" s="2849"/>
    </row>
    <row r="11" spans="1:22" s="2853" customFormat="1" ht="13.2" customHeight="1">
      <c r="A11" s="2888">
        <v>3</v>
      </c>
      <c r="B11" s="3691" t="s">
        <v>2359</v>
      </c>
      <c r="C11" s="3692"/>
      <c r="D11" s="2889">
        <f>D12+D14+D15+D16</f>
        <v>0</v>
      </c>
      <c r="E11" s="2895" t="e">
        <f>D11/D6</f>
        <v>#DIV/0!</v>
      </c>
      <c r="F11" s="2891"/>
      <c r="G11" s="2892"/>
      <c r="H11" s="2848"/>
      <c r="I11" s="2849"/>
      <c r="J11" s="3674"/>
      <c r="K11" s="3676"/>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4" t="s">
        <v>2362</v>
      </c>
      <c r="C12" s="3685"/>
      <c r="D12" s="2897">
        <f>ROUND(D13*1.2%*(1-30%),0)</f>
        <v>0</v>
      </c>
      <c r="E12" s="2898">
        <v>1.2E-2</v>
      </c>
      <c r="F12" s="2891" t="s">
        <v>2363</v>
      </c>
      <c r="G12" s="2892"/>
      <c r="H12" s="2848"/>
      <c r="I12" s="2849"/>
      <c r="J12" s="3674"/>
      <c r="K12" s="3676"/>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4"/>
      <c r="K13" s="3676"/>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4" t="s">
        <v>2368</v>
      </c>
      <c r="C14" s="3685"/>
      <c r="D14" s="2897">
        <f>ROUND(E14*B5/10000,0)</f>
        <v>0</v>
      </c>
      <c r="E14" s="2886"/>
      <c r="F14" s="2891" t="s">
        <v>2369</v>
      </c>
      <c r="G14" s="2892"/>
      <c r="H14" s="2848"/>
      <c r="I14" s="2849"/>
      <c r="J14" s="3674"/>
      <c r="K14" s="367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4" t="s">
        <v>2372</v>
      </c>
      <c r="C15" s="3685"/>
      <c r="D15" s="2897">
        <f>ROUND(D6*E15,0)</f>
        <v>0</v>
      </c>
      <c r="E15" s="2898">
        <v>5.5E-2</v>
      </c>
      <c r="F15" s="2891" t="s">
        <v>2373</v>
      </c>
      <c r="G15" s="2873"/>
      <c r="H15" s="2848"/>
      <c r="I15" s="2849"/>
      <c r="J15" s="3674">
        <v>2</v>
      </c>
      <c r="K15" s="367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4" t="s">
        <v>2381</v>
      </c>
      <c r="C16" s="3685"/>
      <c r="D16" s="2908">
        <f>D6*E16</f>
        <v>0</v>
      </c>
      <c r="E16" s="2909"/>
      <c r="F16" s="2894" t="s">
        <v>2382</v>
      </c>
      <c r="G16" s="2873"/>
      <c r="H16" s="2848"/>
      <c r="I16" s="2849"/>
      <c r="J16" s="3674"/>
      <c r="K16" s="3676"/>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6" t="s">
        <v>2384</v>
      </c>
      <c r="C17" s="3687"/>
      <c r="D17" s="2911">
        <f>ROUND(D6*E17,0)</f>
        <v>0</v>
      </c>
      <c r="E17" s="2912"/>
      <c r="F17" s="2913" t="s">
        <v>2385</v>
      </c>
      <c r="G17" s="2873"/>
      <c r="H17" s="2848"/>
      <c r="I17" s="2849"/>
      <c r="J17" s="3674"/>
      <c r="K17" s="3676"/>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4"/>
      <c r="K18" s="3676"/>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4"/>
      <c r="K19" s="367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4">
        <v>3</v>
      </c>
      <c r="K20" s="367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4"/>
      <c r="K21" s="3676"/>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4"/>
      <c r="K22" s="3676"/>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4"/>
      <c r="K23" s="3676"/>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4"/>
      <c r="K24" s="367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0" t="s">
        <v>2317</v>
      </c>
      <c r="K32" s="3681"/>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2" t="s">
        <v>2327</v>
      </c>
      <c r="K33" s="3683"/>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2" t="s">
        <v>2329</v>
      </c>
      <c r="K34" s="368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4">
        <v>1</v>
      </c>
      <c r="K36" s="3675"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4"/>
      <c r="K40" s="3677"/>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580.30970000000002</v>
      </c>
      <c r="C2" s="1872" t="s">
        <v>1651</v>
      </c>
      <c r="D2" s="1873" t="s">
        <v>1652</v>
      </c>
      <c r="E2" s="2607">
        <f>SUM(E6:E13)</f>
        <v>132.97999999999999</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580.30970000000002</v>
      </c>
      <c r="C6" s="1872" t="s">
        <v>1651</v>
      </c>
      <c r="D6" s="2709"/>
      <c r="E6" s="2606">
        <f>IF(OR(A6=0,F6="否"),0,'数据-取费表'!K6+'数据-取费表'!S6)</f>
        <v>132.97999999999999</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J98" sqref="J9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990.74090000000001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74503</v>
      </c>
      <c r="C3" s="354" t="s">
        <v>1665</v>
      </c>
      <c r="D3" s="353">
        <f>IF(D1="",'数据-汇总表'!E3,SUMIF('数据-汇总表'!$C19:$C33,D1,'数据-汇总表'!$E19:$E33))</f>
        <v>132.97999999999999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c r="A5" s="358"/>
      <c r="B5" s="359"/>
      <c r="C5" s="3732" t="s">
        <v>1673</v>
      </c>
      <c r="D5" s="3733"/>
      <c r="E5" s="3739" t="s">
        <v>3483</v>
      </c>
      <c r="F5" s="3740"/>
      <c r="G5" s="3732" t="s">
        <v>1675</v>
      </c>
      <c r="H5" s="3733"/>
      <c r="I5" s="3732" t="s">
        <v>1676</v>
      </c>
      <c r="J5" s="3733"/>
      <c r="K5" s="1890"/>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t="s">
        <v>1677</v>
      </c>
      <c r="D6" s="3731"/>
      <c r="E6" s="3737" t="s">
        <v>3482</v>
      </c>
      <c r="F6" s="3738"/>
      <c r="G6" s="3730" t="s">
        <v>1677</v>
      </c>
      <c r="H6" s="3731"/>
      <c r="I6" s="3730" t="s">
        <v>1677</v>
      </c>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734" t="s">
        <v>1680</v>
      </c>
      <c r="Q7" s="3736"/>
      <c r="R7" s="701" t="s">
        <v>20</v>
      </c>
      <c r="S7" s="702">
        <f t="shared" ref="S7:S15" si="0">F7</f>
        <v>100.2</v>
      </c>
      <c r="T7" s="701" t="s">
        <v>20</v>
      </c>
      <c r="U7" s="702">
        <f t="shared" ref="U7:U15" si="1">H7</f>
        <v>100.2</v>
      </c>
      <c r="V7" s="701" t="s">
        <v>20</v>
      </c>
      <c r="W7" s="702">
        <f t="shared" ref="W7:W15" si="2">J7</f>
        <v>100</v>
      </c>
      <c r="X7" s="703"/>
      <c r="Y7" s="3734" t="s">
        <v>1680</v>
      </c>
      <c r="Z7" s="3735"/>
      <c r="AA7" s="704">
        <f>D7/F7</f>
        <v>0.99800399201596801</v>
      </c>
      <c r="AB7" s="704">
        <f>D7/H7</f>
        <v>0.99800399201596801</v>
      </c>
      <c r="AC7" s="704">
        <f>D7/J7</f>
        <v>1</v>
      </c>
    </row>
    <row r="8" spans="1:29" s="108" customFormat="1" ht="15" thickBot="1">
      <c r="A8" s="362" t="s">
        <v>1681</v>
      </c>
      <c r="B8" s="363"/>
      <c r="C8" s="368" t="s">
        <v>3514</v>
      </c>
      <c r="D8" s="365">
        <v>100</v>
      </c>
      <c r="E8" s="1892" t="s">
        <v>3514</v>
      </c>
      <c r="F8" s="367">
        <f>SUMIF(61:61,E8,62:62)-SUMIF(61:61,C8,62:62)+100</f>
        <v>100</v>
      </c>
      <c r="G8" s="368" t="s">
        <v>3514</v>
      </c>
      <c r="H8" s="365">
        <f>SUMIF(61:61,G8,62:62)-SUMIF(61:61,C8,62:62)+100</f>
        <v>100</v>
      </c>
      <c r="I8" s="1892" t="s">
        <v>3514</v>
      </c>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ht="14.4">
      <c r="A9" s="369" t="s">
        <v>1684</v>
      </c>
      <c r="B9" s="63" t="s">
        <v>1685</v>
      </c>
      <c r="C9" s="3482" t="s">
        <v>3511</v>
      </c>
      <c r="D9" s="126">
        <v>100</v>
      </c>
      <c r="E9" s="371" t="s">
        <v>3510</v>
      </c>
      <c r="F9" s="372">
        <f>SUMIF(63:63,E9,64:64)-SUMIF(63:63,C9,64:64)+100</f>
        <v>100</v>
      </c>
      <c r="G9" s="373" t="s">
        <v>3406</v>
      </c>
      <c r="H9" s="126">
        <f>SUMIF(63:63,G9,64:64)-SUMIF(63:63,C9,64:64)+100</f>
        <v>98</v>
      </c>
      <c r="I9" s="373" t="s">
        <v>3406</v>
      </c>
      <c r="J9" s="126">
        <f>SUMIF(63:63,I9,64:64)-SUMIF(63:63,C9,64:64)+100</f>
        <v>98</v>
      </c>
      <c r="K9" s="1891"/>
      <c r="L9" s="2717"/>
      <c r="M9" s="2718"/>
      <c r="N9" s="2718"/>
      <c r="O9" s="2718"/>
      <c r="P9" s="3709" t="s">
        <v>1686</v>
      </c>
      <c r="Q9" s="1343" t="str">
        <f t="shared" ref="Q9:Q15" si="6">B9</f>
        <v>用途</v>
      </c>
      <c r="R9" s="701" t="s">
        <v>14</v>
      </c>
      <c r="S9" s="702">
        <f t="shared" si="0"/>
        <v>100</v>
      </c>
      <c r="T9" s="701" t="s">
        <v>14</v>
      </c>
      <c r="U9" s="702">
        <f t="shared" si="1"/>
        <v>98</v>
      </c>
      <c r="V9" s="701" t="s">
        <v>14</v>
      </c>
      <c r="W9" s="702">
        <f t="shared" si="2"/>
        <v>98</v>
      </c>
      <c r="X9" s="703"/>
      <c r="Y9" s="3573" t="s">
        <v>1687</v>
      </c>
      <c r="Z9" s="52" t="str">
        <f t="shared" ref="Z9:Z15" si="7">Q9</f>
        <v>用途</v>
      </c>
      <c r="AA9" s="704">
        <f t="shared" si="3"/>
        <v>1</v>
      </c>
      <c r="AB9" s="704">
        <f t="shared" si="4"/>
        <v>1.0204081632653061</v>
      </c>
      <c r="AC9" s="704">
        <f t="shared" si="5"/>
        <v>1.0204081632653061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9"/>
      <c r="Q11" s="1343" t="str">
        <f t="shared" si="6"/>
        <v>容积率</v>
      </c>
      <c r="R11" s="701" t="s">
        <v>18</v>
      </c>
      <c r="S11" s="702">
        <f t="shared" si="0"/>
        <v>100</v>
      </c>
      <c r="T11" s="701" t="s">
        <v>18</v>
      </c>
      <c r="U11" s="702">
        <f t="shared" si="1"/>
        <v>100</v>
      </c>
      <c r="V11" s="701" t="s">
        <v>18</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08"/>
      <c r="Q17" s="1352" t="str">
        <f>B17</f>
        <v>交通便捷度</v>
      </c>
      <c r="R17" s="705" t="s">
        <v>18</v>
      </c>
      <c r="S17" s="706">
        <f>F17</f>
        <v>100</v>
      </c>
      <c r="T17" s="705" t="s">
        <v>18</v>
      </c>
      <c r="U17" s="706">
        <f>H17</f>
        <v>95</v>
      </c>
      <c r="V17" s="705" t="s">
        <v>18</v>
      </c>
      <c r="W17" s="706">
        <f>J17</f>
        <v>95</v>
      </c>
      <c r="X17" s="1355"/>
      <c r="Y17" s="3701"/>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3509</v>
      </c>
      <c r="H18" s="399"/>
      <c r="I18" s="1903" t="s">
        <v>3509</v>
      </c>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t="s">
        <v>3525</v>
      </c>
      <c r="D26" s="386">
        <v>100</v>
      </c>
      <c r="E26" s="1906" t="s">
        <v>3488</v>
      </c>
      <c r="F26" s="386">
        <f>SUMIF(88:88,E26,89:89)-SUMIF(88:88,C26,89:89)+100</f>
        <v>107.5</v>
      </c>
      <c r="G26" s="1907" t="s">
        <v>3485</v>
      </c>
      <c r="H26" s="386">
        <f>SUMIF(88:88,G26,89:89)-SUMIF(88:88,C26,89:89)+100</f>
        <v>110.5</v>
      </c>
      <c r="I26" s="1907" t="s">
        <v>3490</v>
      </c>
      <c r="J26" s="386">
        <f>SUMIF(88:88,I26,89:89)-SUMIF(88:88,C26,89:89)+100</f>
        <v>103</v>
      </c>
      <c r="K26" s="377">
        <v>1.5</v>
      </c>
      <c r="L26" s="2722"/>
      <c r="M26" s="2716"/>
      <c r="N26" s="2716"/>
      <c r="O26" s="2716"/>
      <c r="P26" s="3708"/>
      <c r="Q26" s="1352" t="str">
        <f t="shared" si="11"/>
        <v>朝向</v>
      </c>
      <c r="R26" s="705" t="s">
        <v>18</v>
      </c>
      <c r="S26" s="706">
        <f t="shared" si="12"/>
        <v>107.5</v>
      </c>
      <c r="T26" s="705" t="s">
        <v>18</v>
      </c>
      <c r="U26" s="706">
        <f t="shared" si="13"/>
        <v>110.5</v>
      </c>
      <c r="V26" s="705" t="s">
        <v>18</v>
      </c>
      <c r="W26" s="706">
        <f t="shared" si="14"/>
        <v>103</v>
      </c>
      <c r="X26" s="1355"/>
      <c r="Y26" s="3701"/>
      <c r="Z26" s="1356" t="str">
        <f>Q26</f>
        <v>朝向</v>
      </c>
      <c r="AA26" s="1353">
        <f t="shared" si="15"/>
        <v>0.93023255813953487</v>
      </c>
      <c r="AB26" s="1353">
        <f t="shared" si="16"/>
        <v>0.90497737556561086</v>
      </c>
      <c r="AC26" s="1353">
        <f t="shared" si="17"/>
        <v>0.970873786407767</v>
      </c>
    </row>
    <row r="27" spans="1:29" s="108" customFormat="1" ht="15.6" thickBot="1">
      <c r="A27" s="382"/>
      <c r="B27" s="3480" t="s">
        <v>3491</v>
      </c>
      <c r="C27" s="416" t="s">
        <v>3508</v>
      </c>
      <c r="D27" s="413">
        <v>100</v>
      </c>
      <c r="E27" s="416" t="s">
        <v>3516</v>
      </c>
      <c r="F27" s="413">
        <f>SUMIF(90:90,E27,91:91)-SUMIF(90:90,C27,91:91)+100</f>
        <v>101.5</v>
      </c>
      <c r="G27" s="414" t="s">
        <v>3515</v>
      </c>
      <c r="H27" s="413">
        <f>SUMIF(90:90,G27,91:91)-SUMIF(90:90,C27,91:91)+100</f>
        <v>100</v>
      </c>
      <c r="I27" s="414" t="s">
        <v>3517</v>
      </c>
      <c r="J27" s="413">
        <f>SUMIF(90:90,I27,91:91)-SUMIF(90:90,C27,91:91)+100</f>
        <v>103</v>
      </c>
      <c r="K27" s="1894"/>
      <c r="L27" s="2717"/>
      <c r="M27" s="2718"/>
      <c r="N27" s="2718"/>
      <c r="O27" s="2718"/>
      <c r="P27" s="3708"/>
      <c r="Q27" s="1343" t="str">
        <f t="shared" si="11"/>
        <v>楼层</v>
      </c>
      <c r="R27" s="701" t="s">
        <v>18</v>
      </c>
      <c r="S27" s="702">
        <f t="shared" si="12"/>
        <v>101.5</v>
      </c>
      <c r="T27" s="701" t="s">
        <v>18</v>
      </c>
      <c r="U27" s="702">
        <f t="shared" si="13"/>
        <v>100</v>
      </c>
      <c r="V27" s="701" t="s">
        <v>18</v>
      </c>
      <c r="W27" s="702">
        <f t="shared" si="14"/>
        <v>103</v>
      </c>
      <c r="X27" s="703"/>
      <c r="Y27" s="3701"/>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t="s">
        <v>3496</v>
      </c>
      <c r="D32" s="418">
        <v>100</v>
      </c>
      <c r="E32" s="1911" t="s">
        <v>3496</v>
      </c>
      <c r="F32" s="412">
        <f>SUMIF(100:100,E32,101:101)-SUMIF(100:100,C32,101:101)+100</f>
        <v>100</v>
      </c>
      <c r="G32" s="1910" t="s">
        <v>3494</v>
      </c>
      <c r="H32" s="418">
        <f>SUMIF(100:100,G32,101:101)-SUMIF(100:100,C32,101:101)+100</f>
        <v>103</v>
      </c>
      <c r="I32" s="1911" t="s">
        <v>3492</v>
      </c>
      <c r="J32" s="386">
        <f>SUMIF(100:100,I32,101:101)-SUMIF(100:100,C32,101:101)+100</f>
        <v>106</v>
      </c>
      <c r="K32" s="377">
        <v>3</v>
      </c>
      <c r="L32" s="2722"/>
      <c r="M32" s="2716"/>
      <c r="N32" s="2716"/>
      <c r="O32" s="2716"/>
      <c r="P32" s="3702" t="s">
        <v>1696</v>
      </c>
      <c r="Q32" s="1352" t="str">
        <f t="shared" si="11"/>
        <v>建筑类型</v>
      </c>
      <c r="R32" s="705" t="s">
        <v>18</v>
      </c>
      <c r="S32" s="706">
        <f t="shared" si="12"/>
        <v>100</v>
      </c>
      <c r="T32" s="705" t="s">
        <v>18</v>
      </c>
      <c r="U32" s="706">
        <f t="shared" si="13"/>
        <v>103</v>
      </c>
      <c r="V32" s="705" t="s">
        <v>18</v>
      </c>
      <c r="W32" s="706">
        <f t="shared" si="14"/>
        <v>106</v>
      </c>
      <c r="X32" s="1355"/>
      <c r="Y32" s="3705" t="s">
        <v>1696</v>
      </c>
      <c r="Z32" s="1356" t="str">
        <f t="shared" si="18"/>
        <v>建筑类型</v>
      </c>
      <c r="AA32" s="1353">
        <f t="shared" si="15"/>
        <v>1</v>
      </c>
      <c r="AB32" s="1353">
        <f t="shared" si="16"/>
        <v>0.970873786407767</v>
      </c>
      <c r="AC32" s="1353">
        <f t="shared" si="17"/>
        <v>0.94339622641509435</v>
      </c>
    </row>
    <row r="33" spans="1:29" s="422" customFormat="1" ht="15">
      <c r="A33" s="419"/>
      <c r="B33" s="375" t="s">
        <v>1697</v>
      </c>
      <c r="C33" s="420">
        <f>'数据-汇总表'!F19</f>
        <v>132.97999999999999</v>
      </c>
      <c r="D33" s="127">
        <v>100</v>
      </c>
      <c r="E33" s="381">
        <v>217.4</v>
      </c>
      <c r="F33" s="376">
        <f>LOOKUP(E33,103:103,104:104)-LOOKUP(C33,103:103,104:104)+100</f>
        <v>94</v>
      </c>
      <c r="G33" s="380">
        <v>178.14</v>
      </c>
      <c r="H33" s="127">
        <f>LOOKUP(G33,103:103,104:104)-LOOKUP(C33,103:103,104:104)+100</f>
        <v>100</v>
      </c>
      <c r="I33" s="381">
        <v>131.71</v>
      </c>
      <c r="J33" s="127">
        <f>LOOKUP(I33,103:103,104:104)-LOOKUP(C33,103:103,104:104)+100</f>
        <v>100</v>
      </c>
      <c r="K33" s="1894"/>
      <c r="L33" s="2721"/>
      <c r="M33" s="2723"/>
      <c r="N33" s="2723"/>
      <c r="O33" s="2723"/>
      <c r="P33" s="3703"/>
      <c r="Q33" s="707" t="str">
        <f t="shared" si="11"/>
        <v>项目建筑规模</v>
      </c>
      <c r="R33" s="708" t="s">
        <v>18</v>
      </c>
      <c r="S33" s="709">
        <f t="shared" si="12"/>
        <v>94</v>
      </c>
      <c r="T33" s="708" t="s">
        <v>18</v>
      </c>
      <c r="U33" s="709">
        <f t="shared" si="13"/>
        <v>100</v>
      </c>
      <c r="V33" s="708" t="s">
        <v>18</v>
      </c>
      <c r="W33" s="709">
        <f t="shared" si="14"/>
        <v>100</v>
      </c>
      <c r="X33" s="710"/>
      <c r="Y33" s="3705"/>
      <c r="Z33" s="711" t="str">
        <f t="shared" si="18"/>
        <v>项目建筑规模</v>
      </c>
      <c r="AA33" s="1353">
        <f t="shared" si="15"/>
        <v>1.0638297872340425</v>
      </c>
      <c r="AB33" s="1353">
        <f t="shared" si="16"/>
        <v>1</v>
      </c>
      <c r="AC33" s="1353">
        <f t="shared" si="17"/>
        <v>1</v>
      </c>
    </row>
    <row r="34" spans="1:29" ht="15">
      <c r="A34" s="423"/>
      <c r="B34" s="375" t="s">
        <v>1698</v>
      </c>
      <c r="C34" s="1912" t="s">
        <v>3498</v>
      </c>
      <c r="D34" s="386">
        <v>100</v>
      </c>
      <c r="E34" s="1913" t="s">
        <v>3498</v>
      </c>
      <c r="F34" s="412">
        <f>SUMIF(105:105,E34,106:106)-SUMIF(105:105,C34,106:106)+100</f>
        <v>100</v>
      </c>
      <c r="G34" s="1912" t="s">
        <v>3498</v>
      </c>
      <c r="H34" s="386">
        <f>SUMIF(105:105,G34,106:106)-SUMIF(105:105,C34,106:106)+100</f>
        <v>100</v>
      </c>
      <c r="I34" s="1913" t="s">
        <v>3498</v>
      </c>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t="s">
        <v>3500</v>
      </c>
      <c r="D36" s="386">
        <v>100</v>
      </c>
      <c r="E36" s="1907" t="s">
        <v>3500</v>
      </c>
      <c r="F36" s="412">
        <f>SUMIF(109:109,E36,110:110)-SUMIF(109:109,C36,110:110)+100</f>
        <v>100</v>
      </c>
      <c r="G36" s="1906" t="s">
        <v>3500</v>
      </c>
      <c r="H36" s="386">
        <f>SUMIF(109:109,G36,110:110)-SUMIF(109:109,C36,110:110)+100</f>
        <v>100</v>
      </c>
      <c r="I36" s="1907" t="s">
        <v>3500</v>
      </c>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03"/>
      <c r="Q37" s="1343" t="str">
        <f t="shared" si="11"/>
        <v>成新度</v>
      </c>
      <c r="R37" s="701" t="s">
        <v>18</v>
      </c>
      <c r="S37" s="702">
        <f t="shared" si="12"/>
        <v>100</v>
      </c>
      <c r="T37" s="701" t="s">
        <v>18</v>
      </c>
      <c r="U37" s="702">
        <f t="shared" si="13"/>
        <v>100</v>
      </c>
      <c r="V37" s="701" t="s">
        <v>18</v>
      </c>
      <c r="W37" s="702">
        <f t="shared" si="14"/>
        <v>100</v>
      </c>
      <c r="X37" s="703"/>
      <c r="Y37" s="3705"/>
      <c r="Z37" s="52" t="str">
        <f t="shared" si="18"/>
        <v>成新度</v>
      </c>
      <c r="AA37" s="704">
        <f t="shared" si="15"/>
        <v>1</v>
      </c>
      <c r="AB37" s="704">
        <f t="shared" si="16"/>
        <v>1</v>
      </c>
      <c r="AC37" s="704">
        <f t="shared" si="17"/>
        <v>1</v>
      </c>
    </row>
    <row r="38" spans="1:29" ht="15">
      <c r="A38" s="423"/>
      <c r="B38" s="375" t="s">
        <v>1702</v>
      </c>
      <c r="C38" s="1906" t="s">
        <v>3502</v>
      </c>
      <c r="D38" s="386">
        <v>100</v>
      </c>
      <c r="E38" s="1907" t="s">
        <v>3502</v>
      </c>
      <c r="F38" s="412">
        <f>SUMIF(114:114,E38,115:115)-SUMIF(114:114,C38,115:115)+100</f>
        <v>100</v>
      </c>
      <c r="G38" s="1906" t="s">
        <v>3502</v>
      </c>
      <c r="H38" s="386">
        <f>SUMIF(114:114,G38,115:115)-SUMIF(114:114,C38,115:115)+100</f>
        <v>100</v>
      </c>
      <c r="I38" s="1907" t="s">
        <v>3502</v>
      </c>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t="s">
        <v>3504</v>
      </c>
      <c r="D39" s="386">
        <v>100</v>
      </c>
      <c r="E39" s="1907" t="s">
        <v>3504</v>
      </c>
      <c r="F39" s="412">
        <f>SUMIF(116:116,E39,117:117)-SUMIF(116:116,C39,117:117)+100</f>
        <v>100</v>
      </c>
      <c r="G39" s="1906" t="s">
        <v>3504</v>
      </c>
      <c r="H39" s="386">
        <f>SUMIF(116:116,G39,117:117)-SUMIF(116:116,C39,117:117)+100</f>
        <v>100</v>
      </c>
      <c r="I39" s="1907" t="s">
        <v>3504</v>
      </c>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t="s">
        <v>3500</v>
      </c>
      <c r="D42" s="386">
        <v>100</v>
      </c>
      <c r="E42" s="1907" t="s">
        <v>3500</v>
      </c>
      <c r="F42" s="412">
        <f>SUMIF(122:122,E42,123:123)-SUMIF(122:122,C42,123:123)+100</f>
        <v>100</v>
      </c>
      <c r="G42" s="1906" t="s">
        <v>3500</v>
      </c>
      <c r="H42" s="386">
        <f>SUMIF(122:122,G42,123:123)-SUMIF(122:122,C42,123:123)+100</f>
        <v>100</v>
      </c>
      <c r="I42" s="1907" t="s">
        <v>3500</v>
      </c>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28.8" hidden="1">
      <c r="A43" s="423"/>
      <c r="B43" s="375" t="s">
        <v>1707</v>
      </c>
      <c r="C43" s="1906" t="s">
        <v>3513</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6" thickBot="1">
      <c r="A44" s="424"/>
      <c r="B44" s="3480" t="s">
        <v>3507</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03"/>
      <c r="Q44" s="1343" t="str">
        <f t="shared" si="11"/>
        <v>建成年代</v>
      </c>
      <c r="R44" s="701" t="s">
        <v>18</v>
      </c>
      <c r="S44" s="702">
        <f t="shared" si="12"/>
        <v>100</v>
      </c>
      <c r="T44" s="701" t="s">
        <v>18</v>
      </c>
      <c r="U44" s="702">
        <f t="shared" si="13"/>
        <v>94</v>
      </c>
      <c r="V44" s="701" t="s">
        <v>18</v>
      </c>
      <c r="W44" s="702">
        <f t="shared" si="14"/>
        <v>93.5</v>
      </c>
      <c r="X44" s="703"/>
      <c r="Y44" s="3705"/>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698" t="str">
        <f>A47</f>
        <v>成交单价（元/平方米）</v>
      </c>
      <c r="Q47" s="3698"/>
      <c r="R47" s="3699">
        <f>E47</f>
        <v>72447</v>
      </c>
      <c r="S47" s="3699"/>
      <c r="T47" s="3699">
        <f>G47</f>
        <v>69889</v>
      </c>
      <c r="U47" s="3699"/>
      <c r="V47" s="3699">
        <f>I47</f>
        <v>81239</v>
      </c>
      <c r="W47" s="3699"/>
      <c r="X47" s="690"/>
      <c r="Y47" s="712"/>
      <c r="Z47" s="690"/>
      <c r="AA47" s="690"/>
      <c r="AB47" s="690"/>
      <c r="AC47" s="690"/>
    </row>
    <row r="48" spans="1:29" ht="15" thickBot="1">
      <c r="A48" s="437" t="s">
        <v>1709</v>
      </c>
      <c r="B48" s="438"/>
      <c r="C48" s="1160">
        <f>R49</f>
        <v>74503</v>
      </c>
      <c r="D48" s="2317" t="s">
        <v>2138</v>
      </c>
      <c r="E48" s="1161">
        <f>R48</f>
        <v>70494</v>
      </c>
      <c r="F48" s="2318"/>
      <c r="G48" s="1160">
        <f>T48</f>
        <v>70027</v>
      </c>
      <c r="H48" s="2318"/>
      <c r="I48" s="1161">
        <f>V48</f>
        <v>82989</v>
      </c>
      <c r="J48" s="2318"/>
      <c r="K48" s="2319">
        <f>F48+H48+J48</f>
        <v>0</v>
      </c>
      <c r="L48" s="2724"/>
      <c r="M48" s="2725"/>
      <c r="N48" s="2725"/>
      <c r="O48" s="2725"/>
      <c r="P48" s="3698" t="str">
        <f>A48</f>
        <v>比较价值（元/平方米）</v>
      </c>
      <c r="Q48" s="3698"/>
      <c r="R48" s="3699">
        <f>IF(F1="售价",ROUND(PRODUCT(R47,AA7:AA46),0),ROUND(PRODUCT(R47,AA7:AA46),1))</f>
        <v>70494</v>
      </c>
      <c r="S48" s="3699"/>
      <c r="T48" s="3699">
        <f>IF(F1="售价",ROUND(PRODUCT(T47,AB7:AB46),0),ROUND(PRODUCT(T47,AB7:AB46),1))</f>
        <v>70027</v>
      </c>
      <c r="U48" s="3699"/>
      <c r="V48" s="3699">
        <f>IF(F1="售价",ROUND(PRODUCT(V47,AC7:AC46),0),ROUND(PRODUCT(V47,AC7:AC46),1))</f>
        <v>82989</v>
      </c>
      <c r="W48" s="3699"/>
      <c r="X48" s="690"/>
      <c r="Y48" s="690"/>
      <c r="Z48" s="690"/>
      <c r="AA48" s="690"/>
      <c r="AB48" s="690"/>
      <c r="AC48" s="690"/>
    </row>
    <row r="49" spans="1:29" ht="15" thickBot="1">
      <c r="A49" s="441" t="s">
        <v>1710</v>
      </c>
      <c r="B49" s="442"/>
      <c r="C49" s="1162">
        <f>R49</f>
        <v>74503</v>
      </c>
      <c r="D49" s="1163"/>
      <c r="E49" s="1163"/>
      <c r="F49" s="1163"/>
      <c r="G49" s="1163"/>
      <c r="H49" s="1163"/>
      <c r="I49" s="1163"/>
      <c r="J49" s="1163"/>
      <c r="K49" s="1915"/>
      <c r="L49" s="2724"/>
      <c r="M49" s="2725"/>
      <c r="N49" s="2725"/>
      <c r="O49" s="2725"/>
      <c r="P49" s="3695" t="str">
        <f>A49</f>
        <v>估价对象XX用房的比较价值（楼面单价，元/平方米）</v>
      </c>
      <c r="Q49" s="3696"/>
      <c r="R49" s="3697">
        <f>IF(F1="售价",ROUND(IF(D48="简单平均",AVERAGE(R48:V48),R48*F48+T48*H48+V48*J48),0),ROUND(IF(D48="简单平均",AVERAGE(R48:V48),R48*F48+T48*H48+V48*J48),1))</f>
        <v>74503</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2.770448548812654E-2</v>
      </c>
      <c r="F52" s="449" t="str">
        <f>IF(OR(E52&gt;=0.3,E52&lt;=-0.3),"超过30%","")</f>
        <v/>
      </c>
      <c r="G52" s="448">
        <f>IF(G47&lt;G48,G48/G47-1,G47/G48-1)</f>
        <v>1.974559658887598E-3</v>
      </c>
      <c r="H52" s="449" t="str">
        <f>IF(OR(G52&gt;=0.3,G52&lt;=-0.3),"超过30%","")</f>
        <v/>
      </c>
      <c r="I52" s="448">
        <f>IF(I47&lt;I48,I48/I47-1,I47/I48-1)</f>
        <v>2.1541377909624737E-2</v>
      </c>
      <c r="J52" s="449" t="str">
        <f>IF(OR(I52&gt;=0.3,I52&lt;=-0.3),"超过30%","")</f>
        <v/>
      </c>
      <c r="K52" s="2730"/>
      <c r="L52" s="2726"/>
      <c r="M52" s="2725"/>
      <c r="N52" s="2725"/>
      <c r="O52" s="2725"/>
    </row>
    <row r="53" spans="1:29" ht="13.5" customHeight="1">
      <c r="A53" s="2725"/>
      <c r="B53" s="2725"/>
      <c r="C53" s="446" t="s">
        <v>1712</v>
      </c>
      <c r="D53" s="450"/>
      <c r="E53" s="448">
        <f>IF(E48&lt;G48,G48/E48-1,E48/G48-1)</f>
        <v>6.6688562982848421E-3</v>
      </c>
      <c r="F53" s="449" t="str">
        <f>IF(OR(E53&gt;=0.2,E53&lt;=-0.2),"超过20%","")</f>
        <v/>
      </c>
      <c r="G53" s="448">
        <f>IF(G48&lt;I48,I48/G48-1,G48/I48-1)</f>
        <v>0.18510003284447429</v>
      </c>
      <c r="H53" s="449" t="str">
        <f>IF(OR(G53&gt;=0.2,G53&lt;=-0.2),"超过20%","")</f>
        <v/>
      </c>
      <c r="I53" s="448">
        <f>IF(I48&lt;E48,E48/I48-1,I48/E48-1)</f>
        <v>0.17724912758532652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81" t="s">
        <v>3512</v>
      </c>
      <c r="E63" s="479"/>
      <c r="F63" s="479"/>
      <c r="G63" s="479"/>
      <c r="H63" s="479"/>
      <c r="I63" s="479"/>
      <c r="J63" s="479"/>
      <c r="K63" s="480"/>
      <c r="L63" s="481"/>
      <c r="M63" s="482"/>
      <c r="N63" s="933"/>
      <c r="O63" s="933"/>
      <c r="P63" s="1922"/>
      <c r="Q63" s="453"/>
    </row>
    <row r="64" spans="1:29" ht="14.4" thickBot="1">
      <c r="A64" s="483"/>
      <c r="B64" s="484"/>
      <c r="C64" s="485">
        <v>100</v>
      </c>
      <c r="D64" s="485">
        <v>98</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7" t="s">
        <v>3486</v>
      </c>
      <c r="D88" s="3477" t="s">
        <v>3487</v>
      </c>
      <c r="E88" s="3477" t="s">
        <v>3489</v>
      </c>
      <c r="F88" s="3478" t="s">
        <v>3526</v>
      </c>
      <c r="G88" s="3477" t="s">
        <v>3527</v>
      </c>
      <c r="H88" s="3477" t="s">
        <v>3528</v>
      </c>
      <c r="I88" s="3477" t="s">
        <v>3529</v>
      </c>
      <c r="J88" s="3477" t="s">
        <v>3530</v>
      </c>
      <c r="K88" s="3477"/>
      <c r="L88" s="503"/>
      <c r="M88" s="530"/>
      <c r="N88" s="932"/>
      <c r="O88" s="932"/>
      <c r="P88" s="1922"/>
      <c r="Q88" s="453"/>
    </row>
    <row r="89" spans="1:17" s="108" customFormat="1" ht="14.4" thickBot="1">
      <c r="A89" s="528"/>
      <c r="B89" s="492"/>
      <c r="C89" s="531">
        <v>100</v>
      </c>
      <c r="D89" s="493">
        <f t="shared" ref="D89:M89" si="24">C89-$K26</f>
        <v>98.5</v>
      </c>
      <c r="E89" s="493">
        <f t="shared" si="24"/>
        <v>97</v>
      </c>
      <c r="F89" s="493">
        <f t="shared" si="24"/>
        <v>95.5</v>
      </c>
      <c r="G89" s="493">
        <f t="shared" si="24"/>
        <v>94</v>
      </c>
      <c r="H89" s="493">
        <f t="shared" si="24"/>
        <v>92.5</v>
      </c>
      <c r="I89" s="493">
        <f t="shared" si="24"/>
        <v>91</v>
      </c>
      <c r="J89" s="493">
        <f t="shared" si="24"/>
        <v>89.5</v>
      </c>
      <c r="K89" s="493">
        <f t="shared" si="24"/>
        <v>88</v>
      </c>
      <c r="L89" s="493">
        <f t="shared" si="24"/>
        <v>86.5</v>
      </c>
      <c r="M89" s="493">
        <f t="shared" si="24"/>
        <v>85</v>
      </c>
      <c r="N89" s="934"/>
      <c r="O89" s="934"/>
      <c r="P89" s="1922"/>
      <c r="Q89" s="453"/>
    </row>
    <row r="90" spans="1:17" s="422" customFormat="1" ht="14.4" thickTop="1">
      <c r="A90" s="502"/>
      <c r="B90" s="487" t="str">
        <f>B27</f>
        <v>楼层</v>
      </c>
      <c r="C90" s="503" t="str">
        <f>C27</f>
        <v>2/23（低）</v>
      </c>
      <c r="D90" s="3479" t="str">
        <f>E27</f>
        <v>17/29（中）</v>
      </c>
      <c r="E90" s="3479" t="str">
        <f>G27</f>
        <v>3/20（低）</v>
      </c>
      <c r="F90" s="3479"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1" t="s">
        <v>3493</v>
      </c>
      <c r="D100" s="3481" t="s">
        <v>3495</v>
      </c>
      <c r="E100" s="3481" t="s">
        <v>3497</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1737</v>
      </c>
      <c r="C102" s="527" t="str">
        <f>C103&amp;"(含)"&amp;"-"&amp;D103</f>
        <v>0(含)-180</v>
      </c>
      <c r="D102" s="527" t="str">
        <f t="shared" ref="D102:L102" si="26">D103&amp;"(含)"&amp;"-"&amp;E103</f>
        <v>180(含)-210</v>
      </c>
      <c r="E102" s="527" t="str">
        <f t="shared" si="26"/>
        <v>210(含)-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180</v>
      </c>
      <c r="E103" s="544">
        <v>210</v>
      </c>
      <c r="F103" s="544"/>
      <c r="G103" s="544"/>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1738</v>
      </c>
      <c r="C105" s="3477" t="s">
        <v>3499</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7" t="s">
        <v>3501</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7" t="s">
        <v>3503</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7" t="s">
        <v>3505</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7" t="s">
        <v>3506</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109" workbookViewId="0">
      <selection activeCell="F136" sqref="F136"/>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row r="134" spans="3:6">
      <c r="C134" s="3470" t="s">
        <v>3518</v>
      </c>
      <c r="D134" s="3470" t="s">
        <v>3519</v>
      </c>
      <c r="E134" s="3470" t="s">
        <v>3520</v>
      </c>
      <c r="F134" s="3470" t="s">
        <v>3521</v>
      </c>
    </row>
    <row r="135" spans="3:6">
      <c r="C135" s="3467">
        <v>202</v>
      </c>
      <c r="D135" s="3470" t="s">
        <v>3522</v>
      </c>
      <c r="E135" s="3467">
        <v>164.94</v>
      </c>
      <c r="F135" s="3467">
        <f ca="1">结果表!G20</f>
        <v>68330</v>
      </c>
    </row>
    <row r="136" spans="3:6">
      <c r="C136" s="3467">
        <v>204</v>
      </c>
      <c r="D136" s="3470" t="s">
        <v>3523</v>
      </c>
      <c r="E136" s="3467">
        <v>132.97999999999999</v>
      </c>
    </row>
    <row r="137" spans="3:6">
      <c r="C137" s="3467">
        <v>205</v>
      </c>
      <c r="D137" s="3470" t="s">
        <v>3524</v>
      </c>
      <c r="E137" s="3467">
        <v>183.28</v>
      </c>
    </row>
    <row r="138" spans="3:6">
      <c r="C138" s="3467">
        <v>206</v>
      </c>
      <c r="D138" s="3470" t="s">
        <v>3524</v>
      </c>
      <c r="E138" s="3467">
        <v>141.78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90" customFormat="1">
      <c r="A1" s="3741"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41"/>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47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47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47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47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47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47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47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47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47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475" t="s">
        <v>3455</v>
      </c>
      <c r="E15">
        <v>23000</v>
      </c>
      <c r="F15">
        <f>ROUND(E15/B15,0)</f>
        <v>126</v>
      </c>
    </row>
    <row r="16" spans="1:14">
      <c r="B16">
        <v>165</v>
      </c>
      <c r="C16" s="3468" t="s">
        <v>3456</v>
      </c>
      <c r="D16" s="3475" t="s">
        <v>3457</v>
      </c>
      <c r="E16">
        <v>23500</v>
      </c>
      <c r="F16">
        <f t="shared" ref="F16:F26" si="1">ROUND(E16/B16,0)</f>
        <v>142</v>
      </c>
    </row>
    <row r="17" spans="2:6">
      <c r="B17">
        <v>165</v>
      </c>
      <c r="C17" s="3468" t="s">
        <v>3458</v>
      </c>
      <c r="D17" s="3475" t="s">
        <v>3459</v>
      </c>
      <c r="E17">
        <v>23000</v>
      </c>
      <c r="F17">
        <f t="shared" si="1"/>
        <v>139</v>
      </c>
    </row>
    <row r="18" spans="2:6">
      <c r="B18">
        <v>164</v>
      </c>
      <c r="C18" s="3468" t="s">
        <v>3461</v>
      </c>
      <c r="D18" s="3475" t="s">
        <v>3460</v>
      </c>
      <c r="E18">
        <v>23000</v>
      </c>
      <c r="F18">
        <f t="shared" si="1"/>
        <v>140</v>
      </c>
    </row>
    <row r="19" spans="2:6">
      <c r="B19">
        <v>164</v>
      </c>
      <c r="C19" s="3468" t="s">
        <v>3454</v>
      </c>
      <c r="D19" s="3475" t="s">
        <v>3462</v>
      </c>
      <c r="E19">
        <v>23500</v>
      </c>
      <c r="F19">
        <f t="shared" si="1"/>
        <v>143</v>
      </c>
    </row>
    <row r="20" spans="2:6">
      <c r="B20">
        <v>183</v>
      </c>
      <c r="C20" s="3468" t="s">
        <v>3454</v>
      </c>
      <c r="D20" s="3475" t="s">
        <v>3463</v>
      </c>
      <c r="E20">
        <v>24000</v>
      </c>
      <c r="F20">
        <f t="shared" si="1"/>
        <v>131</v>
      </c>
    </row>
    <row r="21" spans="2:6">
      <c r="B21">
        <v>227</v>
      </c>
      <c r="C21" s="3468" t="s">
        <v>3464</v>
      </c>
      <c r="D21" s="3475" t="s">
        <v>3465</v>
      </c>
      <c r="E21">
        <v>26000</v>
      </c>
      <c r="F21">
        <f t="shared" si="1"/>
        <v>115</v>
      </c>
    </row>
    <row r="22" spans="2:6">
      <c r="B22">
        <v>183</v>
      </c>
      <c r="C22" s="3468" t="s">
        <v>3454</v>
      </c>
      <c r="D22" s="3475" t="s">
        <v>3466</v>
      </c>
      <c r="E22">
        <v>25000</v>
      </c>
      <c r="F22">
        <f t="shared" si="1"/>
        <v>137</v>
      </c>
    </row>
    <row r="23" spans="2:6">
      <c r="B23">
        <v>187</v>
      </c>
      <c r="C23" s="3468" t="s">
        <v>3468</v>
      </c>
      <c r="D23" s="3475" t="s">
        <v>3467</v>
      </c>
      <c r="E23">
        <v>23000</v>
      </c>
      <c r="F23">
        <f t="shared" si="1"/>
        <v>123</v>
      </c>
    </row>
    <row r="24" spans="2:6">
      <c r="B24">
        <v>81</v>
      </c>
      <c r="C24" s="3468" t="s">
        <v>3461</v>
      </c>
      <c r="D24" s="3475" t="s">
        <v>3469</v>
      </c>
      <c r="E24">
        <v>15000</v>
      </c>
      <c r="F24">
        <f t="shared" si="1"/>
        <v>185</v>
      </c>
    </row>
    <row r="25" spans="2:6">
      <c r="B25">
        <v>168</v>
      </c>
      <c r="C25" s="3468" t="s">
        <v>3470</v>
      </c>
      <c r="D25" s="3475" t="s">
        <v>3469</v>
      </c>
      <c r="E25">
        <v>22000</v>
      </c>
      <c r="F25">
        <f t="shared" si="1"/>
        <v>131</v>
      </c>
    </row>
    <row r="26" spans="2:6">
      <c r="B26">
        <v>140</v>
      </c>
      <c r="C26" s="3468" t="s">
        <v>3471</v>
      </c>
      <c r="D26" s="3475" t="s">
        <v>3472</v>
      </c>
      <c r="E26">
        <v>22000</v>
      </c>
      <c r="F26">
        <f t="shared" si="1"/>
        <v>157</v>
      </c>
    </row>
    <row r="27" spans="2:6">
      <c r="D27" s="3476"/>
    </row>
    <row r="28" spans="2:6" ht="15.6" customHeight="1">
      <c r="D28" s="3476"/>
    </row>
    <row r="29" spans="2:6">
      <c r="D29" s="3476"/>
    </row>
    <row r="30" spans="2:6">
      <c r="D30" s="3476"/>
    </row>
    <row r="31" spans="2:6">
      <c r="D31" s="3476"/>
    </row>
    <row r="32" spans="2:6">
      <c r="D32" s="347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132.97999999999999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29"/>
      <c r="AC5" s="3711"/>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估价对象为北京市房地产，为所有。根据《国有土地使用证》[]，估价对象（分摊）出让国有建设用地使用权面积为0平方米，建筑面积为132.98平方米。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估价对象为北京市房地产,属开发建设的，该项目尚在开发建设中。根据《国有土地使用证》[]，估价对象（分摊）出让国有建设用地使用权面积为0平方米，规划建筑面积为132.98平方米。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132.97999999999999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50" t="s">
        <v>1775</v>
      </c>
      <c r="Q4" s="3751"/>
      <c r="R4" s="3754" t="s">
        <v>1771</v>
      </c>
      <c r="S4" s="3755"/>
      <c r="T4" s="3754" t="s">
        <v>1772</v>
      </c>
      <c r="U4" s="3755"/>
      <c r="V4" s="3756" t="s">
        <v>1773</v>
      </c>
      <c r="W4" s="3756"/>
      <c r="X4" s="1958"/>
      <c r="Y4" s="3754" t="s">
        <v>1775</v>
      </c>
      <c r="Z4" s="3755"/>
      <c r="AA4" s="3758" t="s">
        <v>1771</v>
      </c>
      <c r="AB4" s="3758" t="s">
        <v>1772</v>
      </c>
      <c r="AC4" s="3747" t="s">
        <v>1773</v>
      </c>
    </row>
    <row r="5" spans="1:29">
      <c r="A5" s="358"/>
      <c r="B5" s="359"/>
      <c r="C5" s="3732" t="s">
        <v>1673</v>
      </c>
      <c r="D5" s="3733"/>
      <c r="E5" s="3743" t="s">
        <v>1674</v>
      </c>
      <c r="F5" s="3740"/>
      <c r="G5" s="3732" t="s">
        <v>1675</v>
      </c>
      <c r="H5" s="3733"/>
      <c r="I5" s="3732" t="s">
        <v>1676</v>
      </c>
      <c r="J5" s="3733"/>
      <c r="K5" s="559"/>
      <c r="L5" s="2715"/>
      <c r="M5" s="2716"/>
      <c r="N5" s="2716"/>
      <c r="O5" s="2716"/>
      <c r="P5" s="3752"/>
      <c r="Q5" s="3720"/>
      <c r="R5" s="3725"/>
      <c r="S5" s="3726"/>
      <c r="T5" s="3725"/>
      <c r="U5" s="3726"/>
      <c r="V5" s="3729"/>
      <c r="W5" s="3729"/>
      <c r="X5" s="1355"/>
      <c r="Y5" s="3725"/>
      <c r="Z5" s="3726"/>
      <c r="AA5" s="3711"/>
      <c r="AB5" s="3711"/>
      <c r="AC5" s="3748"/>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53"/>
      <c r="Q6" s="3722"/>
      <c r="R6" s="3725"/>
      <c r="S6" s="3726"/>
      <c r="T6" s="3727"/>
      <c r="U6" s="3728"/>
      <c r="V6" s="3729"/>
      <c r="W6" s="3729"/>
      <c r="X6" s="1355"/>
      <c r="Y6" s="3727"/>
      <c r="Z6" s="3728"/>
      <c r="AA6" s="3712"/>
      <c r="AB6" s="3712"/>
      <c r="AC6" s="3749"/>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7"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7"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132.97999999999999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 thickBot="1">
      <c r="A6" s="360"/>
      <c r="B6" s="361"/>
      <c r="C6" s="3730" t="s">
        <v>1677</v>
      </c>
      <c r="D6" s="3731"/>
      <c r="E6" s="3742"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30"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62" t="e">
        <f>ROUND(IF(D47="简单平均",AVERAGE(R47:W47),R47*F47+T47*H47+V47*J47),0)</f>
        <v>#DIV/0!</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132.97999999999999</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132.97999999999999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64" t="s">
        <v>1919</v>
      </c>
      <c r="D6" s="3765"/>
      <c r="E6" s="3766" t="s">
        <v>1919</v>
      </c>
      <c r="F6" s="3767"/>
      <c r="G6" s="3764" t="s">
        <v>1919</v>
      </c>
      <c r="H6" s="3765"/>
      <c r="I6" s="3764" t="s">
        <v>1919</v>
      </c>
      <c r="J6" s="3765"/>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3" t="s">
        <v>1887</v>
      </c>
      <c r="H50" s="376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132.97999999999999</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8" t="s">
        <v>1960</v>
      </c>
      <c r="X8" s="37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5" t="s">
        <v>3254</v>
      </c>
      <c r="B20" s="167" t="s">
        <v>1994</v>
      </c>
      <c r="C20" s="3325" t="e">
        <f>ROUND(IF(F21="与级别开发程度一致",0,(G21-E21)/C21),0)</f>
        <v>#DIV/0!</v>
      </c>
      <c r="D20" s="3341" t="s">
        <v>1998</v>
      </c>
      <c r="E20" s="3342"/>
      <c r="F20" s="3791" t="s">
        <v>1995</v>
      </c>
      <c r="G20" s="37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7" t="s">
        <v>3294</v>
      </c>
      <c r="B103" s="3787"/>
      <c r="C103" s="3787"/>
      <c r="D103" s="3787"/>
      <c r="E103" s="3787"/>
      <c r="F103" s="3787"/>
      <c r="G103" s="3787"/>
      <c r="H103" s="3787"/>
      <c r="I103" s="3787"/>
      <c r="J103" s="3787"/>
      <c r="K103" s="3390"/>
      <c r="L103" s="3390"/>
      <c r="M103" s="3390"/>
      <c r="N103" s="3390"/>
    </row>
    <row r="104" spans="1:14">
      <c r="A104" s="3788" t="s">
        <v>3295</v>
      </c>
      <c r="B104" s="3788" t="s">
        <v>3296</v>
      </c>
      <c r="C104" s="3391" t="s">
        <v>3297</v>
      </c>
      <c r="D104" s="3392"/>
      <c r="E104" s="3392"/>
      <c r="F104" s="3392"/>
      <c r="G104" s="3392"/>
      <c r="H104" s="3392"/>
      <c r="I104" s="3392"/>
      <c r="J104" s="3393"/>
      <c r="K104" s="3394"/>
      <c r="L104" s="3394"/>
      <c r="M104" s="3394"/>
      <c r="N104" s="3394"/>
    </row>
    <row r="105" spans="1:14">
      <c r="A105" s="3788"/>
      <c r="B105" s="378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7" t="s">
        <v>3311</v>
      </c>
      <c r="B113" s="3777"/>
      <c r="C113" s="3777"/>
      <c r="D113" s="3777"/>
      <c r="E113" s="3777"/>
      <c r="F113" s="3777"/>
      <c r="G113" s="3777"/>
      <c r="H113" s="3777"/>
      <c r="I113" s="3777"/>
      <c r="J113" s="37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2" t="s">
        <v>2607</v>
      </c>
      <c r="B20" s="3797" t="s">
        <v>2628</v>
      </c>
      <c r="C20" s="3103" t="s">
        <v>2439</v>
      </c>
      <c r="D20" s="3104"/>
      <c r="E20" s="3105">
        <v>1</v>
      </c>
      <c r="F20" s="3106" t="s">
        <v>2440</v>
      </c>
      <c r="G20" s="3106"/>
    </row>
    <row r="21" spans="1:13" ht="19.5" customHeight="1">
      <c r="A21" s="3803"/>
      <c r="B21" s="3796"/>
      <c r="C21" s="3107" t="s">
        <v>2441</v>
      </c>
      <c r="D21" s="3108"/>
      <c r="E21" s="3109">
        <v>1</v>
      </c>
      <c r="F21" s="3106" t="s">
        <v>2442</v>
      </c>
      <c r="G21" s="3106"/>
    </row>
    <row r="22" spans="1:13" ht="19.5" customHeight="1">
      <c r="A22" s="3803"/>
      <c r="B22" s="3796"/>
      <c r="C22" s="3107" t="s">
        <v>2443</v>
      </c>
      <c r="D22" s="3108"/>
      <c r="E22" s="3109">
        <v>0.9</v>
      </c>
      <c r="F22" s="3106" t="s">
        <v>2444</v>
      </c>
      <c r="G22" s="3106"/>
    </row>
    <row r="23" spans="1:13" ht="19.5" customHeight="1">
      <c r="A23" s="3803"/>
      <c r="B23" s="3796"/>
      <c r="C23" s="3107" t="s">
        <v>2445</v>
      </c>
      <c r="D23" s="3108"/>
      <c r="E23" s="3109">
        <v>0.9</v>
      </c>
      <c r="F23" s="3106" t="s">
        <v>2446</v>
      </c>
      <c r="G23" s="3106"/>
    </row>
    <row r="24" spans="1:13" ht="19.5" customHeight="1">
      <c r="A24" s="3803"/>
      <c r="B24" s="3796"/>
      <c r="C24" s="3107" t="s">
        <v>2447</v>
      </c>
      <c r="D24" s="3108"/>
      <c r="E24" s="3109">
        <v>0.8</v>
      </c>
      <c r="F24" s="3106" t="s">
        <v>2448</v>
      </c>
      <c r="G24" s="3106"/>
    </row>
    <row r="25" spans="1:13" ht="19.5" customHeight="1" thickBot="1">
      <c r="A25" s="3804"/>
      <c r="B25" s="379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9" t="s">
        <v>2631</v>
      </c>
      <c r="B27" s="3797" t="s">
        <v>2612</v>
      </c>
      <c r="C27" s="3103" t="s">
        <v>2452</v>
      </c>
      <c r="D27" s="3104"/>
      <c r="E27" s="3105">
        <v>1</v>
      </c>
      <c r="F27" s="3106" t="s">
        <v>2453</v>
      </c>
      <c r="G27" s="3106"/>
    </row>
    <row r="28" spans="1:13" ht="19.5" customHeight="1">
      <c r="A28" s="3800"/>
      <c r="B28" s="3796"/>
      <c r="C28" s="3107" t="s">
        <v>2454</v>
      </c>
      <c r="D28" s="3108"/>
      <c r="E28" s="3109">
        <v>1</v>
      </c>
      <c r="F28" s="3106" t="s">
        <v>2455</v>
      </c>
      <c r="G28" s="3106"/>
    </row>
    <row r="29" spans="1:13" ht="19.5" customHeight="1">
      <c r="A29" s="3800"/>
      <c r="B29" s="3796"/>
      <c r="C29" s="3107" t="s">
        <v>2456</v>
      </c>
      <c r="D29" s="3108"/>
      <c r="E29" s="3109">
        <v>0.8</v>
      </c>
      <c r="F29" s="3106" t="s">
        <v>2457</v>
      </c>
      <c r="G29" s="3106"/>
    </row>
    <row r="30" spans="1:13" ht="19.5" customHeight="1">
      <c r="A30" s="3800"/>
      <c r="B30" s="3796"/>
      <c r="C30" s="3107" t="s">
        <v>2458</v>
      </c>
      <c r="D30" s="3108"/>
      <c r="E30" s="3109">
        <v>0.8</v>
      </c>
      <c r="F30" s="3106" t="s">
        <v>2459</v>
      </c>
      <c r="G30" s="3106"/>
    </row>
    <row r="31" spans="1:13" ht="19.5" customHeight="1">
      <c r="A31" s="3800"/>
      <c r="B31" s="3796"/>
      <c r="C31" s="3107" t="s">
        <v>2460</v>
      </c>
      <c r="D31" s="3108"/>
      <c r="E31" s="3109">
        <v>0.8</v>
      </c>
      <c r="F31" s="3106" t="s">
        <v>2461</v>
      </c>
      <c r="G31" s="3106"/>
    </row>
    <row r="32" spans="1:13" ht="19.5" customHeight="1">
      <c r="A32" s="3800"/>
      <c r="B32" s="3796"/>
      <c r="C32" s="3107" t="s">
        <v>2462</v>
      </c>
      <c r="D32" s="3108"/>
      <c r="E32" s="3109">
        <v>0.7</v>
      </c>
      <c r="F32" s="3106" t="s">
        <v>2463</v>
      </c>
      <c r="G32" s="3106"/>
    </row>
    <row r="33" spans="1:7" ht="19.5" customHeight="1">
      <c r="A33" s="3800"/>
      <c r="B33" s="3796"/>
      <c r="C33" s="3107" t="s">
        <v>2464</v>
      </c>
      <c r="D33" s="3108"/>
      <c r="E33" s="3109">
        <v>0.8</v>
      </c>
      <c r="F33" s="3106" t="s">
        <v>2465</v>
      </c>
      <c r="G33" s="3106"/>
    </row>
    <row r="34" spans="1:7" ht="19.5" customHeight="1">
      <c r="A34" s="3800"/>
      <c r="B34" s="3796"/>
      <c r="C34" s="3107" t="s">
        <v>2466</v>
      </c>
      <c r="D34" s="3108"/>
      <c r="E34" s="3109">
        <v>0.6</v>
      </c>
      <c r="F34" s="3106" t="s">
        <v>2467</v>
      </c>
      <c r="G34" s="3106"/>
    </row>
    <row r="35" spans="1:7" ht="19.5" customHeight="1">
      <c r="A35" s="3800"/>
      <c r="B35" s="3796"/>
      <c r="C35" s="3107" t="s">
        <v>2468</v>
      </c>
      <c r="D35" s="3108"/>
      <c r="E35" s="3109">
        <v>0.2</v>
      </c>
      <c r="F35" s="3106" t="s">
        <v>2469</v>
      </c>
      <c r="G35" s="3106"/>
    </row>
    <row r="36" spans="1:7" ht="19.5" customHeight="1">
      <c r="A36" s="3800"/>
      <c r="B36" s="3796"/>
      <c r="C36" s="3107" t="s">
        <v>2470</v>
      </c>
      <c r="D36" s="3108"/>
      <c r="E36" s="3109">
        <v>0.2</v>
      </c>
      <c r="F36" s="3106" t="s">
        <v>2471</v>
      </c>
      <c r="G36" s="3106"/>
    </row>
    <row r="37" spans="1:7" ht="19.5" customHeight="1">
      <c r="A37" s="3800"/>
      <c r="B37" s="3794" t="s">
        <v>2632</v>
      </c>
      <c r="C37" s="3107" t="s">
        <v>2472</v>
      </c>
      <c r="D37" s="3108"/>
      <c r="E37" s="3109">
        <v>0.6</v>
      </c>
      <c r="F37" s="3106" t="s">
        <v>2473</v>
      </c>
      <c r="G37" s="3106"/>
    </row>
    <row r="38" spans="1:7" ht="19.5" customHeight="1">
      <c r="A38" s="3800"/>
      <c r="B38" s="3796"/>
      <c r="C38" s="3107" t="s">
        <v>2474</v>
      </c>
      <c r="D38" s="3108"/>
      <c r="E38" s="3109">
        <v>0.6</v>
      </c>
      <c r="F38" s="3106" t="s">
        <v>2475</v>
      </c>
      <c r="G38" s="3106"/>
    </row>
    <row r="39" spans="1:7" ht="19.5" customHeight="1" thickBot="1">
      <c r="A39" s="3801"/>
      <c r="B39" s="379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2" t="s">
        <v>2610</v>
      </c>
      <c r="B41" s="3797" t="s">
        <v>2634</v>
      </c>
      <c r="C41" s="3103" t="s">
        <v>2479</v>
      </c>
      <c r="D41" s="3104"/>
      <c r="E41" s="3105">
        <v>1</v>
      </c>
      <c r="F41" s="3106" t="s">
        <v>2480</v>
      </c>
      <c r="G41" s="3106"/>
    </row>
    <row r="42" spans="1:7" ht="19.5" customHeight="1">
      <c r="A42" s="3803"/>
      <c r="B42" s="3796"/>
      <c r="C42" s="3107" t="s">
        <v>2481</v>
      </c>
      <c r="D42" s="3108"/>
      <c r="E42" s="3109">
        <v>1</v>
      </c>
      <c r="F42" s="3106" t="s">
        <v>2482</v>
      </c>
      <c r="G42" s="3106"/>
    </row>
    <row r="43" spans="1:7" ht="19.5" customHeight="1">
      <c r="A43" s="3803"/>
      <c r="B43" s="3795"/>
      <c r="C43" s="3107" t="s">
        <v>2483</v>
      </c>
      <c r="D43" s="3108"/>
      <c r="E43" s="3109">
        <v>1.5</v>
      </c>
      <c r="F43" s="3106" t="s">
        <v>2484</v>
      </c>
      <c r="G43" s="3106"/>
    </row>
    <row r="44" spans="1:7" ht="19.5" customHeight="1">
      <c r="A44" s="3803"/>
      <c r="B44" s="3118" t="s">
        <v>2635</v>
      </c>
      <c r="C44" s="3107" t="s">
        <v>2636</v>
      </c>
      <c r="D44" s="3108"/>
      <c r="E44" s="3109">
        <v>2</v>
      </c>
      <c r="F44" s="3106" t="s">
        <v>2485</v>
      </c>
      <c r="G44" s="3106"/>
    </row>
    <row r="45" spans="1:7" ht="19.5" customHeight="1">
      <c r="A45" s="3803"/>
      <c r="B45" s="3794" t="s">
        <v>2637</v>
      </c>
      <c r="C45" s="3107" t="s">
        <v>2486</v>
      </c>
      <c r="D45" s="3108"/>
      <c r="E45" s="3109">
        <v>1</v>
      </c>
      <c r="F45" s="3106" t="s">
        <v>2487</v>
      </c>
      <c r="G45" s="3106"/>
    </row>
    <row r="46" spans="1:7" ht="19.5" customHeight="1">
      <c r="A46" s="3803"/>
      <c r="B46" s="3796"/>
      <c r="C46" s="3107" t="s">
        <v>2488</v>
      </c>
      <c r="D46" s="3108"/>
      <c r="E46" s="3109">
        <v>1</v>
      </c>
      <c r="F46" s="3106" t="s">
        <v>2489</v>
      </c>
      <c r="G46" s="3106"/>
    </row>
    <row r="47" spans="1:7" ht="19.5" customHeight="1">
      <c r="A47" s="3803"/>
      <c r="B47" s="3796"/>
      <c r="C47" s="3107" t="s">
        <v>2490</v>
      </c>
      <c r="D47" s="3108"/>
      <c r="E47" s="3109">
        <v>1</v>
      </c>
      <c r="F47" s="3106" t="s">
        <v>2491</v>
      </c>
      <c r="G47" s="3106"/>
    </row>
    <row r="48" spans="1:7" ht="19.5" customHeight="1">
      <c r="A48" s="3803"/>
      <c r="B48" s="3796"/>
      <c r="C48" s="3107" t="s">
        <v>2492</v>
      </c>
      <c r="D48" s="3108"/>
      <c r="E48" s="3109">
        <v>1</v>
      </c>
      <c r="F48" s="3106" t="s">
        <v>2493</v>
      </c>
      <c r="G48" s="3106"/>
    </row>
    <row r="49" spans="1:7" ht="19.5" customHeight="1">
      <c r="A49" s="3803"/>
      <c r="B49" s="3796"/>
      <c r="C49" s="3107" t="s">
        <v>2494</v>
      </c>
      <c r="D49" s="3108"/>
      <c r="E49" s="3109">
        <v>1</v>
      </c>
      <c r="F49" s="3106" t="s">
        <v>2495</v>
      </c>
      <c r="G49" s="3106"/>
    </row>
    <row r="50" spans="1:7" ht="19.5" customHeight="1">
      <c r="A50" s="3803"/>
      <c r="B50" s="3796"/>
      <c r="C50" s="3107" t="s">
        <v>2496</v>
      </c>
      <c r="D50" s="3108"/>
      <c r="E50" s="3109">
        <v>1</v>
      </c>
      <c r="F50" s="3106" t="s">
        <v>2497</v>
      </c>
      <c r="G50" s="3106"/>
    </row>
    <row r="51" spans="1:7" ht="19.5" customHeight="1" thickBot="1">
      <c r="A51" s="3804"/>
      <c r="B51" s="379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4" t="s">
        <v>2651</v>
      </c>
      <c r="C73" s="3092" t="s">
        <v>2652</v>
      </c>
      <c r="D73" s="3092" t="s">
        <v>2653</v>
      </c>
      <c r="E73" s="3118">
        <v>0.2</v>
      </c>
      <c r="F73" s="3118">
        <v>25</v>
      </c>
    </row>
    <row r="74" spans="1:7" ht="24">
      <c r="A74" s="3118">
        <v>2</v>
      </c>
      <c r="B74" s="3796"/>
      <c r="C74" s="3092" t="s">
        <v>2654</v>
      </c>
      <c r="D74" s="3092" t="s">
        <v>2655</v>
      </c>
      <c r="E74" s="3118">
        <v>0.2</v>
      </c>
      <c r="F74" s="3118">
        <v>25</v>
      </c>
    </row>
    <row r="75" spans="1:7" ht="24">
      <c r="A75" s="3118">
        <v>3</v>
      </c>
      <c r="B75" s="3796"/>
      <c r="C75" s="3092" t="s">
        <v>2656</v>
      </c>
      <c r="D75" s="3092" t="s">
        <v>2657</v>
      </c>
      <c r="E75" s="3118">
        <v>0.2</v>
      </c>
      <c r="F75" s="3118">
        <v>25</v>
      </c>
    </row>
    <row r="76" spans="1:7" ht="14.4">
      <c r="A76" s="3118">
        <v>4</v>
      </c>
      <c r="B76" s="3796"/>
      <c r="C76" s="3092" t="s">
        <v>2658</v>
      </c>
      <c r="D76" s="3092" t="s">
        <v>2659</v>
      </c>
      <c r="E76" s="3118">
        <v>0.15</v>
      </c>
      <c r="F76" s="3118">
        <v>20</v>
      </c>
    </row>
    <row r="77" spans="1:7" ht="24">
      <c r="A77" s="3118">
        <v>5</v>
      </c>
      <c r="B77" s="3796"/>
      <c r="C77" s="3092" t="s">
        <v>2660</v>
      </c>
      <c r="D77" s="3092" t="s">
        <v>2661</v>
      </c>
      <c r="E77" s="3118">
        <v>0.15</v>
      </c>
      <c r="F77" s="3118">
        <v>20</v>
      </c>
    </row>
    <row r="78" spans="1:7" ht="24">
      <c r="A78" s="3118">
        <v>6</v>
      </c>
      <c r="B78" s="3796"/>
      <c r="C78" s="3092" t="s">
        <v>2662</v>
      </c>
      <c r="D78" s="3092" t="s">
        <v>2663</v>
      </c>
      <c r="E78" s="3118">
        <v>0.15</v>
      </c>
      <c r="F78" s="3118">
        <v>20</v>
      </c>
    </row>
    <row r="79" spans="1:7" ht="24">
      <c r="A79" s="3118">
        <v>7</v>
      </c>
      <c r="B79" s="3796"/>
      <c r="C79" s="3092" t="s">
        <v>2664</v>
      </c>
      <c r="D79" s="3092" t="s">
        <v>2665</v>
      </c>
      <c r="E79" s="3118">
        <v>0.15</v>
      </c>
      <c r="F79" s="3118">
        <v>20</v>
      </c>
    </row>
    <row r="80" spans="1:7" ht="24">
      <c r="A80" s="3118">
        <v>8</v>
      </c>
      <c r="B80" s="3796"/>
      <c r="C80" s="3092" t="s">
        <v>2666</v>
      </c>
      <c r="D80" s="3092" t="s">
        <v>2667</v>
      </c>
      <c r="E80" s="3118">
        <v>0.1</v>
      </c>
      <c r="F80" s="3118">
        <v>15</v>
      </c>
    </row>
    <row r="81" spans="1:6" ht="24">
      <c r="A81" s="3118">
        <v>9</v>
      </c>
      <c r="B81" s="3796"/>
      <c r="C81" s="3092" t="s">
        <v>2668</v>
      </c>
      <c r="D81" s="3092" t="s">
        <v>2669</v>
      </c>
      <c r="E81" s="3118">
        <v>0.1</v>
      </c>
      <c r="F81" s="3118">
        <v>15</v>
      </c>
    </row>
    <row r="82" spans="1:6" ht="24">
      <c r="A82" s="3118">
        <v>10</v>
      </c>
      <c r="B82" s="3796"/>
      <c r="C82" s="3092" t="s">
        <v>2670</v>
      </c>
      <c r="D82" s="3092" t="s">
        <v>2671</v>
      </c>
      <c r="E82" s="3118">
        <v>0.1</v>
      </c>
      <c r="F82" s="3118">
        <v>15</v>
      </c>
    </row>
    <row r="83" spans="1:6" ht="24">
      <c r="A83" s="3118">
        <v>11</v>
      </c>
      <c r="B83" s="3796"/>
      <c r="C83" s="3092" t="s">
        <v>2672</v>
      </c>
      <c r="D83" s="3092" t="s">
        <v>2673</v>
      </c>
      <c r="E83" s="3118">
        <v>0.1</v>
      </c>
      <c r="F83" s="3118">
        <v>15</v>
      </c>
    </row>
    <row r="84" spans="1:6" ht="24">
      <c r="A84" s="3118">
        <v>12</v>
      </c>
      <c r="B84" s="3796"/>
      <c r="C84" s="3092" t="s">
        <v>2674</v>
      </c>
      <c r="D84" s="3092" t="s">
        <v>2675</v>
      </c>
      <c r="E84" s="3118">
        <v>0.1</v>
      </c>
      <c r="F84" s="3118">
        <v>15</v>
      </c>
    </row>
    <row r="85" spans="1:6" ht="24">
      <c r="A85" s="3118">
        <v>13</v>
      </c>
      <c r="B85" s="3796"/>
      <c r="C85" s="3092" t="s">
        <v>2676</v>
      </c>
      <c r="D85" s="3092" t="s">
        <v>2677</v>
      </c>
      <c r="E85" s="3118">
        <v>0.1</v>
      </c>
      <c r="F85" s="3118">
        <v>15</v>
      </c>
    </row>
    <row r="86" spans="1:6" ht="24">
      <c r="A86" s="3118">
        <v>14</v>
      </c>
      <c r="B86" s="3796"/>
      <c r="C86" s="3092" t="s">
        <v>2678</v>
      </c>
      <c r="D86" s="3092" t="s">
        <v>2679</v>
      </c>
      <c r="E86" s="3118">
        <v>0.1</v>
      </c>
      <c r="F86" s="3118">
        <v>15</v>
      </c>
    </row>
    <row r="87" spans="1:6" ht="24">
      <c r="A87" s="3118">
        <v>15</v>
      </c>
      <c r="B87" s="3796"/>
      <c r="C87" s="3092" t="s">
        <v>2680</v>
      </c>
      <c r="D87" s="3092" t="s">
        <v>2681</v>
      </c>
      <c r="E87" s="3118">
        <v>0.1</v>
      </c>
      <c r="F87" s="3118">
        <v>15</v>
      </c>
    </row>
    <row r="88" spans="1:6" ht="24">
      <c r="A88" s="3118">
        <v>16</v>
      </c>
      <c r="B88" s="3796"/>
      <c r="C88" s="3092" t="s">
        <v>2682</v>
      </c>
      <c r="D88" s="3092" t="s">
        <v>2683</v>
      </c>
      <c r="E88" s="3118">
        <v>0.1</v>
      </c>
      <c r="F88" s="3118">
        <v>15</v>
      </c>
    </row>
    <row r="89" spans="1:6" ht="24">
      <c r="A89" s="3118">
        <v>17</v>
      </c>
      <c r="B89" s="3795"/>
      <c r="C89" s="3092" t="s">
        <v>2684</v>
      </c>
      <c r="D89" s="3092" t="s">
        <v>2685</v>
      </c>
      <c r="E89" s="3118">
        <v>0.1</v>
      </c>
      <c r="F89" s="3118">
        <v>15</v>
      </c>
    </row>
    <row r="90" spans="1:6" ht="14.4">
      <c r="A90" s="3118">
        <v>18</v>
      </c>
      <c r="B90" s="3794" t="s">
        <v>2686</v>
      </c>
      <c r="C90" s="3092" t="s">
        <v>2687</v>
      </c>
      <c r="D90" s="3092" t="s">
        <v>2688</v>
      </c>
      <c r="E90" s="3118">
        <v>0.2</v>
      </c>
      <c r="F90" s="3118">
        <v>25</v>
      </c>
    </row>
    <row r="91" spans="1:6" ht="24">
      <c r="A91" s="3118">
        <v>19</v>
      </c>
      <c r="B91" s="3796"/>
      <c r="C91" s="3092" t="s">
        <v>2689</v>
      </c>
      <c r="D91" s="3092" t="s">
        <v>2690</v>
      </c>
      <c r="E91" s="3118">
        <v>0.2</v>
      </c>
      <c r="F91" s="3118">
        <v>25</v>
      </c>
    </row>
    <row r="92" spans="1:6" ht="14.4">
      <c r="A92" s="3118">
        <v>20</v>
      </c>
      <c r="B92" s="3796"/>
      <c r="C92" s="3092" t="s">
        <v>2691</v>
      </c>
      <c r="D92" s="3092" t="s">
        <v>2692</v>
      </c>
      <c r="E92" s="3118">
        <v>0.15</v>
      </c>
      <c r="F92" s="3118">
        <v>20</v>
      </c>
    </row>
    <row r="93" spans="1:6" ht="24">
      <c r="A93" s="3118">
        <v>21</v>
      </c>
      <c r="B93" s="3796"/>
      <c r="C93" s="3092" t="s">
        <v>2693</v>
      </c>
      <c r="D93" s="3092" t="s">
        <v>2694</v>
      </c>
      <c r="E93" s="3118">
        <v>0.15</v>
      </c>
      <c r="F93" s="3118">
        <v>20</v>
      </c>
    </row>
    <row r="94" spans="1:6" ht="24">
      <c r="A94" s="3118">
        <v>22</v>
      </c>
      <c r="B94" s="3796"/>
      <c r="C94" s="3092" t="s">
        <v>2695</v>
      </c>
      <c r="D94" s="3092" t="s">
        <v>2696</v>
      </c>
      <c r="E94" s="3118">
        <v>0.15</v>
      </c>
      <c r="F94" s="3118">
        <v>20</v>
      </c>
    </row>
    <row r="95" spans="1:6" ht="36">
      <c r="A95" s="3118">
        <v>23</v>
      </c>
      <c r="B95" s="3796"/>
      <c r="C95" s="3092" t="s">
        <v>2697</v>
      </c>
      <c r="D95" s="3092" t="s">
        <v>2698</v>
      </c>
      <c r="E95" s="3118">
        <v>0.15</v>
      </c>
      <c r="F95" s="3118">
        <v>20</v>
      </c>
    </row>
    <row r="96" spans="1:6" ht="24">
      <c r="A96" s="3118">
        <v>24</v>
      </c>
      <c r="B96" s="3796"/>
      <c r="C96" s="3092" t="s">
        <v>2699</v>
      </c>
      <c r="D96" s="3092" t="s">
        <v>2700</v>
      </c>
      <c r="E96" s="3118">
        <v>0.1</v>
      </c>
      <c r="F96" s="3118">
        <v>15</v>
      </c>
    </row>
    <row r="97" spans="1:6" ht="24">
      <c r="A97" s="3118">
        <v>25</v>
      </c>
      <c r="B97" s="3796"/>
      <c r="C97" s="3092" t="s">
        <v>2701</v>
      </c>
      <c r="D97" s="3092" t="s">
        <v>2702</v>
      </c>
      <c r="E97" s="3118">
        <v>0.1</v>
      </c>
      <c r="F97" s="3118">
        <v>15</v>
      </c>
    </row>
    <row r="98" spans="1:6" ht="24">
      <c r="A98" s="3118">
        <v>26</v>
      </c>
      <c r="B98" s="3796"/>
      <c r="C98" s="3092" t="s">
        <v>2703</v>
      </c>
      <c r="D98" s="3092" t="s">
        <v>2704</v>
      </c>
      <c r="E98" s="3118">
        <v>0.1</v>
      </c>
      <c r="F98" s="3118">
        <v>15</v>
      </c>
    </row>
    <row r="99" spans="1:6" ht="24">
      <c r="A99" s="3118">
        <v>27</v>
      </c>
      <c r="B99" s="3796"/>
      <c r="C99" s="3092" t="s">
        <v>2705</v>
      </c>
      <c r="D99" s="3092" t="s">
        <v>2706</v>
      </c>
      <c r="E99" s="3118">
        <v>0.1</v>
      </c>
      <c r="F99" s="3118">
        <v>15</v>
      </c>
    </row>
    <row r="100" spans="1:6" ht="24">
      <c r="A100" s="3118">
        <v>28</v>
      </c>
      <c r="B100" s="3796"/>
      <c r="C100" s="3092" t="s">
        <v>2707</v>
      </c>
      <c r="D100" s="3092" t="s">
        <v>2708</v>
      </c>
      <c r="E100" s="3118">
        <v>0.1</v>
      </c>
      <c r="F100" s="3118">
        <v>15</v>
      </c>
    </row>
    <row r="101" spans="1:6" ht="24">
      <c r="A101" s="3118">
        <v>29</v>
      </c>
      <c r="B101" s="3796"/>
      <c r="C101" s="3092" t="s">
        <v>2709</v>
      </c>
      <c r="D101" s="3092" t="s">
        <v>2710</v>
      </c>
      <c r="E101" s="3118">
        <v>0.1</v>
      </c>
      <c r="F101" s="3118">
        <v>15</v>
      </c>
    </row>
    <row r="102" spans="1:6" ht="24">
      <c r="A102" s="3118">
        <v>30</v>
      </c>
      <c r="B102" s="3796"/>
      <c r="C102" s="3092" t="s">
        <v>2711</v>
      </c>
      <c r="D102" s="3092" t="s">
        <v>2712</v>
      </c>
      <c r="E102" s="3118">
        <v>0.1</v>
      </c>
      <c r="F102" s="3118">
        <v>15</v>
      </c>
    </row>
    <row r="103" spans="1:6" ht="24">
      <c r="A103" s="3118">
        <v>31</v>
      </c>
      <c r="B103" s="3796"/>
      <c r="C103" s="3092" t="s">
        <v>2713</v>
      </c>
      <c r="D103" s="3092" t="s">
        <v>2714</v>
      </c>
      <c r="E103" s="3118">
        <v>0.1</v>
      </c>
      <c r="F103" s="3118">
        <v>15</v>
      </c>
    </row>
    <row r="104" spans="1:6" ht="24">
      <c r="A104" s="3118">
        <v>32</v>
      </c>
      <c r="B104" s="3796"/>
      <c r="C104" s="3092" t="s">
        <v>2715</v>
      </c>
      <c r="D104" s="3092" t="s">
        <v>2716</v>
      </c>
      <c r="E104" s="3118">
        <v>0.1</v>
      </c>
      <c r="F104" s="3118">
        <v>15</v>
      </c>
    </row>
    <row r="105" spans="1:6" ht="24">
      <c r="A105" s="3118">
        <v>33</v>
      </c>
      <c r="B105" s="3796"/>
      <c r="C105" s="3092" t="s">
        <v>2717</v>
      </c>
      <c r="D105" s="3092" t="s">
        <v>2718</v>
      </c>
      <c r="E105" s="3118">
        <v>0.1</v>
      </c>
      <c r="F105" s="3118">
        <v>15</v>
      </c>
    </row>
    <row r="106" spans="1:6" ht="24">
      <c r="A106" s="3118">
        <v>34</v>
      </c>
      <c r="B106" s="3795"/>
      <c r="C106" s="3092" t="s">
        <v>2719</v>
      </c>
      <c r="D106" s="3092" t="s">
        <v>2720</v>
      </c>
      <c r="E106" s="3118">
        <v>0.1</v>
      </c>
      <c r="F106" s="3118">
        <v>15</v>
      </c>
    </row>
    <row r="107" spans="1:6" ht="36">
      <c r="A107" s="3118">
        <v>35</v>
      </c>
      <c r="B107" s="3794" t="s">
        <v>2721</v>
      </c>
      <c r="C107" s="3118" t="s">
        <v>2722</v>
      </c>
      <c r="D107" s="3092" t="s">
        <v>2723</v>
      </c>
      <c r="E107" s="3118">
        <v>0.15</v>
      </c>
      <c r="F107" s="3118">
        <v>20</v>
      </c>
    </row>
    <row r="108" spans="1:6" ht="24">
      <c r="A108" s="3118">
        <v>36</v>
      </c>
      <c r="B108" s="3796"/>
      <c r="C108" s="3118" t="s">
        <v>2724</v>
      </c>
      <c r="D108" s="3092" t="s">
        <v>2725</v>
      </c>
      <c r="E108" s="3118">
        <v>0.15</v>
      </c>
      <c r="F108" s="3118">
        <v>20</v>
      </c>
    </row>
    <row r="109" spans="1:6" ht="24">
      <c r="A109" s="3118">
        <v>37</v>
      </c>
      <c r="B109" s="3796"/>
      <c r="C109" s="3118" t="s">
        <v>2726</v>
      </c>
      <c r="D109" s="3092" t="s">
        <v>2727</v>
      </c>
      <c r="E109" s="3118">
        <v>0.15</v>
      </c>
      <c r="F109" s="3118">
        <v>20</v>
      </c>
    </row>
    <row r="110" spans="1:6" ht="24">
      <c r="A110" s="3118">
        <v>38</v>
      </c>
      <c r="B110" s="3796"/>
      <c r="C110" s="3118" t="s">
        <v>2728</v>
      </c>
      <c r="D110" s="3092" t="s">
        <v>2729</v>
      </c>
      <c r="E110" s="3118">
        <v>0.1</v>
      </c>
      <c r="F110" s="3118">
        <v>15</v>
      </c>
    </row>
    <row r="111" spans="1:6" ht="24">
      <c r="A111" s="3118">
        <v>39</v>
      </c>
      <c r="B111" s="3796"/>
      <c r="C111" s="3118" t="s">
        <v>2730</v>
      </c>
      <c r="D111" s="3092" t="s">
        <v>2731</v>
      </c>
      <c r="E111" s="3118">
        <v>0.1</v>
      </c>
      <c r="F111" s="3118">
        <v>15</v>
      </c>
    </row>
    <row r="112" spans="1:6" ht="24">
      <c r="A112" s="3118">
        <v>40</v>
      </c>
      <c r="B112" s="3795"/>
      <c r="C112" s="3118" t="s">
        <v>2732</v>
      </c>
      <c r="D112" s="3092" t="s">
        <v>2733</v>
      </c>
      <c r="E112" s="3118">
        <v>0.1</v>
      </c>
      <c r="F112" s="3118">
        <v>15</v>
      </c>
    </row>
    <row r="113" spans="1:6" ht="24">
      <c r="A113" s="3118">
        <v>41</v>
      </c>
      <c r="B113" s="3793" t="s">
        <v>2734</v>
      </c>
      <c r="C113" s="3118" t="s">
        <v>2735</v>
      </c>
      <c r="D113" s="3092" t="s">
        <v>2736</v>
      </c>
      <c r="E113" s="3118">
        <v>0.1</v>
      </c>
      <c r="F113" s="3118">
        <v>15</v>
      </c>
    </row>
    <row r="114" spans="1:6" ht="24">
      <c r="A114" s="3118">
        <v>42</v>
      </c>
      <c r="B114" s="3793"/>
      <c r="C114" s="3118" t="s">
        <v>2737</v>
      </c>
      <c r="D114" s="3092" t="s">
        <v>2738</v>
      </c>
      <c r="E114" s="3118">
        <v>0.1</v>
      </c>
      <c r="F114" s="3118">
        <v>15</v>
      </c>
    </row>
    <row r="115" spans="1:6" ht="24">
      <c r="A115" s="3118">
        <v>43</v>
      </c>
      <c r="B115" s="3793"/>
      <c r="C115" s="3118" t="s">
        <v>2739</v>
      </c>
      <c r="D115" s="3092" t="s">
        <v>2740</v>
      </c>
      <c r="E115" s="3118">
        <v>0.1</v>
      </c>
      <c r="F115" s="3118">
        <v>15</v>
      </c>
    </row>
    <row r="116" spans="1:6" ht="24">
      <c r="A116" s="3118">
        <v>44</v>
      </c>
      <c r="B116" s="3794" t="s">
        <v>2741</v>
      </c>
      <c r="C116" s="3118" t="s">
        <v>2742</v>
      </c>
      <c r="D116" s="3092" t="s">
        <v>2743</v>
      </c>
      <c r="E116" s="3118">
        <v>0.1</v>
      </c>
      <c r="F116" s="3118">
        <v>15</v>
      </c>
    </row>
    <row r="117" spans="1:6" ht="24">
      <c r="A117" s="3118">
        <v>45</v>
      </c>
      <c r="B117" s="3795"/>
      <c r="C117" s="3092" t="s">
        <v>2744</v>
      </c>
      <c r="D117" s="3092" t="s">
        <v>2745</v>
      </c>
      <c r="E117" s="3118">
        <v>0.1</v>
      </c>
      <c r="F117" s="3118">
        <v>15</v>
      </c>
    </row>
    <row r="118" spans="1:6" ht="24">
      <c r="A118" s="3118">
        <v>46</v>
      </c>
      <c r="B118" s="3794" t="s">
        <v>2746</v>
      </c>
      <c r="C118" s="3118" t="s">
        <v>2747</v>
      </c>
      <c r="D118" s="3092" t="s">
        <v>2748</v>
      </c>
      <c r="E118" s="3118">
        <v>0.1</v>
      </c>
      <c r="F118" s="3118">
        <v>15</v>
      </c>
    </row>
    <row r="119" spans="1:6" ht="24">
      <c r="A119" s="3118">
        <v>47</v>
      </c>
      <c r="B119" s="3795"/>
      <c r="C119" s="3118" t="s">
        <v>2749</v>
      </c>
      <c r="D119" s="3092" t="s">
        <v>2750</v>
      </c>
      <c r="E119" s="3118">
        <v>0.1</v>
      </c>
      <c r="F119" s="3118">
        <v>15</v>
      </c>
    </row>
    <row r="120" spans="1:6" ht="24">
      <c r="A120" s="3118">
        <v>48</v>
      </c>
      <c r="B120" s="3794" t="s">
        <v>2751</v>
      </c>
      <c r="C120" s="3118" t="s">
        <v>2752</v>
      </c>
      <c r="D120" s="3092" t="s">
        <v>2753</v>
      </c>
      <c r="E120" s="3118">
        <v>0.1</v>
      </c>
      <c r="F120" s="3118">
        <v>15</v>
      </c>
    </row>
    <row r="121" spans="1:6" ht="24">
      <c r="A121" s="3118">
        <v>49</v>
      </c>
      <c r="B121" s="3795"/>
      <c r="C121" s="3118" t="s">
        <v>2754</v>
      </c>
      <c r="D121" s="3092" t="s">
        <v>2755</v>
      </c>
      <c r="E121" s="3118">
        <v>0.1</v>
      </c>
      <c r="F121" s="3118">
        <v>15</v>
      </c>
    </row>
    <row r="122" spans="1:6" ht="24">
      <c r="A122" s="3118">
        <v>50</v>
      </c>
      <c r="B122" s="3793" t="s">
        <v>2756</v>
      </c>
      <c r="C122" s="3118" t="s">
        <v>2757</v>
      </c>
      <c r="D122" s="3092" t="s">
        <v>2758</v>
      </c>
      <c r="E122" s="3118">
        <v>0.1</v>
      </c>
      <c r="F122" s="3118">
        <v>15</v>
      </c>
    </row>
    <row r="123" spans="1:6" ht="24">
      <c r="A123" s="3118">
        <v>51</v>
      </c>
      <c r="B123" s="3793"/>
      <c r="C123" s="3118" t="s">
        <v>2759</v>
      </c>
      <c r="D123" s="3092" t="s">
        <v>2760</v>
      </c>
      <c r="E123" s="3118">
        <v>0.1</v>
      </c>
      <c r="F123" s="3118">
        <v>15</v>
      </c>
    </row>
    <row r="124" spans="1:6" ht="24">
      <c r="A124" s="3118">
        <v>52</v>
      </c>
      <c r="B124" s="3793" t="s">
        <v>2761</v>
      </c>
      <c r="C124" s="3118" t="s">
        <v>2762</v>
      </c>
      <c r="D124" s="3092" t="s">
        <v>2763</v>
      </c>
      <c r="E124" s="3118">
        <v>0.1</v>
      </c>
      <c r="F124" s="3118">
        <v>15</v>
      </c>
    </row>
    <row r="125" spans="1:6" ht="24">
      <c r="A125" s="3118">
        <v>53</v>
      </c>
      <c r="B125" s="3793"/>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3" t="s">
        <v>2769</v>
      </c>
      <c r="C127" s="3118" t="s">
        <v>2770</v>
      </c>
      <c r="D127" s="3092" t="s">
        <v>2771</v>
      </c>
      <c r="E127" s="3118">
        <v>0.1</v>
      </c>
      <c r="F127" s="3118">
        <v>15</v>
      </c>
    </row>
    <row r="128" spans="1:6" ht="24">
      <c r="A128" s="3118">
        <v>56</v>
      </c>
      <c r="B128" s="3793"/>
      <c r="C128" s="3118" t="s">
        <v>2772</v>
      </c>
      <c r="D128" s="3092" t="s">
        <v>2773</v>
      </c>
      <c r="E128" s="3118">
        <v>0.1</v>
      </c>
      <c r="F128" s="3118">
        <v>15</v>
      </c>
    </row>
    <row r="129" spans="1:6" ht="24">
      <c r="A129" s="3118">
        <v>57</v>
      </c>
      <c r="B129" s="3793"/>
      <c r="C129" s="3118" t="s">
        <v>2774</v>
      </c>
      <c r="D129" s="3092" t="s">
        <v>2775</v>
      </c>
      <c r="E129" s="3118">
        <v>0.1</v>
      </c>
      <c r="F129" s="3118">
        <v>15</v>
      </c>
    </row>
    <row r="130" spans="1:6" ht="24">
      <c r="A130" s="3118">
        <v>58</v>
      </c>
      <c r="B130" s="3793" t="s">
        <v>2776</v>
      </c>
      <c r="C130" s="3118" t="s">
        <v>2777</v>
      </c>
      <c r="D130" s="3092" t="s">
        <v>2778</v>
      </c>
      <c r="E130" s="3118">
        <v>0.1</v>
      </c>
      <c r="F130" s="3118">
        <v>15</v>
      </c>
    </row>
    <row r="131" spans="1:6" ht="24">
      <c r="A131" s="3118">
        <v>59</v>
      </c>
      <c r="B131" s="3793"/>
      <c r="C131" s="3118" t="s">
        <v>2779</v>
      </c>
      <c r="D131" s="3092" t="s">
        <v>2780</v>
      </c>
      <c r="E131" s="3118">
        <v>0.1</v>
      </c>
      <c r="F131" s="3118">
        <v>15</v>
      </c>
    </row>
    <row r="132" spans="1:6" ht="24">
      <c r="A132" s="3118">
        <v>60</v>
      </c>
      <c r="B132" s="3794" t="s">
        <v>2781</v>
      </c>
      <c r="C132" s="3118" t="s">
        <v>2782</v>
      </c>
      <c r="D132" s="3092" t="s">
        <v>2783</v>
      </c>
      <c r="E132" s="3118">
        <v>0.1</v>
      </c>
      <c r="F132" s="3118">
        <v>15</v>
      </c>
    </row>
    <row r="133" spans="1:6" ht="24">
      <c r="A133" s="3118">
        <v>61</v>
      </c>
      <c r="B133" s="379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3" t="s">
        <v>2789</v>
      </c>
      <c r="C135" s="3118" t="s">
        <v>2790</v>
      </c>
      <c r="D135" s="3092" t="s">
        <v>2791</v>
      </c>
      <c r="E135" s="3118">
        <v>0.1</v>
      </c>
      <c r="F135" s="3118">
        <v>15</v>
      </c>
    </row>
    <row r="136" spans="1:6" ht="24">
      <c r="A136" s="3118">
        <v>64</v>
      </c>
      <c r="B136" s="3793"/>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估价结果一览表（市场价值不需“结果表-1”）</v>
      </c>
      <c r="B3" s="3489"/>
      <c r="C3" s="3489"/>
      <c r="D3" s="3489"/>
      <c r="E3" s="3489"/>
    </row>
    <row r="4" spans="1:5" ht="18" thickBot="1">
      <c r="A4" s="1493"/>
      <c r="B4" s="3487" t="s">
        <v>917</v>
      </c>
      <c r="C4" s="3487"/>
      <c r="D4" s="3487"/>
      <c r="E4" s="1493"/>
    </row>
    <row r="5" spans="1:5" ht="16.2" thickTop="1">
      <c r="A5" s="1491"/>
      <c r="B5" s="3485" t="s">
        <v>909</v>
      </c>
      <c r="C5" s="1494" t="s">
        <v>910</v>
      </c>
      <c r="D5" s="850" t="e">
        <f ca="1">结果表!H101</f>
        <v>#REF!</v>
      </c>
      <c r="E5" s="1491"/>
    </row>
    <row r="6" spans="1:5" ht="15.6">
      <c r="A6" s="1491"/>
      <c r="B6" s="3485"/>
      <c r="C6" s="1494" t="s">
        <v>911</v>
      </c>
      <c r="D6" s="850" t="e">
        <f ca="1">NUMBERSTRING(INT(D5*10000),2)&amp;"元整"</f>
        <v>#REF!</v>
      </c>
      <c r="E6" s="1491"/>
    </row>
    <row r="7" spans="1:5" ht="15.6">
      <c r="A7" s="1491"/>
      <c r="B7" s="3490"/>
      <c r="C7" s="1495" t="s">
        <v>912</v>
      </c>
      <c r="D7" s="851" t="e">
        <f ca="1">结果表!H102</f>
        <v>#REF!</v>
      </c>
      <c r="E7" s="1491"/>
    </row>
    <row r="8" spans="1:5" ht="15.6">
      <c r="A8" s="1491"/>
      <c r="B8" s="3491" t="str">
        <f>结果表!E103</f>
        <v>2.估价师知悉的法定优先受偿款</v>
      </c>
      <c r="C8" s="1496" t="s">
        <v>913</v>
      </c>
      <c r="D8" s="851">
        <f>结果表!H103</f>
        <v>0</v>
      </c>
      <c r="E8" s="1491"/>
    </row>
    <row r="9" spans="1:5" ht="15.6">
      <c r="A9" s="1491"/>
      <c r="B9" s="349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4" t="str">
        <f>结果表!E107</f>
        <v>3.房地产抵押价值</v>
      </c>
      <c r="C13" s="1499" t="s">
        <v>910</v>
      </c>
      <c r="D13" s="853" t="e">
        <f ca="1">结果表!H107</f>
        <v>#REF!</v>
      </c>
      <c r="E13" s="1491"/>
    </row>
    <row r="14" spans="1:5" ht="15.6">
      <c r="A14" s="1491"/>
      <c r="B14" s="3485"/>
      <c r="C14" s="1494" t="s">
        <v>911</v>
      </c>
      <c r="D14" s="850" t="e">
        <f ca="1">NUMBERSTRING(INT(D13*10000),2)&amp;"元整"</f>
        <v>#REF!</v>
      </c>
      <c r="E14" s="1491"/>
    </row>
    <row r="15" spans="1:5" ht="15.6">
      <c r="A15" s="1491"/>
      <c r="B15" s="3490"/>
      <c r="C15" s="1495" t="s">
        <v>921</v>
      </c>
      <c r="D15" s="859" t="e">
        <f ca="1">结果表!H108</f>
        <v>#REF!</v>
      </c>
      <c r="E15" s="1491"/>
    </row>
    <row r="16" spans="1:5" ht="15.6">
      <c r="A16" s="1491"/>
      <c r="B16" s="3491" t="str">
        <f>结果表!E109</f>
        <v>——</v>
      </c>
      <c r="C16" s="1499" t="s">
        <v>922</v>
      </c>
      <c r="D16" s="1500" t="str">
        <f>结果表!H109</f>
        <v>——</v>
      </c>
      <c r="E16" s="1491"/>
    </row>
    <row r="17" spans="1:5" ht="15.6">
      <c r="A17" s="1491"/>
      <c r="B17" s="3492"/>
      <c r="C17" s="1494" t="s">
        <v>923</v>
      </c>
      <c r="D17" s="850" t="e">
        <f>NUMBERSTRING(INT(D16*10000),2)&amp;"元整"</f>
        <v>#VALUE!</v>
      </c>
      <c r="E17" s="1491"/>
    </row>
    <row r="18" spans="1:5" ht="15.6">
      <c r="A18" s="1491"/>
      <c r="B18" s="3493"/>
      <c r="C18" s="1495" t="s">
        <v>912</v>
      </c>
      <c r="D18" s="859" t="str">
        <f>结果表!H110</f>
        <v>——</v>
      </c>
      <c r="E18" s="1491"/>
    </row>
    <row r="19" spans="1:5" ht="15.6">
      <c r="A19" s="1491"/>
      <c r="B19" s="3484" t="str">
        <f>结果表!E111</f>
        <v>——</v>
      </c>
      <c r="C19" s="1499" t="s">
        <v>910</v>
      </c>
      <c r="D19" s="851" t="str">
        <f>结果表!H111</f>
        <v>——</v>
      </c>
      <c r="E19" s="1491"/>
    </row>
    <row r="20" spans="1:5" ht="15.6">
      <c r="A20" s="1491"/>
      <c r="B20" s="3485"/>
      <c r="C20" s="1494" t="s">
        <v>923</v>
      </c>
      <c r="D20" s="850" t="e">
        <f>NUMBERSTRING(INT(D19*10000),2)&amp;"元整"</f>
        <v>#VALUE!</v>
      </c>
      <c r="E20" s="1491"/>
    </row>
    <row r="21" spans="1:5" ht="16.2" thickBot="1">
      <c r="A21" s="1491"/>
      <c r="B21" s="348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28846</v>
      </c>
      <c r="C2" s="2" t="s">
        <v>106</v>
      </c>
      <c r="D2" s="199"/>
      <c r="E2" s="199"/>
      <c r="F2" s="199"/>
      <c r="G2" s="199"/>
    </row>
    <row r="3" spans="1:7" s="200" customFormat="1" ht="18" customHeight="1" thickBot="1">
      <c r="A3" s="203" t="s">
        <v>58</v>
      </c>
      <c r="B3" s="204">
        <f ca="1">ROUND(B2*10000/'数据-汇总表'!E3,0)</f>
        <v>2169198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132.97999999999999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132.97999999999999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7</v>
      </c>
      <c r="D36" s="220"/>
      <c r="E36" s="220"/>
      <c r="F36" s="259">
        <f>'数据-取费表'!B34</f>
        <v>0.1</v>
      </c>
      <c r="G36" s="260" t="s">
        <v>35</v>
      </c>
    </row>
    <row r="37" spans="1:7" s="258" customFormat="1" ht="13.5" customHeight="1">
      <c r="A37" s="780" t="s">
        <v>353</v>
      </c>
      <c r="B37" s="215" t="s">
        <v>91</v>
      </c>
      <c r="C37" s="249">
        <f>ROUND(E37*D37*F34/10000,0)</f>
        <v>3</v>
      </c>
      <c r="D37" s="217">
        <f>'数据-汇总表'!E3</f>
        <v>132.97999999999999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7" t="s">
        <v>341</v>
      </c>
      <c r="B45" s="244" t="s">
        <v>85</v>
      </c>
      <c r="C45" s="245">
        <f>C46</f>
        <v>17</v>
      </c>
      <c r="D45" s="235">
        <f>C47</f>
        <v>4.0000000000000001E-3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109</v>
      </c>
      <c r="D51" s="232"/>
      <c r="E51" s="232"/>
      <c r="F51" s="264"/>
      <c r="G51" s="234" t="s">
        <v>37</v>
      </c>
    </row>
    <row r="52" spans="1:7" s="208" customFormat="1" ht="16.8" thickBot="1">
      <c r="A52" s="265" t="s">
        <v>38</v>
      </c>
      <c r="B52" s="266"/>
      <c r="C52" s="267">
        <f ca="1">C31+C51</f>
        <v>28846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5" t="s">
        <v>3181</v>
      </c>
      <c r="B1" s="380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6" t="s">
        <v>3232</v>
      </c>
      <c r="B1" s="3806"/>
      <c r="C1" s="3806"/>
      <c r="D1" s="3806"/>
      <c r="E1" s="3806"/>
      <c r="F1" s="380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8" t="s">
        <v>2827</v>
      </c>
      <c r="S29" s="3809"/>
      <c r="T29" s="3809"/>
      <c r="U29" s="3809"/>
      <c r="V29" s="3809"/>
      <c r="W29" s="3809"/>
      <c r="X29" s="3165"/>
      <c r="Y29" s="3808" t="s">
        <v>2828</v>
      </c>
      <c r="Z29" s="3809"/>
      <c r="AA29" s="3809"/>
      <c r="AB29" s="3809"/>
      <c r="AC29" s="3809"/>
      <c r="AD29" s="3809"/>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3" t="s">
        <v>2839</v>
      </c>
      <c r="B1" s="3823"/>
      <c r="C1" s="3823"/>
      <c r="D1" s="3823"/>
      <c r="E1" s="3823"/>
      <c r="F1" s="3823"/>
      <c r="G1" s="382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1" t="str">
        <f>IF(项目基本情况!B9="房地产市场价值","估价结果一览表","结果表-2")</f>
        <v>估价结果一览表</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房地产市场价值</v>
      </c>
      <c r="I2" s="3502"/>
    </row>
    <row r="3" spans="1:9" ht="15.6">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132.97999999999999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6">
      <c r="A6" s="3496" t="str">
        <f>结果表!A120</f>
        <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6">
      <c r="A8" s="3496" t="str">
        <f>结果表!A122</f>
        <v/>
      </c>
      <c r="B8" s="3496"/>
      <c r="C8" s="3496"/>
      <c r="D8" s="3496" t="e">
        <f ca="1">结果表!D122</f>
        <v>#REF!</v>
      </c>
      <c r="E8" s="3496"/>
      <c r="F8" s="3496"/>
      <c r="G8" s="3496"/>
      <c r="H8" s="3496"/>
      <c r="I8" s="3496"/>
    </row>
    <row r="9" spans="1:9" ht="15">
      <c r="A9" s="3497" t="s">
        <v>927</v>
      </c>
      <c r="B9" s="3497"/>
      <c r="C9" s="3497"/>
      <c r="D9" s="3497" t="e">
        <f ca="1">结果表!D123</f>
        <v>#REF!</v>
      </c>
      <c r="E9" s="3497"/>
      <c r="F9" s="3497"/>
      <c r="G9" s="3497"/>
      <c r="H9" s="3497"/>
      <c r="I9" s="3497"/>
    </row>
    <row r="10" spans="1:9" ht="15.6">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6">
      <c r="A12" s="3496" t="str">
        <f>结果表!A126</f>
        <v/>
      </c>
      <c r="B12" s="3496"/>
      <c r="C12" s="3496"/>
      <c r="D12" s="3496" t="str">
        <f>结果表!D126</f>
        <v>——</v>
      </c>
      <c r="E12" s="3496"/>
      <c r="F12" s="3496"/>
      <c r="G12" s="3496"/>
      <c r="H12" s="3496"/>
      <c r="I12" s="3496"/>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9" t="s">
        <v>949</v>
      </c>
      <c r="B1" s="3509"/>
      <c r="C1" s="3509"/>
      <c r="D1" s="3509"/>
    </row>
    <row r="2" spans="1:4" ht="17.399999999999999">
      <c r="A2" s="3510" t="s">
        <v>933</v>
      </c>
      <c r="B2" s="3510"/>
      <c r="C2" s="3510"/>
      <c r="D2" s="351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0" t="s">
        <v>939</v>
      </c>
      <c r="B6" s="3510"/>
      <c r="C6" s="3510"/>
      <c r="D6" s="351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1" t="s">
        <v>942</v>
      </c>
      <c r="B11" s="3503"/>
      <c r="C11" s="3503"/>
      <c r="D11" s="3503"/>
    </row>
    <row r="12" spans="1:4" ht="15.6">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spans="1:4" ht="30" customHeight="1">
      <c r="A13" s="3503" t="str">
        <f>IF(项目基本情况!B8="抵押","3.抵押双方在办理抵押登记手续时，应使用本公司出具的正式《房地产评估报告》，特提醒报告使用者注意。","——")</f>
        <v>——</v>
      </c>
      <c r="B13" s="3508"/>
      <c r="C13" s="3508"/>
      <c r="D13" s="3508"/>
    </row>
    <row r="14" spans="1:4" ht="15.75" customHeight="1">
      <c r="A14" s="3503" t="str">
        <f>IF(项目基本情况!B8="抵押","4.本次评估估价师所知悉的法定优先受偿款情况说明如下：","——")</f>
        <v>——</v>
      </c>
      <c r="B14" s="3508"/>
      <c r="C14" s="3508"/>
      <c r="D14" s="3508"/>
    </row>
    <row r="15" spans="1:4" ht="42" customHeight="1">
      <c r="A15" s="3503" t="str">
        <f>IF(项目基本情况!B8="抵押","（1）"&amp;CONCATENATE(项目基本情况!L20,项目基本情况!L21,项目基本情况!L22),"——")</f>
        <v>——</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7" t="s">
        <v>956</v>
      </c>
      <c r="B15" s="3512" t="s">
        <v>109</v>
      </c>
      <c r="C15" s="3513"/>
    </row>
    <row r="16" spans="1:7" ht="14.4">
      <c r="A16" s="3518"/>
      <c r="B16" s="3512" t="s">
        <v>42</v>
      </c>
      <c r="C16" s="3513"/>
    </row>
    <row r="17" spans="1:3" ht="14.4">
      <c r="A17" s="3518"/>
      <c r="B17" s="3515" t="s">
        <v>957</v>
      </c>
      <c r="C17" s="1532" t="s">
        <v>956</v>
      </c>
    </row>
    <row r="18" spans="1:3" ht="14.4">
      <c r="A18" s="3518"/>
      <c r="B18" s="3515"/>
      <c r="C18" s="1532" t="s">
        <v>958</v>
      </c>
    </row>
    <row r="19" spans="1:3" ht="14.4">
      <c r="A19" s="3518"/>
      <c r="B19" s="3515"/>
      <c r="C19" s="1532" t="s">
        <v>959</v>
      </c>
    </row>
    <row r="20" spans="1:3" ht="14.4">
      <c r="A20" s="3519"/>
      <c r="B20" s="3514" t="s">
        <v>960</v>
      </c>
      <c r="C20" s="3513"/>
    </row>
    <row r="21" spans="1:3" ht="14.4">
      <c r="A21" s="1533" t="s">
        <v>961</v>
      </c>
      <c r="B21" s="1534"/>
      <c r="C21" s="1535"/>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2" t="s">
        <v>967</v>
      </c>
    </row>
    <row r="26" spans="1:3" ht="14.4">
      <c r="A26" s="3516"/>
      <c r="B26" s="3515"/>
      <c r="C26" s="1532" t="s">
        <v>968</v>
      </c>
    </row>
    <row r="27" spans="1:3" ht="14.4">
      <c r="A27" s="3516"/>
      <c r="B27" s="3515"/>
      <c r="C27" s="1532" t="s">
        <v>969</v>
      </c>
    </row>
    <row r="28" spans="1:3" ht="14.4">
      <c r="A28" s="3516"/>
      <c r="B28" s="3515"/>
      <c r="C28" s="1532" t="s">
        <v>970</v>
      </c>
    </row>
    <row r="29" spans="1:3" ht="14.4">
      <c r="A29" s="3516"/>
      <c r="B29" s="3515"/>
      <c r="C29" s="1532" t="s">
        <v>971</v>
      </c>
    </row>
    <row r="30" spans="1:3" ht="14.4">
      <c r="A30" s="3516"/>
      <c r="B30" s="3515"/>
      <c r="C30" s="1532" t="s">
        <v>972</v>
      </c>
    </row>
    <row r="31" spans="1:3" ht="14.4">
      <c r="A31" s="3516"/>
      <c r="B31" s="3515"/>
      <c r="C31" s="1532" t="s">
        <v>973</v>
      </c>
    </row>
    <row r="32" spans="1:3" ht="14.4">
      <c r="A32" s="3516"/>
      <c r="B32" s="3515"/>
      <c r="C32" s="1532" t="s">
        <v>974</v>
      </c>
    </row>
    <row r="33" spans="1:3" ht="14.4">
      <c r="A33" s="3516"/>
      <c r="B33" s="351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45841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2025-07-03T05:26:31Z</dcterms:modified>
</cp:coreProperties>
</file>