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40" yWindow="30" windowWidth="15615" windowHeight="1252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车库" sheetId="81" r:id="rId23"/>
    <sheet name="收益法-商业"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2" r:id="rId48"/>
  </sheets>
  <externalReferences>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74" l="1"/>
  <c r="E46" i="39" l="1"/>
  <c r="G46" i="39"/>
  <c r="I46" i="39"/>
  <c r="V22" i="1" l="1"/>
  <c r="B15" i="74" l="1"/>
  <c r="C14" i="74"/>
  <c r="B14" i="74"/>
  <c r="AN13" i="3" l="1"/>
  <c r="AL13" i="3"/>
  <c r="D3" i="39" l="1"/>
  <c r="I38" i="39" l="1"/>
  <c r="G38" i="39"/>
  <c r="E38" i="39"/>
  <c r="C38" i="39"/>
  <c r="E117" i="39"/>
  <c r="F117" i="39" s="1"/>
  <c r="G117" i="39" s="1"/>
  <c r="H117" i="39" s="1"/>
  <c r="I117" i="39" s="1"/>
  <c r="D117" i="39"/>
  <c r="E116" i="39"/>
  <c r="F116" i="39" s="1"/>
  <c r="G116" i="39" s="1"/>
  <c r="H116" i="39" s="1"/>
  <c r="I116" i="39" s="1"/>
  <c r="D116" i="39"/>
  <c r="D70" i="39"/>
  <c r="E70" i="39" s="1"/>
  <c r="F70" i="39" s="1"/>
  <c r="G70" i="39" s="1"/>
  <c r="H70" i="39" s="1"/>
  <c r="I70" i="39" s="1"/>
  <c r="J70" i="39" s="1"/>
  <c r="K70" i="39" s="1"/>
  <c r="L70" i="39" s="1"/>
  <c r="M70" i="39" s="1"/>
  <c r="N70" i="39" s="1"/>
  <c r="I7" i="39"/>
  <c r="G7" i="39"/>
  <c r="E7" i="39"/>
  <c r="T72" i="82"/>
  <c r="T71" i="82"/>
  <c r="T70" i="82"/>
  <c r="T69" i="82"/>
  <c r="T68" i="82"/>
  <c r="T67" i="82"/>
  <c r="T66" i="82"/>
  <c r="T65" i="82"/>
  <c r="U64" i="82"/>
  <c r="T64" i="82"/>
  <c r="T63" i="82"/>
  <c r="T62" i="82"/>
  <c r="T61" i="82"/>
  <c r="T60" i="82"/>
  <c r="T59" i="82"/>
  <c r="T58" i="82"/>
  <c r="T57" i="82"/>
  <c r="T56" i="82"/>
  <c r="T55" i="82"/>
  <c r="T54" i="82"/>
  <c r="T53" i="82"/>
  <c r="T52" i="82"/>
  <c r="T51" i="82"/>
  <c r="T50" i="82"/>
  <c r="T49" i="82"/>
  <c r="T48" i="82"/>
  <c r="T47" i="82"/>
  <c r="T46" i="82"/>
  <c r="T45" i="82"/>
  <c r="T44" i="82"/>
  <c r="T43" i="82"/>
  <c r="T42" i="82"/>
  <c r="T41" i="82"/>
  <c r="T40" i="82"/>
  <c r="T39" i="82"/>
  <c r="T38" i="82"/>
  <c r="T37" i="82"/>
  <c r="T36" i="82"/>
  <c r="T35" i="82"/>
  <c r="T34" i="82"/>
  <c r="T33" i="82"/>
  <c r="T32" i="82"/>
  <c r="T31" i="82"/>
  <c r="T30" i="82"/>
  <c r="T29" i="82"/>
  <c r="T28" i="82"/>
  <c r="T27" i="82"/>
  <c r="T26" i="82"/>
  <c r="T25" i="82"/>
  <c r="T24" i="82"/>
  <c r="T23" i="82"/>
  <c r="T22" i="82"/>
  <c r="T21" i="82"/>
  <c r="T20" i="82"/>
  <c r="T19" i="82"/>
  <c r="T18" i="82"/>
  <c r="T17" i="82"/>
  <c r="T16" i="82"/>
  <c r="T15" i="82"/>
  <c r="T14" i="82"/>
  <c r="T13" i="82"/>
  <c r="T12" i="82"/>
  <c r="T11" i="82"/>
  <c r="T10" i="82"/>
  <c r="T9" i="82"/>
  <c r="T8" i="82"/>
  <c r="T7" i="82"/>
  <c r="T6" i="82"/>
  <c r="T5" i="82"/>
  <c r="T4" i="82"/>
  <c r="T3" i="82"/>
  <c r="T2" i="82"/>
  <c r="Q72" i="81"/>
  <c r="Q59" i="81"/>
  <c r="K59" i="81"/>
  <c r="P74" i="81" s="1"/>
  <c r="F59" i="81"/>
  <c r="Q58" i="81"/>
  <c r="Q51" i="81"/>
  <c r="J50" i="81"/>
  <c r="M47" i="81"/>
  <c r="D46" i="81"/>
  <c r="F34" i="81"/>
  <c r="F62" i="81" s="1"/>
  <c r="F33" i="81"/>
  <c r="F61" i="81" s="1"/>
  <c r="F32" i="81"/>
  <c r="F60" i="81" s="1"/>
  <c r="F31" i="81"/>
  <c r="F28" i="81"/>
  <c r="F23" i="81"/>
  <c r="D23" i="81" s="1"/>
  <c r="F21" i="81"/>
  <c r="M20" i="81"/>
  <c r="F20" i="81"/>
  <c r="M19" i="81"/>
  <c r="M18" i="81"/>
  <c r="F18" i="81"/>
  <c r="M17" i="81"/>
  <c r="F17" i="81"/>
  <c r="F15" i="81"/>
  <c r="G1" i="81"/>
  <c r="D13" i="4"/>
  <c r="F13" i="4" s="1"/>
  <c r="U6" i="1"/>
  <c r="U21" i="1"/>
  <c r="U20" i="1"/>
  <c r="U22" i="1"/>
  <c r="N14" i="1"/>
  <c r="N7" i="1"/>
  <c r="A3" i="3"/>
  <c r="C76" i="81"/>
  <c r="Q71" i="81" l="1"/>
  <c r="D24" i="81"/>
  <c r="P61" i="81"/>
  <c r="D22" i="81"/>
  <c r="M9" i="81"/>
  <c r="F16" i="81"/>
  <c r="J15" i="81"/>
  <c r="M23" i="81"/>
  <c r="L47" i="81"/>
  <c r="F9" i="81"/>
  <c r="M27" i="81"/>
  <c r="M6" i="81"/>
  <c r="M28" i="81"/>
  <c r="M22" i="81"/>
  <c r="F13" i="81"/>
  <c r="F37" i="81"/>
  <c r="F8" i="81"/>
  <c r="F36" i="81"/>
  <c r="F38" i="81"/>
  <c r="M26" i="81"/>
  <c r="M8" i="81"/>
  <c r="F40" i="81"/>
  <c r="F26" i="81"/>
  <c r="F42" i="81"/>
  <c r="M24" i="81"/>
  <c r="F6" i="81"/>
  <c r="F68" i="81" l="1"/>
  <c r="F51" i="81"/>
  <c r="C27" i="81"/>
  <c r="F66" i="81"/>
  <c r="F64" i="81"/>
  <c r="F65" i="81"/>
  <c r="E8" i="1" l="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S27" i="39" s="1"/>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AB34" i="39"/>
  <c r="U40" i="39"/>
  <c r="S42" i="39"/>
  <c r="AA41" i="39"/>
  <c r="W9"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S21" i="39" s="1"/>
  <c r="H21" i="39"/>
  <c r="U21" i="39" s="1"/>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E10" i="76"/>
  <c r="M6" i="15"/>
  <c r="M9" i="15"/>
  <c r="F40" i="15"/>
  <c r="F37" i="15"/>
  <c r="M29" i="15"/>
  <c r="F42" i="67"/>
  <c r="D7" i="73"/>
  <c r="M8" i="67"/>
  <c r="C76" i="67"/>
  <c r="M29" i="81"/>
  <c r="F6" i="73"/>
  <c r="M6" i="67"/>
  <c r="F8" i="15"/>
  <c r="M9" i="67"/>
  <c r="E8" i="76"/>
  <c r="F40" i="67"/>
  <c r="M24" i="67"/>
  <c r="B10" i="76"/>
  <c r="M8" i="15"/>
  <c r="L48" i="81"/>
  <c r="F26" i="67"/>
  <c r="F38" i="67"/>
  <c r="M28" i="15"/>
  <c r="E13" i="76"/>
  <c r="F16" i="15"/>
  <c r="D6" i="73"/>
  <c r="F13" i="67"/>
  <c r="F7" i="67"/>
  <c r="F38" i="15"/>
  <c r="E2" i="68"/>
  <c r="F43" i="81"/>
  <c r="B9" i="76"/>
  <c r="M22" i="15"/>
  <c r="J15" i="67"/>
  <c r="F9" i="67"/>
  <c r="D5" i="73"/>
  <c r="F42" i="15"/>
  <c r="F4" i="73"/>
  <c r="D3" i="73"/>
  <c r="E7" i="76"/>
  <c r="F26" i="15"/>
  <c r="F7" i="81"/>
  <c r="B12" i="76"/>
  <c r="F43" i="15"/>
  <c r="F36" i="67"/>
  <c r="B8" i="76"/>
  <c r="E2" i="69"/>
  <c r="F9" i="15"/>
  <c r="F37" i="67"/>
  <c r="E11" i="76"/>
  <c r="M26" i="67"/>
  <c r="F16" i="67"/>
  <c r="F3" i="73"/>
  <c r="J15" i="15"/>
  <c r="F43" i="67"/>
  <c r="L47" i="67"/>
  <c r="F20" i="31"/>
  <c r="L48" i="15"/>
  <c r="E12" i="76"/>
  <c r="C76" i="15"/>
  <c r="F13" i="15"/>
  <c r="B7" i="76"/>
  <c r="M29" i="67"/>
  <c r="B13" i="76"/>
  <c r="B11" i="76"/>
  <c r="M28" i="67"/>
  <c r="M22" i="67"/>
  <c r="F7" i="73"/>
  <c r="F8" i="67"/>
  <c r="M23" i="67"/>
  <c r="M24" i="15"/>
  <c r="F36" i="15"/>
  <c r="E9" i="76"/>
  <c r="M23" i="15"/>
  <c r="F6" i="67"/>
  <c r="M26" i="15"/>
  <c r="F6" i="15"/>
  <c r="AO13" i="1"/>
  <c r="L48" i="67"/>
  <c r="L47" i="15"/>
  <c r="D4" i="73"/>
  <c r="F5" i="73"/>
  <c r="L56" i="81" l="1"/>
  <c r="L60" i="81"/>
  <c r="L58" i="81"/>
  <c r="L57" i="81"/>
  <c r="C24" i="12"/>
  <c r="C28" i="81"/>
  <c r="G7" i="1"/>
  <c r="J60" i="81"/>
  <c r="Q48" i="81" s="1"/>
  <c r="J57" i="81"/>
  <c r="J55" i="81" s="1"/>
  <c r="J58" i="81" s="1"/>
  <c r="Q50" i="81" s="1"/>
  <c r="N59" i="81"/>
  <c r="I54" i="81"/>
  <c r="J59" i="81"/>
  <c r="J53" i="81"/>
  <c r="L59" i="81"/>
  <c r="J51" i="15"/>
  <c r="W27" i="39"/>
  <c r="U25" i="39"/>
  <c r="U17" i="39"/>
  <c r="W19" i="39"/>
  <c r="F50" i="81"/>
  <c r="C49" i="81" s="1"/>
  <c r="C61" i="81" s="1"/>
  <c r="C6" i="81"/>
  <c r="M7" i="81"/>
  <c r="J6" i="81" s="1"/>
  <c r="F71" i="81"/>
  <c r="M7" i="1"/>
  <c r="AC12" i="39"/>
  <c r="W12" i="39"/>
  <c r="C28" i="67"/>
  <c r="C21" i="68"/>
  <c r="C40" i="69"/>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G30" i="6" s="1"/>
  <c r="G31" i="6" s="1"/>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F27" i="69"/>
  <c r="C36" i="69"/>
  <c r="D9" i="68"/>
  <c r="C16" i="15"/>
  <c r="G1" i="73"/>
  <c r="C16" i="67"/>
  <c r="C16" i="81"/>
  <c r="Q52" i="81" l="1"/>
  <c r="F1" i="81"/>
  <c r="Q57" i="81"/>
  <c r="Q66" i="81"/>
  <c r="Q74" i="81"/>
  <c r="Q61" i="81"/>
  <c r="L46" i="81"/>
  <c r="Q73" i="81"/>
  <c r="Q60" i="81"/>
  <c r="C33" i="81"/>
  <c r="C32" i="81"/>
  <c r="O7" i="1"/>
  <c r="P7" i="1" s="1"/>
  <c r="J18" i="81"/>
  <c r="J19" i="81"/>
  <c r="F11" i="81"/>
  <c r="M11" i="81"/>
  <c r="J10" i="81" s="1"/>
  <c r="J5" i="81" s="1"/>
  <c r="N370" i="46"/>
  <c r="J26" i="43"/>
  <c r="D18" i="53"/>
  <c r="B35" i="72" s="1"/>
  <c r="C7" i="74"/>
  <c r="G26" i="4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67"/>
  <c r="L36" i="43" l="1"/>
  <c r="L37"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81"/>
  <c r="F69" i="81" l="1"/>
  <c r="J29" i="81"/>
  <c r="Q36" i="43"/>
  <c r="M36" i="43"/>
  <c r="P36" i="43"/>
  <c r="O36" i="43"/>
  <c r="N36" i="43"/>
  <c r="C38" i="81"/>
  <c r="C66" i="81"/>
  <c r="C60" i="81"/>
  <c r="C24"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44" i="11"/>
  <c r="D41" i="11" s="1"/>
  <c r="C24" i="11"/>
  <c r="C66" i="67"/>
  <c r="C60" i="67"/>
  <c r="D10" i="69"/>
  <c r="C34" i="69"/>
  <c r="D10" i="68"/>
  <c r="C14" i="67"/>
  <c r="C17" i="15"/>
  <c r="C17" i="81"/>
  <c r="C17" i="67"/>
  <c r="B23" i="1" l="1"/>
  <c r="B24" i="1"/>
  <c r="C29" i="11"/>
  <c r="D27" i="11" s="1"/>
  <c r="C29" i="68"/>
  <c r="D27" i="68" s="1"/>
  <c r="C28" i="11"/>
  <c r="C27" i="11" s="1"/>
  <c r="E7" i="70"/>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C14" i="81"/>
  <c r="C14" i="15"/>
  <c r="C18" i="81" l="1"/>
  <c r="C15" i="81"/>
  <c r="F34" i="68"/>
  <c r="M59" i="81"/>
  <c r="M59" i="15"/>
  <c r="M59" i="67"/>
  <c r="C29" i="12"/>
  <c r="D28" i="12" s="1"/>
  <c r="C26" i="12"/>
  <c r="D25" i="12" s="1"/>
  <c r="C23" i="11"/>
  <c r="C25" i="11"/>
  <c r="C26" i="68"/>
  <c r="D22" i="68" s="1"/>
  <c r="C26" i="11"/>
  <c r="D22" i="11" s="1"/>
  <c r="C18" i="12"/>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11" i="39" s="1"/>
  <c r="C23" i="69"/>
  <c r="E2" i="76"/>
  <c r="B2" i="76"/>
  <c r="I69" i="39"/>
  <c r="J67" i="39"/>
  <c r="D9" i="71"/>
  <c r="I63" i="40"/>
  <c r="H65" i="40"/>
  <c r="I58" i="21"/>
  <c r="J58" i="21" s="1"/>
  <c r="K58" i="21" s="1"/>
  <c r="L58" i="21" s="1"/>
  <c r="M58" i="21" s="1"/>
  <c r="N58" i="21" s="1"/>
  <c r="O58" i="21" s="1"/>
  <c r="H7" i="21" s="1"/>
  <c r="J7" i="21"/>
  <c r="F7" i="21"/>
  <c r="J48" i="35"/>
  <c r="C37" i="68" l="1"/>
  <c r="C19" i="81"/>
  <c r="C20" i="81" s="1"/>
  <c r="C26" i="81" s="1"/>
  <c r="H11" i="39"/>
  <c r="F11" i="39"/>
  <c r="J11" i="39"/>
  <c r="C22" i="11"/>
  <c r="C31" i="11" s="1"/>
  <c r="C36" i="68"/>
  <c r="C34" i="68"/>
  <c r="C21" i="12"/>
  <c r="C22" i="12"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3" i="81" l="1"/>
  <c r="C29" i="81" s="1"/>
  <c r="C38" i="68"/>
  <c r="C35" i="68"/>
  <c r="AA11" i="39"/>
  <c r="S11" i="39"/>
  <c r="W11" i="39"/>
  <c r="AC11" i="39"/>
  <c r="U11" i="39"/>
  <c r="AB11" i="39"/>
  <c r="J7" i="35"/>
  <c r="AC7" i="35" s="1"/>
  <c r="V38" i="35" s="1"/>
  <c r="I38" i="35"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J65" i="40"/>
  <c r="K63" i="40"/>
  <c r="I52" i="21"/>
  <c r="J52" i="21" s="1"/>
  <c r="U7" i="35"/>
  <c r="AB7" i="35"/>
  <c r="T38" i="35" s="1"/>
  <c r="G38" i="35" s="1"/>
  <c r="R49" i="21"/>
  <c r="E48" i="21"/>
  <c r="G52" i="21"/>
  <c r="H52" i="21" s="1"/>
  <c r="G53" i="21"/>
  <c r="H53" i="21" s="1"/>
  <c r="F7" i="35"/>
  <c r="M21" i="81"/>
  <c r="F35" i="81"/>
  <c r="F35" i="67"/>
  <c r="F35" i="15"/>
  <c r="M21" i="15"/>
  <c r="M21" i="67"/>
  <c r="C33" i="68" l="1"/>
  <c r="C39" i="68" s="1"/>
  <c r="C43" i="68" s="1"/>
  <c r="C57" i="81"/>
  <c r="C64" i="81" s="1"/>
  <c r="C13" i="81"/>
  <c r="Q49" i="81"/>
  <c r="C36" i="81"/>
  <c r="J14" i="81"/>
  <c r="J20" i="81"/>
  <c r="J17" i="81" s="1"/>
  <c r="F63" i="81"/>
  <c r="C62" i="81" s="1"/>
  <c r="C59" i="81" s="1"/>
  <c r="C34" i="81"/>
  <c r="C3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2" i="68" l="1"/>
  <c r="C41" i="68" s="1"/>
  <c r="C46" i="68"/>
  <c r="C45" i="68" s="1"/>
  <c r="Q70" i="81"/>
  <c r="C75" i="81"/>
  <c r="C56" i="81"/>
  <c r="C65" i="81" s="1"/>
  <c r="C58" i="81" s="1"/>
  <c r="C67" i="81" s="1"/>
  <c r="C68" i="81" s="1"/>
  <c r="C71" i="81" s="1"/>
  <c r="C37" i="81"/>
  <c r="C30" i="81" s="1"/>
  <c r="C39" i="81" s="1"/>
  <c r="J13" i="81"/>
  <c r="J23" i="81" s="1"/>
  <c r="J22"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C49" i="68" l="1"/>
  <c r="C51" i="68" s="1"/>
  <c r="J16" i="81"/>
  <c r="J25" i="81" s="1"/>
  <c r="C40" i="81"/>
  <c r="B2" i="81" s="1"/>
  <c r="Q69" i="81"/>
  <c r="Q68" i="81" s="1"/>
  <c r="C80" i="81"/>
  <c r="C79" i="81" s="1"/>
  <c r="Q67" i="8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Q47" i="81"/>
  <c r="Q53" i="81" s="1"/>
  <c r="C43" i="81"/>
  <c r="C46" i="81"/>
  <c r="Q65" i="81"/>
  <c r="Q75" i="81" s="1"/>
  <c r="C83" i="81"/>
  <c r="C82" i="81" s="1"/>
  <c r="Q56" i="81"/>
  <c r="Q62" i="81" s="1"/>
  <c r="B3" i="81"/>
  <c r="D6" i="12" s="1"/>
  <c r="D8" i="12"/>
  <c r="Q65" i="67"/>
  <c r="Q66"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Q57" i="67" l="1"/>
  <c r="Q75" i="67"/>
  <c r="Q62" i="67"/>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U7" i="39"/>
  <c r="AB7" i="39"/>
  <c r="T47" i="39" s="1"/>
  <c r="G47" i="39" s="1"/>
  <c r="J7" i="40"/>
  <c r="F7" i="40"/>
  <c r="H7" i="40"/>
  <c r="AO10" i="1"/>
  <c r="AO12" i="1"/>
  <c r="AO7" i="1"/>
  <c r="AO8" i="1"/>
  <c r="AO11" i="1"/>
  <c r="AO6" i="1"/>
  <c r="AO9" i="1"/>
  <c r="R48" i="39" l="1"/>
  <c r="C48" i="39" s="1"/>
  <c r="C31" i="12"/>
  <c r="C23" i="12"/>
  <c r="Q66" i="15"/>
  <c r="Q75" i="15" s="1"/>
  <c r="Q62" i="15"/>
  <c r="B9" i="70"/>
  <c r="B11" i="70"/>
  <c r="B7" i="70"/>
  <c r="B10" i="70"/>
  <c r="B12" i="70"/>
  <c r="B6" i="70"/>
  <c r="B8" i="70"/>
  <c r="B3" i="15"/>
  <c r="C6" i="12"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0" i="12"/>
  <c r="C28" i="12" s="1"/>
  <c r="C27" i="12"/>
  <c r="C25" i="12"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C32" i="12"/>
  <c r="B2" i="12" s="1"/>
  <c r="C42" i="40"/>
  <c r="C43" i="40"/>
  <c r="E47" i="40"/>
  <c r="F47" i="40" s="1"/>
  <c r="E46" i="40"/>
  <c r="F46" i="40" s="1"/>
  <c r="I47" i="40"/>
  <c r="J47" i="40" s="1"/>
  <c r="D19" i="9"/>
  <c r="C6" i="68" l="1"/>
  <c r="C7" i="68" s="1"/>
  <c r="C5" i="68" s="1"/>
  <c r="D102" i="9"/>
  <c r="D21" i="9"/>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C23" i="68" l="1"/>
  <c r="C20" i="68"/>
  <c r="D103" i="9"/>
  <c r="C28" i="68" l="1"/>
  <c r="C27" i="68" s="1"/>
  <c r="C25" i="68"/>
  <c r="C22" i="68" s="1"/>
  <c r="B6" i="74"/>
  <c r="D6" i="74" s="1"/>
  <c r="C31" i="68" l="1"/>
  <c r="C52" i="68" s="1"/>
  <c r="B2" i="68" l="1"/>
  <c r="C57" i="68"/>
  <c r="C56" i="68" s="1"/>
  <c r="C19" i="9"/>
  <c r="C21" i="9" l="1"/>
  <c r="C102" i="9"/>
  <c r="D22" i="9"/>
  <c r="G19" i="9"/>
  <c r="G21" i="9" s="1"/>
  <c r="B3" i="68"/>
  <c r="C20" i="9"/>
  <c r="C103" i="9" l="1"/>
  <c r="G20" i="9"/>
  <c r="C32" i="9" s="1"/>
  <c r="D35" i="9"/>
  <c r="C35" i="9" l="1"/>
  <c r="C34" i="9" s="1"/>
  <c r="H118" i="9"/>
  <c r="I118" i="9" s="1"/>
  <c r="D34" i="9"/>
  <c r="H119" i="9" l="1"/>
  <c r="H5" i="52" s="1"/>
  <c r="C105" i="9"/>
  <c r="H102" i="9"/>
  <c r="D7" i="53" s="1"/>
  <c r="B21" i="72" s="1"/>
  <c r="I4" i="52"/>
  <c r="C104" i="9"/>
  <c r="D14" i="74"/>
  <c r="H4" i="52"/>
  <c r="F118" i="9"/>
  <c r="F119" i="9" s="1"/>
  <c r="F5" i="52" s="1"/>
  <c r="B53" i="72" s="1"/>
  <c r="H101" i="9"/>
  <c r="M48" i="9" s="1"/>
  <c r="D118" i="9"/>
  <c r="D45" i="9"/>
  <c r="C64" i="9" s="1"/>
  <c r="C63" i="9" s="1"/>
  <c r="C67" i="9" s="1"/>
  <c r="E14" i="74" l="1"/>
  <c r="B5" i="74"/>
  <c r="F14" i="74"/>
  <c r="G118" i="9"/>
  <c r="F4" i="52"/>
  <c r="B51" i="72" s="1"/>
  <c r="H107" i="9"/>
  <c r="D5" i="53"/>
  <c r="D119" i="9"/>
  <c r="D5" i="52" s="1"/>
  <c r="B49" i="72" s="1"/>
  <c r="D4" i="52"/>
  <c r="B47" i="72" s="1"/>
  <c r="C93" i="9"/>
  <c r="C86" i="9" s="1"/>
  <c r="C78" i="9"/>
  <c r="C73" i="9" s="1"/>
  <c r="C85" i="9"/>
  <c r="D53" i="9"/>
  <c r="C72" i="9"/>
  <c r="D55" i="9"/>
  <c r="M53" i="9" s="1"/>
  <c r="D52" i="9"/>
  <c r="C68" i="9"/>
  <c r="D54" i="9" s="1"/>
  <c r="D59" i="9"/>
  <c r="M55" i="9" s="1"/>
  <c r="D5" i="74" l="1"/>
  <c r="C5" i="74"/>
  <c r="G4" i="52"/>
  <c r="B52" i="72" s="1"/>
  <c r="E118" i="9"/>
  <c r="E4" i="52" s="1"/>
  <c r="B48" i="72" s="1"/>
  <c r="C95" i="9"/>
  <c r="C96" i="9" s="1"/>
  <c r="E96" i="9" s="1"/>
  <c r="E97" i="9" s="1"/>
  <c r="D13" i="53"/>
  <c r="D122" i="9"/>
  <c r="H108" i="9"/>
  <c r="D6" i="53"/>
  <c r="B22" i="72" s="1"/>
  <c r="B20" i="72"/>
  <c r="C79" i="9"/>
  <c r="C80" i="9" s="1"/>
  <c r="E80" i="9" s="1"/>
  <c r="E81" i="9" s="1"/>
  <c r="D8" i="52" l="1"/>
  <c r="D123" i="9"/>
  <c r="D9" i="52" s="1"/>
  <c r="C6" i="74"/>
  <c r="D15" i="53"/>
  <c r="B31" i="72" s="1"/>
  <c r="B30" i="72"/>
  <c r="D14" i="53"/>
  <c r="B32" i="72" s="1"/>
  <c r="C81" i="9"/>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<sst xmlns="http://schemas.openxmlformats.org/spreadsheetml/2006/main" count="9370" uniqueCount="3785">
  <si>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</si>
  <si>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</si>
  <si>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</si>
  <si>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</si>
  <si>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</si>
  <si>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</si>
  <si>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</si>
  <si>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</si>
  <si>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</si>
  <si>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</si>
  <si>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</si>
  <si>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</si>
  <si>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</si>
  <si>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</si>
  <si>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</si>
  <si>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</si>
  <si>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</si>
  <si>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</si>
  <si>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</si>
  <si>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</si>
  <si>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</si>
  <si>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</si>
  <si>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</si>
  <si>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</si>
  <si>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</si>
  <si>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</si>
  <si>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</si>
  <si>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</si>
  <si>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</si>
  <si>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</si>
  <si>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</si>
  <si>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</si>
  <si>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</si>
  <si>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</si>
  <si>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</si>
  <si>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</si>
  <si>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</si>
  <si>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</si>
  <si>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</si>
  <si>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</si>
  <si>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</si>
  <si>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</si>
  <si>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</si>
  <si>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</si>
  <si>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</si>
  <si>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</si>
  <si>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</si>
  <si>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</si>
  <si>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</si>
  <si>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</si>
  <si>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</si>
  <si>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</si>
  <si>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</si>
  <si>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</si>
  <si>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</si>
  <si>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</si>
  <si>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</si>
  <si>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</si>
  <si>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</si>
  <si>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</si>
  <si>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</si>
  <si>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</si>
  <si>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</si>
  <si>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</si>
  <si>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</si>
  <si>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</si>
  <si>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</si>
  <si>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</si>
  <si>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</si>
  <si>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</si>
  <si>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</si>
  <si>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</si>
  <si>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</si>
  <si>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</si>
  <si>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</si>
  <si>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</si>
  <si>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</si>
  <si>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</si>
  <si>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</si>
  <si>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</si>
  <si>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</si>
  <si>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</si>
  <si>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</si>
  <si>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</si>
  <si>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</si>
  <si>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</si>
  <si>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</si>
  <si>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</si>
  <si>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</si>
  <si>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</si>
  <si>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</si>
  <si>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</si>
  <si>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</si>
  <si>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</si>
  <si>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</si>
  <si>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</si>
  <si>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</si>
  <si>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</si>
  <si>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</si>
  <si>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</si>
  <si>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</si>
  <si>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</si>
  <si>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</si>
  <si>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</si>
  <si>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</si>
  <si>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</si>
  <si>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</si>
  <si>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</si>
  <si>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</si>
  <si>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</si>
  <si>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</si>
  <si>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</si>
  <si>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</si>
  <si>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</si>
  <si>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</si>
  <si>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</si>
  <si>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</si>
  <si>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</si>
  <si>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</si>
  <si>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</si>
  <si>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</si>
  <si>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</si>
  <si>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</si>
  <si>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</si>
  <si>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</si>
  <si>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</si>
  <si>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</si>
  <si>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</si>
  <si>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</si>
  <si>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</si>
  <si>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</si>
  <si>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</si>
  <si>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</si>
  <si>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</si>
  <si>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</si>
  <si>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</si>
  <si>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</si>
  <si>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</si>
  <si>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</si>
  <si>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</si>
  <si>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</si>
  <si>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</si>
  <si>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</si>
  <si>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</si>
  <si>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</si>
  <si>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</si>
  <si>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</si>
  <si>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</si>
  <si>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</si>
  <si>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</si>
  <si>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</si>
  <si>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</si>
  <si>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</si>
  <si>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</si>
  <si>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</si>
  <si>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</si>
  <si>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</si>
  <si>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</si>
  <si>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</si>
  <si>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</si>
  <si>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</si>
  <si>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</si>
  <si>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</si>
  <si>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</si>
  <si>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</si>
  <si>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</si>
  <si>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</si>
  <si>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</si>
  <si>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</si>
  <si>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</si>
  <si>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</si>
  <si>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</si>
  <si>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</si>
  <si>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</si>
  <si>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</si>
  <si>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</si>
  <si>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</si>
  <si>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</si>
  <si>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</si>
  <si>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</si>
  <si>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</si>
  <si>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</si>
  <si>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</si>
  <si>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</si>
  <si>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</si>
  <si>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</si>
  <si>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</si>
  <si>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</si>
  <si>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</si>
  <si>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</si>
  <si>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</si>
  <si>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</si>
  <si>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</si>
  <si>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</si>
  <si>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</si>
  <si>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</si>
  <si>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</si>
  <si>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</si>
  <si>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</si>
  <si>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</si>
  <si>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</si>
  <si>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</si>
  <si>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</si>
  <si>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</si>
  <si>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</si>
  <si>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</si>
  <si>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</si>
  <si>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</si>
  <si>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</si>
  <si>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</si>
  <si>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</si>
  <si>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</si>
  <si>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</si>
  <si>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</si>
  <si>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</si>
  <si>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</si>
  <si>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</si>
  <si>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</si>
  <si>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</si>
  <si>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</si>
  <si>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</si>
  <si>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</si>
  <si>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</si>
  <si>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</si>
  <si>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</si>
  <si>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</si>
  <si>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</si>
  <si>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</si>
  <si>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</si>
  <si>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</si>
  <si>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</si>
  <si>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</si>
  <si>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</si>
  <si>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</si>
  <si>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</si>
  <si>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</si>
  <si>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</si>
  <si>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</si>
  <si>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</si>
  <si>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</si>
  <si>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</si>
  <si>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</si>
  <si>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</si>
  <si>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</si>
  <si>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</si>
  <si>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</si>
  <si>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</si>
  <si>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</si>
  <si>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</si>
  <si>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</si>
  <si>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</si>
  <si>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</si>
  <si>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</si>
  <si>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</si>
  <si>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</si>
  <si>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</si>
  <si>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</si>
  <si>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</si>
  <si>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</si>
  <si>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</si>
  <si>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</si>
  <si>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</si>
  <si>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</si>
  <si>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</si>
  <si>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</si>
  <si>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</si>
  <si>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</si>
  <si>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</si>
  <si>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</si>
  <si>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</si>
  <si>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</si>
  <si>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</si>
  <si>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</si>
  <si>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</si>
  <si>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</si>
  <si>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</si>
  <si>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</si>
  <si>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</si>
  <si>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</si>
  <si>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</si>
  <si>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</si>
  <si>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</si>
  <si>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</si>
  <si>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</si>
  <si>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</si>
  <si>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</si>
  <si>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</si>
  <si>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</si>
  <si>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</si>
  <si>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</si>
  <si>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</si>
  <si>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</si>
  <si>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</si>
  <si>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</si>
  <si>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</si>
  <si>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</si>
  <si>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</si>
  <si>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</si>
  <si>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</si>
  <si>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</si>
  <si>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</si>
  <si>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</si>
  <si>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</si>
  <si>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</si>
  <si>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</si>
  <si>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</si>
  <si>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</si>
  <si>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</si>
  <si>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</si>
  <si>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</si>
  <si>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</si>
  <si>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</si>
  <si>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</si>
  <si>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</si>
  <si>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</si>
  <si>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</si>
  <si>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</si>
  <si>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</si>
  <si>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</si>
  <si>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</si>
  <si>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</si>
  <si>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</si>
  <si>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</si>
  <si>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</si>
  <si>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</si>
  <si>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</si>
  <si>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</si>
  <si>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</si>
  <si>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</si>
  <si>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</si>
  <si>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</si>
  <si>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</si>
  <si>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</si>
  <si>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</si>
  <si>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</si>
  <si>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</si>
  <si>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</si>
  <si>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</si>
  <si>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</si>
  <si>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</si>
  <si>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</si>
  <si>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</si>
  <si>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</si>
  <si>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</si>
  <si>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</si>
  <si>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</si>
  <si>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</si>
  <si>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</si>
  <si>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</si>
  <si>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</si>
  <si>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</si>
  <si>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</si>
  <si>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</si>
  <si>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</si>
  <si>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</si>
  <si>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</si>
  <si>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</si>
  <si>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</si>
  <si>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</si>
  <si>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</si>
  <si>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</si>
  <si>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</si>
  <si>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</si>
  <si>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</si>
  <si>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</si>
  <si>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</si>
  <si>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</si>
  <si>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</si>
  <si>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</si>
  <si>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</si>
  <si>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</si>
  <si>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</si>
  <si>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</si>
  <si>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</si>
  <si>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</si>
  <si>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</si>
  <si>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</si>
  <si>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</si>
  <si>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</si>
  <si>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</si>
  <si>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</si>
  <si>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</si>
  <si>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</si>
  <si>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</si>
  <si>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</si>
  <si>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</si>
  <si>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</si>
  <si>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</si>
  <si>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</si>
  <si>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</si>
  <si>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</si>
  <si>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</si>
  <si>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</si>
  <si>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</si>
  <si>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</si>
  <si>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</si>
  <si>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</si>
  <si>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</si>
  <si>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</si>
  <si>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</si>
  <si>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</si>
  <si>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</si>
  <si>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</si>
  <si>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</si>
  <si>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</si>
  <si>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</si>
  <si>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</si>
  <si>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</si>
  <si>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</si>
  <si>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</si>
  <si>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</si>
  <si>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</si>
  <si>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</si>
  <si>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</si>
  <si>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</si>
  <si>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</si>
  <si>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</si>
  <si>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</si>
  <si>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</si>
  <si>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</si>
  <si>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</si>
  <si>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</si>
  <si>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</si>
  <si>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</si>
  <si>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</si>
  <si>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</si>
  <si>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</si>
  <si>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</si>
  <si>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</si>
  <si>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</si>
  <si>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</si>
  <si>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</si>
  <si>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</si>
  <si>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</si>
  <si>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</si>
  <si>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</si>
  <si>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</si>
  <si>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</si>
  <si>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</si>
  <si>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</si>
  <si>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</si>
  <si>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</si>
  <si>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</si>
  <si>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</si>
  <si>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</si>
  <si>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</si>
  <si>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</si>
  <si>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</si>
  <si>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</si>
  <si>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</si>
  <si>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</si>
  <si>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</si>
  <si>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</si>
  <si>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</si>
  <si>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</si>
  <si>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</si>
  <si>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</si>
  <si>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</si>
  <si>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</si>
  <si>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</si>
  <si>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</si>
  <si>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</si>
  <si>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</si>
  <si>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</si>
  <si>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</si>
  <si>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</si>
  <si>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</si>
  <si>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</si>
  <si>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</si>
  <si>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</si>
  <si>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</si>
  <si>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</si>
  <si>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</si>
  <si>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</si>
  <si>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</si>
  <si>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</si>
  <si>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</si>
  <si>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</si>
  <si>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</si>
  <si>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</si>
  <si>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</si>
  <si>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</si>
  <si>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</si>
  <si>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</si>
  <si>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</si>
  <si>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</si>
  <si>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</si>
  <si>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</si>
  <si>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</si>
  <si>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</si>
  <si>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</si>
  <si>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</si>
  <si>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</si>
  <si>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</si>
  <si>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</si>
  <si>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</si>
  <si>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</si>
  <si>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</si>
  <si>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</si>
  <si>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</si>
  <si>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</si>
  <si>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</si>
  <si>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</si>
  <si>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</si>
  <si>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</si>
  <si>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</si>
  <si>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</si>
  <si>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</si>
  <si>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</si>
  <si>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</si>
  <si>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</si>
  <si>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</si>
  <si>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</si>
  <si>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</si>
  <si>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</si>
  <si>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</si>
  <si>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</si>
  <si>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</si>
  <si>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</si>
  <si>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</si>
  <si>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</si>
  <si>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</si>
  <si>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</si>
  <si>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</si>
  <si>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</si>
  <si>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</si>
  <si>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</si>
  <si>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</si>
  <si>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</si>
  <si>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</si>
  <si>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</si>
  <si>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</si>
  <si>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</si>
  <si>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</si>
  <si>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</si>
  <si>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</si>
  <si>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</si>
  <si>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</si>
  <si>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</si>
  <si>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</si>
  <si>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</si>
  <si>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</si>
  <si>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</si>
  <si>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</si>
  <si>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</si>
  <si>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</si>
  <si>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</si>
  <si>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</si>
  <si>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</si>
  <si>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</si>
  <si>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</si>
  <si>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</si>
  <si>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</si>
  <si>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</si>
  <si>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</si>
  <si>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</si>
  <si>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</si>
  <si>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</si>
  <si>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</si>
  <si>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</si>
  <si>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</si>
  <si>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</si>
  <si>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</si>
  <si>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</si>
  <si>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</si>
  <si>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</si>
  <si>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</si>
  <si>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</si>
  <si>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</si>
  <si>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</si>
  <si>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</si>
  <si>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</si>
  <si>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</si>
  <si>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</si>
  <si>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</si>
  <si>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</si>
  <si>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</si>
  <si>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</si>
  <si>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</si>
  <si>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</si>
  <si>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</si>
  <si>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</si>
  <si>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</si>
  <si>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</si>
  <si>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</si>
  <si>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</si>
  <si>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</si>
  <si>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</si>
  <si>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</si>
  <si>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</si>
  <si>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</si>
  <si>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</si>
  <si>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</si>
  <si>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</si>
  <si>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</si>
  <si>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</si>
  <si>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</si>
  <si>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</si>
  <si>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</si>
  <si>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</si>
  <si>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</si>
  <si>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</si>
  <si>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</si>
  <si>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</si>
  <si>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</si>
  <si>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</si>
  <si>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</si>
  <si>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</si>
  <si>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</si>
  <si>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</si>
  <si>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</si>
  <si>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</si>
  <si>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</si>
  <si>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</si>
  <si>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</si>
  <si>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</si>
  <si>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</si>
  <si>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</si>
  <si>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</si>
  <si>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</si>
  <si>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</si>
  <si>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</si>
  <si>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</si>
  <si>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</si>
  <si>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</si>
  <si>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</si>
  <si>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</si>
  <si>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</si>
  <si>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</si>
  <si>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</si>
  <si>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</si>
  <si>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</si>
  <si>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</si>
  <si>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</si>
  <si>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</si>
  <si>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</si>
  <si>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</si>
  <si>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</si>
  <si>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</si>
  <si>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</si>
  <si>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</si>
  <si>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</si>
  <si>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</si>
  <si>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</si>
  <si>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</si>
  <si>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</si>
  <si>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</si>
  <si>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</si>
  <si>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</si>
  <si>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</si>
  <si>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</si>
  <si>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</si>
  <si>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</si>
  <si>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</si>
  <si>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</si>
  <si>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</si>
  <si>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</si>
  <si>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</si>
  <si>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</si>
  <si>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</si>
  <si>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</si>
  <si>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</si>
  <si>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</si>
  <si>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</si>
  <si>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</si>
  <si>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</si>
  <si>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</si>
  <si>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</si>
  <si>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</si>
  <si>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</si>
  <si>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</si>
  <si>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</si>
  <si>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</si>
  <si>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</si>
  <si>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</si>
  <si>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</si>
  <si>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</si>
  <si>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</si>
  <si>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</si>
  <si>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</si>
  <si>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</si>
  <si>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</si>
  <si>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</si>
  <si>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</si>
  <si>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</si>
  <si>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</si>
  <si>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</si>
  <si>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</si>
  <si>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</si>
  <si>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</si>
  <si>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</si>
  <si>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</si>
  <si>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</si>
  <si>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</si>
  <si>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</si>
  <si>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</si>
  <si>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</si>
  <si>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</si>
  <si>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</si>
  <si>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</si>
  <si>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</si>
  <si>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</si>
  <si>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</si>
  <si>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</si>
  <si>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</si>
  <si>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</si>
  <si>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</si>
  <si>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</si>
  <si>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</si>
  <si>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</si>
  <si>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</si>
  <si>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</si>
  <si>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</si>
  <si>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</si>
  <si>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</si>
  <si>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</si>
  <si>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</si>
  <si>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</si>
  <si>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</si>
  <si>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</si>
  <si>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</si>
  <si>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</si>
  <si>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</si>
  <si>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</si>
  <si>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</si>
  <si>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</si>
  <si>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</si>
  <si>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</si>
  <si>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</si>
  <si>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</si>
  <si>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</si>
  <si>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</si>
  <si>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</si>
  <si>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</si>
  <si>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</si>
  <si>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</si>
  <si>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</si>
  <si>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</si>
  <si>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</si>
  <si>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</si>
  <si>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</si>
  <si>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</si>
  <si>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</si>
  <si>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</si>
  <si>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</si>
  <si>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</si>
  <si>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</si>
  <si>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</si>
  <si>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</si>
  <si>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</si>
  <si>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</si>
  <si>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</si>
  <si>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</si>
  <si>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</si>
  <si>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</si>
  <si>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</si>
  <si>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</si>
  <si>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</si>
  <si>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</si>
  <si>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</si>
  <si>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</si>
  <si>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</si>
  <si>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</si>
  <si>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</si>
  <si>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</si>
  <si>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</si>
  <si>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</si>
  <si>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</si>
  <si>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</si>
  <si>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</si>
  <si>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</si>
  <si>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</si>
  <si>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</si>
  <si>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</si>
  <si>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</si>
  <si>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</si>
  <si>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</si>
  <si>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</si>
  <si>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</si>
  <si>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</si>
  <si>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</si>
  <si>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</si>
  <si>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</si>
  <si>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</si>
  <si>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</si>
  <si>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</si>
  <si>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</si>
  <si>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</si>
  <si>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</si>
  <si>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</si>
  <si>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</si>
  <si>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</si>
  <si>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</si>
  <si>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</si>
  <si>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</si>
  <si>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</si>
  <si>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</si>
  <si>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</si>
  <si>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</si>
  <si>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</si>
  <si>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</si>
  <si>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</si>
  <si>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</si>
  <si>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</si>
  <si>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</si>
  <si>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</si>
  <si>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</si>
  <si>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</si>
  <si>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</si>
  <si>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</si>
  <si>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</si>
  <si>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</si>
  <si>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</si>
  <si>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</si>
  <si>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</si>
  <si>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</si>
  <si>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</si>
  <si>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</si>
  <si>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</si>
  <si>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</si>
  <si>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</si>
  <si>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</si>
  <si>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</si>
  <si>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</si>
  <si>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</si>
  <si>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</si>
  <si>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</si>
  <si>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</si>
  <si>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</si>
  <si>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</si>
  <si>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</si>
  <si>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</si>
  <si>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</si>
  <si>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</si>
  <si>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</si>
  <si>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</si>
  <si>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</si>
  <si>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</si>
  <si>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</si>
  <si>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</si>
  <si>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</si>
  <si>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</si>
  <si>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</si>
  <si>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</si>
  <si>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</si>
  <si>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</si>
  <si>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</si>
  <si>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</si>
  <si>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</si>
  <si>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</si>
  <si>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</si>
  <si>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</si>
  <si>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</si>
  <si>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</si>
  <si>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</si>
  <si>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</si>
  <si>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</si>
  <si>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</si>
  <si>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</si>
  <si>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</si>
  <si>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</si>
  <si>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</si>
  <si>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</si>
  <si>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</si>
  <si>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</si>
  <si>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</si>
  <si>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</si>
  <si>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</si>
  <si>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</si>
  <si>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</si>
  <si>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</si>
  <si>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</si>
  <si>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</si>
  <si>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</si>
  <si>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</si>
  <si>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</si>
  <si>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</si>
  <si>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</si>
  <si>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</si>
  <si>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</si>
  <si>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</si>
  <si>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</si>
  <si>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</si>
  <si>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</si>
  <si>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</si>
  <si>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</si>
  <si>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</si>
  <si>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</si>
  <si>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</si>
  <si>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</si>
  <si>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</si>
  <si>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</si>
  <si>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</si>
  <si>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</si>
  <si>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</si>
  <si>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</si>
  <si>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</si>
  <si>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</si>
  <si>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</si>
  <si>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</si>
  <si>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</si>
  <si>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</si>
  <si>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</si>
  <si>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</si>
  <si>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</si>
  <si>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</si>
  <si>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</si>
  <si>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</si>
  <si>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</si>
  <si>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</si>
  <si>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</si>
  <si>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</si>
  <si>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</si>
  <si>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</si>
  <si>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</si>
  <si>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</si>
  <si>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</si>
  <si>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</si>
  <si>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</si>
  <si>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</si>
  <si>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</si>
  <si>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</si>
  <si>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</si>
  <si>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</si>
  <si>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</si>
  <si>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</si>
  <si>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</si>
  <si>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</si>
  <si>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</si>
  <si>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</si>
  <si>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</si>
  <si>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</si>
  <si>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</si>
  <si>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</si>
  <si>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</si>
  <si>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</si>
  <si>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</si>
  <si>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</si>
  <si>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</si>
  <si>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</si>
  <si>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</si>
  <si>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</si>
  <si>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</si>
  <si>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</si>
  <si>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</si>
  <si>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</si>
  <si>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</si>
  <si>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</si>
  <si>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</si>
  <si>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</si>
  <si>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</si>
  <si>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</si>
  <si>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</si>
  <si>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</si>
  <si>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</si>
  <si>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</si>
  <si>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</si>
  <si>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</si>
  <si>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</si>
  <si>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</si>
  <si>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</si>
  <si>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</si>
  <si>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</si>
  <si>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</si>
  <si>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</si>
  <si>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</si>
  <si>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</si>
  <si>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</si>
  <si>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</si>
  <si>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</si>
  <si>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</si>
  <si>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</si>
  <si>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</si>
  <si>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</si>
  <si>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</si>
  <si>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</si>
  <si>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</si>
  <si>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</si>
  <si>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</si>
  <si>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</si>
  <si>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</si>
  <si>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</si>
  <si>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</si>
  <si>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</si>
  <si>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</si>
  <si>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</si>
  <si>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</si>
  <si>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</si>
  <si>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</si>
  <si>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</si>
  <si>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</si>
  <si>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</si>
  <si>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</si>
  <si>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</si>
  <si>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</si>
  <si>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</si>
  <si>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</si>
  <si>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</si>
  <si>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</si>
  <si>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</si>
  <si>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</si>
  <si>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</si>
  <si>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</si>
  <si>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</si>
  <si>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</si>
  <si>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</si>
  <si>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</si>
  <si>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</si>
  <si>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</si>
  <si>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</si>
  <si>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</si>
  <si>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</si>
  <si>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</si>
  <si>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</si>
  <si>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</si>
  <si>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</si>
  <si>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</si>
  <si>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</si>
  <si>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</si>
  <si>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</si>
  <si>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</si>
  <si>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</si>
  <si>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</si>
  <si>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</si>
  <si>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</si>
  <si>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</si>
  <si>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</si>
  <si>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</si>
  <si>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</si>
  <si>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</si>
  <si>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</si>
  <si>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</si>
  <si>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</si>
  <si>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</si>
  <si>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</si>
  <si>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</si>
  <si>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</si>
  <si>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</si>
  <si>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</si>
  <si>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</si>
  <si>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</si>
  <si>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</si>
  <si>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</si>
  <si>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</si>
  <si>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</si>
  <si>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</si>
  <si>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</si>
  <si>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</si>
  <si>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</si>
  <si>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</si>
  <si>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</si>
  <si>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</si>
  <si>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</si>
  <si>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</si>
  <si>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</si>
  <si>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</si>
  <si>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</si>
  <si>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</si>
  <si>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</si>
  <si>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</si>
  <si>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</si>
  <si>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</si>
  <si>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</si>
  <si>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</si>
  <si>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</si>
  <si>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</si>
  <si>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</si>
  <si>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</si>
  <si>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</si>
  <si>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</si>
  <si>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</si>
  <si>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</si>
  <si>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</si>
  <si>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</si>
  <si>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</si>
  <si>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</si>
  <si>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</si>
  <si>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</si>
  <si>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</si>
  <si>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</si>
  <si>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</si>
  <si>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</si>
  <si>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</si>
  <si>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</si>
  <si>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</si>
  <si>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</si>
  <si>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</si>
  <si>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</si>
  <si>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</si>
  <si>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</si>
  <si>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</si>
  <si>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</si>
  <si>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</si>
  <si>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</si>
  <si>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</si>
  <si>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</si>
  <si>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</si>
  <si>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</si>
  <si>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</si>
  <si>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</si>
  <si>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</si>
  <si>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</si>
  <si>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</si>
  <si>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</si>
  <si>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</si>
  <si>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</si>
  <si>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</si>
  <si>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</si>
  <si>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</si>
  <si>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</si>
  <si>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</si>
  <si>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</si>
  <si>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</si>
  <si>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</si>
  <si>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</si>
  <si>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</si>
  <si>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</si>
  <si>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</si>
  <si>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</si>
  <si>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</si>
  <si>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</si>
  <si>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</si>
  <si>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</si>
  <si>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</si>
  <si>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</si>
  <si>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</si>
  <si>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</si>
  <si>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</si>
  <si>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</si>
  <si>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</si>
  <si>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</si>
  <si>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</si>
  <si>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</si>
  <si>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</si>
  <si>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</si>
  <si>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</si>
  <si>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</si>
  <si>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</si>
  <si>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</si>
  <si>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</si>
  <si>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</si>
  <si>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</si>
  <si>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</si>
  <si>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</si>
  <si>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</si>
  <si>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</si>
  <si>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</si>
  <si>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</si>
  <si>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</si>
  <si>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</si>
  <si>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</si>
  <si>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</si>
  <si>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</si>
  <si>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</si>
  <si>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</si>
  <si>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</si>
  <si>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</si>
  <si>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</si>
  <si>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</si>
  <si>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</si>
  <si>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</si>
  <si>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</si>
  <si>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</si>
  <si>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</si>
  <si>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</si>
  <si>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</si>
  <si>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</si>
  <si>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</si>
  <si>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</si>
  <si>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</si>
  <si>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</si>
  <si>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</si>
  <si>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</si>
  <si>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</si>
  <si>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</si>
  <si>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</si>
  <si>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</si>
  <si>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</si>
  <si>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</si>
  <si>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</si>
  <si>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</si>
  <si>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</si>
  <si>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</si>
  <si>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</si>
  <si>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</si>
  <si>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</si>
  <si>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</si>
  <si>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</si>
  <si>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</si>
  <si>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</si>
  <si>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</si>
  <si>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</si>
  <si>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</si>
  <si>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</si>
  <si>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</si>
  <si>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</si>
  <si>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</si>
  <si>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</si>
  <si>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</si>
  <si>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</si>
  <si>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</si>
  <si>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</si>
  <si>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</si>
  <si>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</si>
  <si>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</si>
  <si>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</si>
  <si>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</si>
  <si>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</si>
  <si>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</si>
  <si>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</si>
  <si>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</si>
  <si>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</si>
  <si>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</si>
  <si>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</si>
  <si>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</si>
  <si>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</si>
  <si>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</si>
  <si>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</si>
  <si>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</si>
  <si>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</si>
  <si>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</si>
  <si>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</si>
  <si>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</si>
  <si>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</si>
  <si>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</si>
  <si>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</si>
  <si>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</si>
  <si>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</si>
  <si>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</si>
  <si>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</si>
  <si>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</si>
  <si>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</si>
  <si>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</si>
  <si>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</si>
  <si>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</si>
  <si>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</si>
  <si>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</si>
  <si>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</si>
  <si>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</si>
  <si>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</si>
  <si>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</si>
  <si>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</si>
  <si>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</si>
  <si>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</si>
  <si>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</si>
  <si>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</si>
  <si>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</si>
  <si>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</si>
  <si>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</si>
  <si>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</si>
  <si>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</si>
  <si>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</si>
  <si>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</si>
  <si>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</si>
  <si>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</si>
  <si>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</si>
  <si>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</si>
  <si>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</si>
  <si>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</si>
  <si>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</si>
  <si>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</si>
  <si>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</si>
  <si>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</si>
  <si>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</si>
  <si>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</si>
  <si>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</si>
  <si>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</si>
  <si>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</si>
  <si>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</si>
  <si>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</si>
  <si>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</si>
  <si>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</si>
  <si>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</si>
  <si>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</si>
  <si>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</si>
  <si>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</si>
  <si>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</si>
  <si>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</si>
  <si>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</si>
  <si>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</si>
  <si>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</si>
  <si>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</si>
  <si>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</si>
  <si>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</si>
  <si>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</si>
  <si>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</si>
  <si>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</si>
  <si>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</si>
  <si>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</si>
  <si>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</si>
  <si>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</si>
  <si>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</si>
  <si>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</si>
  <si>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</si>
  <si>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</si>
  <si>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</si>
  <si>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</si>
  <si>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</si>
  <si>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</si>
  <si>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</si>
  <si>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</si>
  <si>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</si>
  <si>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</si>
  <si>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</si>
  <si>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</si>
  <si>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</si>
  <si>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</si>
  <si>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</si>
  <si>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</si>
  <si>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</si>
  <si>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</si>
  <si>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</si>
  <si>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</si>
  <si>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</si>
  <si>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</si>
  <si>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</si>
  <si>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</si>
  <si>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</si>
  <si>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</si>
  <si>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</si>
  <si>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</si>
  <si>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</si>
  <si>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</si>
  <si>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</si>
  <si>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</si>
  <si>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</si>
  <si>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</si>
  <si>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</si>
  <si>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</si>
  <si>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</si>
  <si>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</si>
  <si>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</si>
  <si>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</si>
  <si>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</si>
  <si>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</si>
  <si>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</si>
  <si>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</si>
  <si>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</si>
  <si>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</si>
  <si>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</si>
  <si>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</si>
  <si>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</si>
  <si>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</si>
  <si>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</si>
  <si>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</si>
  <si>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</si>
  <si>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</si>
  <si>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</si>
  <si>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</si>
  <si>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</si>
  <si>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</si>
  <si>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</si>
  <si>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</si>
  <si>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</si>
  <si>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</si>
  <si>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</si>
  <si>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</si>
  <si>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</si>
  <si>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</si>
  <si>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</si>
  <si>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</si>
  <si>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</si>
  <si>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</si>
  <si>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</si>
  <si>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</si>
  <si>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</si>
  <si>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</si>
  <si>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</si>
  <si>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</si>
  <si>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</si>
  <si>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</si>
  <si>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</si>
  <si>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</si>
  <si>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</si>
  <si>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</si>
  <si>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</si>
  <si>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</si>
  <si>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</si>
  <si>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</si>
  <si>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</si>
  <si>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</si>
  <si>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</si>
  <si>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</si>
  <si>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</si>
  <si>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</si>
  <si>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</si>
  <si>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</si>
  <si>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</si>
  <si>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</si>
  <si>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</si>
  <si>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</si>
  <si>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</si>
  <si>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</si>
  <si>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</si>
  <si>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</si>
  <si>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</si>
  <si>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</si>
  <si>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</si>
  <si>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</si>
  <si>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</si>
  <si>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</si>
  <si>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</si>
  <si>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</si>
  <si>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</si>
  <si>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</si>
  <si>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</si>
  <si>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</si>
  <si>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</si>
  <si>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</si>
  <si>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</si>
  <si>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</si>
  <si>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</si>
  <si>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</si>
  <si>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</si>
  <si>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</si>
  <si>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</si>
  <si>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</si>
  <si>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</si>
  <si>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</si>
  <si>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</si>
  <si>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</si>
  <si>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</si>
  <si>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</si>
  <si>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</si>
  <si>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</si>
  <si>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</si>
  <si>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</si>
  <si>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</si>
  <si>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</si>
  <si>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</si>
  <si>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</si>
  <si>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</si>
  <si>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</si>
  <si>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</si>
  <si>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</si>
  <si>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</si>
  <si>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</si>
  <si>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</si>
  <si>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</si>
  <si>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</si>
  <si>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</si>
  <si>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</si>
  <si>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</si>
  <si>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</si>
  <si>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</si>
  <si>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</si>
  <si>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</si>
  <si>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</si>
  <si>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</si>
  <si>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</si>
  <si>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</si>
  <si>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</si>
  <si>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</si>
  <si>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</si>
  <si>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</si>
  <si>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</si>
  <si>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</si>
  <si>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</si>
  <si>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</si>
  <si>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</si>
  <si>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</si>
  <si>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</si>
  <si>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</si>
  <si>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</si>
  <si>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</si>
  <si>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</si>
  <si>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</si>
  <si>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</si>
  <si>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</si>
  <si>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</si>
  <si>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</si>
  <si>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</si>
  <si>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</si>
  <si>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</si>
  <si>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</si>
  <si>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</si>
  <si>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</si>
  <si>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</si>
  <si>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</si>
  <si>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</si>
  <si>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</si>
  <si>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</si>
  <si>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</si>
  <si>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</si>
  <si>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</si>
  <si>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</si>
  <si>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</si>
  <si>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</si>
  <si>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</si>
  <si>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</si>
  <si>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</si>
  <si>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</si>
  <si>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</si>
  <si>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</si>
  <si>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</si>
  <si>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</si>
  <si>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</si>
  <si>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</si>
  <si>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</si>
  <si>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</si>
  <si>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</si>
  <si>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</si>
  <si>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</si>
  <si>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</si>
  <si>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</si>
  <si>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</si>
  <si>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</si>
  <si>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</si>
  <si>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</si>
  <si>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</si>
  <si>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</si>
  <si>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</si>
  <si>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</si>
  <si>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</si>
  <si>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</si>
  <si>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</si>
  <si>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</si>
  <si>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</si>
  <si>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</si>
  <si>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</si>
  <si>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</si>
  <si>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</si>
  <si>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</si>
  <si>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</si>
  <si>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</si>
  <si>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</si>
  <si>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</si>
  <si>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</si>
  <si>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</si>
  <si>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</si>
  <si>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</si>
  <si>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</si>
  <si>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</si>
  <si>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</si>
  <si>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</si>
  <si>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</si>
  <si>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</si>
  <si>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</si>
  <si>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</si>
  <si>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</si>
  <si>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</si>
  <si>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</si>
  <si>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</si>
  <si>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</si>
  <si>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</si>
  <si>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</si>
  <si>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</si>
  <si>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</si>
  <si>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</si>
  <si>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</si>
  <si>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</si>
  <si>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</si>
  <si>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</si>
  <si>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</si>
  <si>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</si>
  <si>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</si>
  <si>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</si>
  <si>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</si>
  <si>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</si>
  <si>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</si>
  <si>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</si>
  <si>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</si>
  <si>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</si>
  <si>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</si>
  <si>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</si>
  <si>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</si>
  <si>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</si>
  <si>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</si>
  <si>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</si>
  <si>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</si>
  <si>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</si>
  <si>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</si>
  <si>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</si>
  <si>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</si>
  <si>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</si>
  <si>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</si>
  <si>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</si>
  <si>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</si>
  <si>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</si>
  <si>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</si>
  <si>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</si>
  <si>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</si>
  <si>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</si>
  <si>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</si>
  <si>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</si>
  <si>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</si>
  <si>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</si>
  <si>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</si>
  <si>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</si>
  <si>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</si>
  <si>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</si>
  <si>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</si>
  <si>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</si>
  <si>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</si>
  <si>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</si>
  <si>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</si>
  <si>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</si>
  <si>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</si>
  <si>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</si>
  <si>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</si>
  <si>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</si>
  <si>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</si>
  <si>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</si>
  <si>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</si>
  <si>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</si>
  <si>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</si>
  <si>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</si>
  <si>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</si>
  <si>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</si>
  <si>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</si>
  <si>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</si>
  <si>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</si>
  <si>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</si>
  <si>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</si>
  <si>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</si>
  <si>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</si>
  <si>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</si>
  <si>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</si>
  <si>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</si>
  <si>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</si>
  <si>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</si>
  <si>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</si>
  <si>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</si>
  <si>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</si>
  <si>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</si>
  <si>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</si>
  <si>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</si>
  <si>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</si>
  <si>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</si>
  <si>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</si>
  <si>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</si>
  <si>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</si>
  <si>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</si>
  <si>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</si>
  <si>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</si>
  <si>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</si>
  <si>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</si>
  <si>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</si>
  <si>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</si>
  <si>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</si>
  <si>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</si>
  <si>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</si>
  <si>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</si>
  <si>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</si>
  <si>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</si>
  <si>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</si>
  <si>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</si>
  <si>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</si>
  <si>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</si>
  <si>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</si>
  <si>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</si>
  <si>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</si>
  <si>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</si>
  <si>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</si>
  <si>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</si>
  <si>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</si>
  <si>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</si>
  <si>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</si>
  <si>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</si>
  <si>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</si>
  <si>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</si>
  <si>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</si>
  <si>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</si>
  <si>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</si>
  <si>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</si>
  <si>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</si>
  <si>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</si>
  <si>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</si>
  <si>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</si>
  <si>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</si>
  <si>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</si>
  <si>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</si>
  <si>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</si>
  <si>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</si>
  <si>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</si>
  <si>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</si>
  <si>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</si>
  <si>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</si>
  <si>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</si>
  <si>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</si>
  <si>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</si>
  <si>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</si>
  <si>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</si>
  <si>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</si>
  <si>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</si>
  <si>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</si>
  <si>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</si>
  <si>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</si>
  <si>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</si>
  <si>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</si>
  <si>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</si>
  <si>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</si>
  <si>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</si>
  <si>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</si>
  <si>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</si>
  <si>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</si>
  <si>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</si>
  <si>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</si>
  <si>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</si>
  <si>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</si>
  <si>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</si>
  <si>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</si>
  <si>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</si>
  <si>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</si>
  <si>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</si>
  <si>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</si>
  <si>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</si>
  <si>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</si>
  <si>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</si>
  <si>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</si>
  <si>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</si>
  <si>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</si>
  <si>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</si>
  <si>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</si>
  <si>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</si>
  <si>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</si>
  <si>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</si>
  <si>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</si>
  <si>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</si>
  <si>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</si>
  <si>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</si>
  <si>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</si>
  <si>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</si>
  <si>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</si>
  <si>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</si>
  <si>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</si>
  <si>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</si>
  <si>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</si>
  <si>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</si>
  <si>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</si>
  <si>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</si>
  <si>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</si>
  <si>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</si>
  <si>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</si>
  <si>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</si>
  <si>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</si>
  <si>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</si>
  <si>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</si>
  <si>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</si>
  <si>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</si>
  <si>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</si>
  <si>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</si>
  <si>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</si>
  <si>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</si>
  <si>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</si>
  <si>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</si>
  <si>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</si>
  <si>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</si>
  <si>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</si>
  <si>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</si>
  <si>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</si>
  <si>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</si>
  <si>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</si>
  <si>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</si>
  <si>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</si>
  <si>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</si>
  <si>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</si>
  <si>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</si>
  <si>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</si>
  <si>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</si>
  <si>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</si>
  <si>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</si>
  <si>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</si>
  <si>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</si>
  <si>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</si>
  <si>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</si>
  <si>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</si>
  <si>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</si>
  <si>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</si>
  <si>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</si>
  <si>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</si>
  <si>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</si>
  <si>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</si>
  <si>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</si>
  <si>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</si>
  <si>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</si>
  <si>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</si>
  <si>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</si>
  <si>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</si>
  <si>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</si>
  <si>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</si>
  <si>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</si>
  <si>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</si>
  <si>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</si>
  <si>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</si>
  <si>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</si>
  <si>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</si>
  <si>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</si>
  <si>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</si>
  <si>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</si>
  <si>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</si>
  <si>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</si>
  <si>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</si>
  <si>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</si>
  <si>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</si>
  <si>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</si>
  <si>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</si>
  <si>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</si>
  <si>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</si>
  <si>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</si>
  <si>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</si>
  <si>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</si>
  <si>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</si>
  <si>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</si>
  <si>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</si>
  <si>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</si>
  <si>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</si>
  <si>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</si>
  <si>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</si>
  <si>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</si>
  <si>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</si>
  <si>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</si>
  <si>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</si>
  <si>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</si>
  <si>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</si>
  <si>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</si>
  <si>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</si>
  <si>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</si>
  <si>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</si>
  <si>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</si>
  <si>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</si>
  <si>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</si>
  <si>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</si>
  <si>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</si>
  <si>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</si>
  <si>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</si>
  <si>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</si>
  <si>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</si>
  <si>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</si>
  <si>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</si>
  <si>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</si>
  <si>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</si>
  <si>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</si>
  <si>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</si>
  <si>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</si>
  <si>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</si>
  <si>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</si>
  <si>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</si>
  <si>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</si>
  <si>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</si>
  <si>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</si>
  <si>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</si>
  <si>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</si>
  <si>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</si>
  <si>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</si>
  <si>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</si>
  <si>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</si>
  <si>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</si>
  <si>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</si>
  <si>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</si>
  <si>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</si>
  <si>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</si>
  <si>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</si>
  <si>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</si>
  <si>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</si>
  <si>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</si>
  <si>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</si>
  <si>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</si>
  <si>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</si>
  <si>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</si>
  <si>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</si>
  <si>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</si>
  <si>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</si>
  <si>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</si>
  <si>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</si>
  <si>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</si>
  <si>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</si>
  <si>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</si>
  <si>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</si>
  <si>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</si>
  <si>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</si>
  <si>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</si>
  <si>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</si>
  <si>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</si>
  <si>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</si>
  <si>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</si>
  <si>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</si>
  <si>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</si>
  <si>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</si>
  <si>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</si>
  <si>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</si>
  <si>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</si>
  <si>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</si>
  <si>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</si>
  <si>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</si>
  <si>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</si>
  <si>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</si>
  <si>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</si>
  <si>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</si>
  <si>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</si>
  <si>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</si>
  <si>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</si>
  <si>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</si>
  <si>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</si>
  <si>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</si>
  <si>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</si>
  <si>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</si>
  <si>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</si>
  <si>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</si>
  <si>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</si>
  <si>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</si>
  <si>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</si>
  <si>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</si>
  <si>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</si>
  <si>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</si>
  <si>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</si>
  <si>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</si>
  <si>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</si>
  <si>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</si>
  <si>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</si>
  <si>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</si>
  <si>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</si>
  <si>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</si>
  <si>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</si>
  <si>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</si>
  <si>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</si>
  <si>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</si>
  <si>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</si>
  <si>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</si>
  <si>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</si>
  <si>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</si>
  <si>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</si>
  <si>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</si>
  <si>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</si>
  <si>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</si>
  <si>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</si>
  <si>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</si>
  <si>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</si>
  <si>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</si>
  <si>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</si>
  <si>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</si>
  <si>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</si>
  <si>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</si>
  <si>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</si>
  <si>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</si>
  <si>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</si>
  <si>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</si>
  <si>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</si>
  <si>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</si>
  <si>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</si>
  <si>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</si>
  <si>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</si>
  <si>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</si>
  <si>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</si>
  <si>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</si>
  <si>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</si>
  <si>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</si>
  <si>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</si>
  <si>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</si>
  <si>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</si>
  <si>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</si>
  <si>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</si>
  <si>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</si>
  <si>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</si>
  <si>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</si>
  <si>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</si>
  <si>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</si>
  <si>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</si>
  <si>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</si>
  <si>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</si>
  <si>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</si>
  <si>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</si>
  <si>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</si>
  <si>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</si>
  <si>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</si>
  <si>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</si>
  <si>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</si>
  <si>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</si>
  <si>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</si>
  <si>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</si>
  <si>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</si>
  <si>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</si>
  <si>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</si>
  <si>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</si>
  <si>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</si>
  <si>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</si>
  <si>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</si>
  <si>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</si>
  <si>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</si>
  <si>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</si>
  <si>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</si>
  <si>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</si>
  <si>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</si>
  <si>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</si>
  <si>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</si>
  <si>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</si>
  <si>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</si>
  <si>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</si>
  <si>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</si>
  <si>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</si>
  <si>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</si>
  <si>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</si>
  <si>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</si>
  <si>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</si>
  <si>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</si>
  <si>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</si>
  <si>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</si>
  <si>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</si>
  <si>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</si>
  <si>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</si>
  <si>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</si>
  <si>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</si>
  <si>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</si>
  <si>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</si>
  <si>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</si>
  <si>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</si>
  <si>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</si>
  <si>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</si>
  <si>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</si>
  <si>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</si>
  <si>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</si>
  <si>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</si>
  <si>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</si>
  <si>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</si>
  <si>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</si>
  <si>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</si>
  <si>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</si>
  <si>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</si>
  <si>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</si>
  <si>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</si>
  <si>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</si>
  <si>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</si>
  <si>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</si>
  <si>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</si>
  <si>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</si>
  <si>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</si>
  <si>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</si>
  <si>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</si>
  <si>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</si>
  <si>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</si>
  <si>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</si>
  <si>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</si>
  <si>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</si>
  <si>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</si>
  <si>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</si>
  <si>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</si>
  <si>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</si>
  <si>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</si>
  <si>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</si>
  <si>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</si>
  <si>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</si>
  <si>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</si>
  <si>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</si>
  <si>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</si>
  <si>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</si>
  <si>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</si>
  <si>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</si>
  <si>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</si>
  <si>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</si>
  <si>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</si>
  <si>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</si>
  <si>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</si>
  <si>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</si>
  <si>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</si>
  <si>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</si>
  <si>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</si>
  <si>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</si>
  <si>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</si>
  <si>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</si>
  <si>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</si>
  <si>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</si>
  <si>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</si>
  <si>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</si>
  <si>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</si>
  <si>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</si>
  <si>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</si>
  <si>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</si>
  <si>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</si>
  <si>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</si>
  <si>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</si>
  <si>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</si>
  <si>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</si>
  <si>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</si>
  <si>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</si>
  <si>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</si>
  <si>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</si>
  <si>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</si>
  <si>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</si>
  <si>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</si>
  <si>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</si>
  <si>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</si>
  <si>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</si>
  <si>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</si>
  <si>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</si>
  <si>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</si>
  <si>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</si>
  <si>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</si>
  <si>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</si>
  <si>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</si>
  <si>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</si>
  <si>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</si>
  <si>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</si>
  <si>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</si>
  <si>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</si>
  <si>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</si>
  <si>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</si>
  <si>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</si>
  <si>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</si>
  <si>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</si>
  <si>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</si>
  <si>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</si>
  <si>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</si>
  <si>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</si>
  <si>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</si>
  <si>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</si>
  <si>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</si>
  <si>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</si>
  <si>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</si>
  <si>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</si>
  <si>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</si>
  <si>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</si>
  <si>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</si>
  <si>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</si>
  <si>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</si>
  <si>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</si>
  <si>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</si>
  <si>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</si>
  <si>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</si>
  <si>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</si>
  <si>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</si>
  <si>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</si>
  <si>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</si>
  <si>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</si>
  <si>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</si>
  <si>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</si>
  <si>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</si>
  <si>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</si>
  <si>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</si>
  <si>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</si>
  <si>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</si>
  <si>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</si>
  <si>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</si>
  <si>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</si>
  <si>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</si>
  <si>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</si>
  <si>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</si>
  <si>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</si>
  <si>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</si>
  <si>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</si>
  <si>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</si>
  <si>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</si>
  <si>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</si>
  <si>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</si>
  <si>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</si>
  <si>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</si>
  <si>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</si>
  <si>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</si>
  <si>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</si>
  <si>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</si>
  <si>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</si>
  <si>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</si>
  <si>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</si>
  <si>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</si>
  <si>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</si>
  <si>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</si>
  <si>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</si>
  <si>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</si>
  <si>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</si>
  <si>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</si>
  <si>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</si>
  <si>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</si>
  <si>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</si>
  <si>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</si>
  <si>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</si>
  <si>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</si>
  <si>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</si>
  <si>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</si>
  <si>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</si>
  <si>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</si>
  <si>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</si>
  <si>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</si>
  <si>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</si>
  <si>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</si>
  <si>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</si>
  <si>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</si>
  <si>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</si>
  <si>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</si>
  <si>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</si>
  <si>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</si>
  <si>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</si>
  <si>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</si>
  <si>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</si>
  <si>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</si>
  <si>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</si>
  <si>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</si>
  <si>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</si>
  <si>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</si>
  <si>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</si>
  <si>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</si>
  <si>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</si>
  <si>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</si>
  <si>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</si>
  <si>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</si>
  <si>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</si>
  <si>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</si>
  <si>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</si>
  <si>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</si>
  <si>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</si>
  <si>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</si>
  <si>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</si>
  <si>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</si>
  <si>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</si>
  <si>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</si>
  <si>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</si>
  <si>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</si>
  <si>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</si>
  <si>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</si>
  <si>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</si>
  <si>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</si>
  <si>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</si>
  <si>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</si>
  <si>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</si>
  <si>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</si>
  <si>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</si>
  <si>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</si>
  <si>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</si>
  <si>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</si>
  <si>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</si>
  <si>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</si>
  <si>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</si>
  <si>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</si>
  <si>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</si>
  <si>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</si>
  <si>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</si>
  <si>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</si>
  <si>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</si>
  <si>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</si>
  <si>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</si>
  <si>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</si>
  <si>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</si>
  <si>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</si>
  <si>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</si>
  <si>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</si>
  <si>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</si>
  <si>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</si>
  <si>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</si>
  <si>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</si>
  <si>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</si>
  <si>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</si>
  <si>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</si>
  <si>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</si>
  <si>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</si>
  <si>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</si>
  <si>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</si>
  <si>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</si>
  <si>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</si>
  <si>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</si>
  <si>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</si>
  <si>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</si>
  <si>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</si>
  <si>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</si>
  <si>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</si>
  <si>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</si>
  <si>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</si>
  <si>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</si>
  <si>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</si>
  <si>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</si>
  <si>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</si>
  <si>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</si>
  <si>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</si>
  <si>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</si>
  <si>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</si>
  <si>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</si>
  <si>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</si>
  <si>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</si>
  <si>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</si>
  <si>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</si>
  <si>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</si>
  <si>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</si>
  <si>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</si>
  <si>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</si>
  <si>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</si>
  <si>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</si>
  <si>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</si>
  <si>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</si>
  <si>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</si>
  <si>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</si>
  <si>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</si>
  <si>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</si>
  <si>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</si>
  <si>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</si>
  <si>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</si>
  <si>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</si>
  <si>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</si>
  <si>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</si>
  <si>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</si>
  <si>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</si>
  <si>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</si>
  <si>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</si>
  <si>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</si>
  <si>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</si>
  <si>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</si>
  <si>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</si>
  <si>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</si>
  <si>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</si>
  <si>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</si>
  <si>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</si>
  <si>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</si>
  <si>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</si>
  <si>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</si>
  <si>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</si>
  <si>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</si>
  <si>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</si>
  <si>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</si>
  <si>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</si>
  <si>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</si>
  <si>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</si>
  <si>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</si>
  <si>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</si>
  <si>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</si>
  <si>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</si>
  <si>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</si>
  <si>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</si>
  <si>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</si>
  <si>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</si>
  <si>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</si>
  <si>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</si>
  <si>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</si>
  <si>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</si>
  <si>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</si>
  <si>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</si>
  <si>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</si>
  <si>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</si>
  <si>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</si>
  <si>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</si>
  <si>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</si>
  <si>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</si>
  <si>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</si>
  <si>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</si>
  <si>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</si>
  <si>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</si>
  <si>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</si>
  <si>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</si>
  <si>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</si>
  <si>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</si>
  <si>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</si>
  <si>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</si>
  <si>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</si>
  <si>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</si>
  <si>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</si>
  <si>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</si>
  <si>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</si>
  <si>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</si>
  <si>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</si>
  <si>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</si>
  <si>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</si>
  <si>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</si>
  <si>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</si>
  <si>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</si>
  <si>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</si>
  <si>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</si>
  <si>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</si>
  <si>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</si>
  <si>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</si>
  <si>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</si>
  <si>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</si>
  <si>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</si>
  <si>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</si>
  <si>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</si>
  <si>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</si>
  <si>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</si>
  <si>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</si>
  <si>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</si>
  <si>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</si>
  <si>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</si>
  <si>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</si>
  <si>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</si>
  <si>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</si>
  <si>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</si>
  <si>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</si>
  <si>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</si>
  <si>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</si>
  <si>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</si>
  <si>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</si>
  <si>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</si>
  <si>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</si>
  <si>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</si>
  <si>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</si>
  <si>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</si>
  <si>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</si>
  <si>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</si>
  <si>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</si>
  <si>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</si>
  <si>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</si>
  <si>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</si>
  <si>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</si>
  <si>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</si>
  <si>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</si>
  <si>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</si>
  <si>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</si>
  <si>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</si>
  <si>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</si>
  <si>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</si>
  <si>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</si>
  <si>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</si>
  <si>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</si>
  <si>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</si>
  <si>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</si>
  <si>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</si>
  <si>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</si>
  <si>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</si>
  <si>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</si>
  <si>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</si>
  <si>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</si>
  <si>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</si>
  <si>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</si>
  <si>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</si>
  <si>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</si>
  <si>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</si>
  <si>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</si>
  <si>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</si>
  <si>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</si>
  <si>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</si>
  <si>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</si>
  <si>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</si>
  <si>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</si>
  <si>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</si>
  <si>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</si>
  <si>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</si>
  <si>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</si>
  <si>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</si>
  <si>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</si>
  <si>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</si>
  <si>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</si>
  <si>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</si>
  <si>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</si>
  <si>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</si>
  <si>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</si>
  <si>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</si>
  <si>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</si>
  <si>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</si>
  <si>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</si>
  <si>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</si>
  <si>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</si>
  <si>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</si>
  <si>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</si>
  <si>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</si>
  <si>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</si>
  <si>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</si>
  <si>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</si>
  <si>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</si>
  <si>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</si>
  <si>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</si>
  <si>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</si>
  <si>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</si>
  <si>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</si>
  <si>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</si>
  <si>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</si>
  <si>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</si>
  <si>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</si>
  <si>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</si>
  <si>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</si>
  <si>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</si>
  <si>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</si>
  <si>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</si>
  <si>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</si>
  <si>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</si>
  <si>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</si>
  <si>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</si>
  <si>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</si>
  <si>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</si>
  <si>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</si>
  <si>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</si>
  <si>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</si>
  <si>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</si>
  <si>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</si>
  <si>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</si>
  <si>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</si>
  <si>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</si>
  <si>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</si>
  <si>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</si>
  <si>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</si>
  <si>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</si>
  <si>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</si>
  <si>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</si>
  <si>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</si>
  <si>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</si>
  <si>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</si>
  <si>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</si>
  <si>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</si>
  <si>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</si>
  <si>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</si>
  <si>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</si>
  <si>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</si>
  <si>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</si>
  <si>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</si>
  <si>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</si>
  <si>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</si>
  <si>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</si>
  <si>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</si>
  <si>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</si>
  <si>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</si>
  <si>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</si>
  <si>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</si>
  <si>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</si>
  <si>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</si>
  <si>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</si>
  <si>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</si>
  <si>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</si>
  <si>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</si>
  <si>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</si>
  <si>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</si>
  <si>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</si>
  <si>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</si>
  <si>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</si>
  <si>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</si>
  <si>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</si>
  <si>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</si>
  <si>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</si>
  <si>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</si>
  <si>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</si>
  <si>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</si>
  <si>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</si>
  <si>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</si>
  <si>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</si>
  <si>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</si>
  <si>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</si>
  <si>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</si>
  <si>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</si>
  <si>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</si>
  <si>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</si>
  <si>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</si>
  <si>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</si>
  <si>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</si>
  <si>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</si>
  <si>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</si>
  <si>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</si>
  <si>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</si>
  <si>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</si>
  <si>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</si>
  <si>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</si>
  <si>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</si>
  <si>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</si>
  <si>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</si>
  <si>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</si>
  <si>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</si>
  <si>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</si>
  <si>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</si>
  <si>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</si>
  <si>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</si>
  <si>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</si>
  <si>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</si>
  <si>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</si>
  <si>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</si>
  <si>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</si>
  <si>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</si>
  <si>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</si>
  <si>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</si>
  <si>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</si>
  <si>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</si>
  <si>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</si>
  <si>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</si>
  <si>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</si>
  <si>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</si>
  <si>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</si>
  <si>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</si>
  <si>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</si>
  <si>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</si>
  <si>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</si>
  <si>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</si>
  <si>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</si>
  <si>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</si>
  <si>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</si>
  <si>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</si>
  <si>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</si>
  <si>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</si>
  <si>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</si>
  <si>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</si>
  <si>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</si>
  <si>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</si>
  <si>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</si>
  <si>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</si>
  <si>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</si>
  <si>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</si>
  <si>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</si>
  <si>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</si>
  <si>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</si>
  <si>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</si>
  <si>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</si>
  <si>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</si>
  <si>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</si>
  <si>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</si>
  <si>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</si>
  <si>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</si>
  <si>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</si>
  <si>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</si>
  <si>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</si>
  <si>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</si>
  <si>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</si>
  <si>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</si>
  <si>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</si>
  <si>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</si>
  <si>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</si>
  <si>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</si>
  <si>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</si>
  <si>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</si>
  <si>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</si>
  <si>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</si>
  <si>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</si>
  <si>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</si>
  <si>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</si>
  <si>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</si>
  <si>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</si>
  <si>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</si>
  <si>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</si>
  <si>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</si>
  <si>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</si>
  <si>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</si>
  <si>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</si>
  <si>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</si>
  <si>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</si>
  <si>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</si>
  <si>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</si>
  <si>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</si>
  <si>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</si>
  <si>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</si>
  <si>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</si>
  <si>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</si>
  <si>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</si>
  <si>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</si>
  <si>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</si>
  <si>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</si>
  <si>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</si>
  <si>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</si>
  <si>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</si>
  <si>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</si>
  <si>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</si>
  <si>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</si>
  <si>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</si>
  <si>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</si>
  <si>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</si>
  <si>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</si>
  <si>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</si>
  <si>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</si>
  <si>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</si>
  <si>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</si>
  <si>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</si>
  <si>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</si>
  <si>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</si>
  <si>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</si>
  <si>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</si>
  <si>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</si>
  <si>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</si>
  <si>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</si>
  <si>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</si>
  <si>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</si>
  <si>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</si>
  <si>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</si>
  <si>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</si>
  <si>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</si>
  <si>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</si>
  <si>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</si>
  <si>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</si>
  <si>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</si>
  <si>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</si>
  <si>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</si>
  <si>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</si>
  <si>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</si>
  <si>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</si>
  <si>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</si>
  <si>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</si>
  <si>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</si>
  <si>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</si>
  <si>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</si>
  <si>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</si>
  <si>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</si>
  <si>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</si>
  <si>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</si>
  <si>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</si>
  <si>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</si>
  <si>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</si>
  <si>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</si>
  <si>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</si>
  <si>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</si>
  <si>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</si>
  <si>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</si>
  <si>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</si>
  <si>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</si>
  <si>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</si>
  <si>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</si>
  <si>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</si>
  <si>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</si>
  <si>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</si>
  <si>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</si>
  <si>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</si>
  <si>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</si>
  <si>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</si>
  <si>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</si>
  <si>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</si>
  <si>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</si>
  <si>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</si>
  <si>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</si>
  <si>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</si>
  <si>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</si>
  <si>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</si>
  <si>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</si>
  <si>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</si>
  <si>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</si>
  <si>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</si>
  <si>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</si>
  <si>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</si>
  <si>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</si>
  <si>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</si>
  <si>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</si>
  <si>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</si>
  <si>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</si>
  <si>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</si>
  <si>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</si>
  <si>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</si>
  <si>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</si>
  <si>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</si>
  <si>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</si>
  <si>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</si>
  <si>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</si>
  <si>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</si>
  <si>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</si>
  <si>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</si>
  <si>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</si>
  <si>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</si>
  <si>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</si>
  <si>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</si>
  <si>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</si>
  <si>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</si>
  <si>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</si>
  <si>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</si>
  <si>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</si>
  <si>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</si>
  <si>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</si>
  <si>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</si>
  <si>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</si>
  <si>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</si>
  <si>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</si>
  <si>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</si>
  <si>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</si>
  <si>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</si>
  <si>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</si>
  <si>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</si>
  <si>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</si>
  <si>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</si>
  <si>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</si>
  <si>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</si>
  <si>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</si>
  <si>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</si>
  <si>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</si>
  <si>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</si>
  <si>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</si>
  <si>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</si>
  <si>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</si>
  <si>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</si>
  <si>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</si>
  <si>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</si>
  <si>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</si>
  <si>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</si>
  <si>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</si>
  <si>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</si>
  <si>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</si>
  <si>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</si>
  <si>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</si>
  <si>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</si>
  <si>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</si>
  <si>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</si>
  <si>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</si>
  <si>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</si>
  <si>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</si>
  <si>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</si>
  <si>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</si>
  <si>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</si>
  <si>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</si>
  <si>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</si>
  <si>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</si>
  <si>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</si>
  <si>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</si>
  <si>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</si>
  <si>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</si>
  <si>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</si>
  <si>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</si>
  <si>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</si>
  <si>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</si>
  <si>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</si>
  <si>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</si>
  <si>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</si>
  <si>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</si>
  <si>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</si>
  <si>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</si>
  <si>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</si>
  <si>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</si>
  <si>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</si>
  <si>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</si>
  <si>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</si>
  <si>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</si>
  <si>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</si>
  <si>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</si>
  <si>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</si>
  <si>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</si>
  <si>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</si>
  <si>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</si>
  <si>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</si>
  <si>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</si>
  <si>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</si>
  <si>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</si>
  <si>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</si>
  <si>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</si>
  <si>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</si>
  <si>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</si>
  <si>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</si>
  <si>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</si>
  <si>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</si>
  <si>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</si>
  <si>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</si>
  <si>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</si>
  <si>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</si>
  <si>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</si>
  <si>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</si>
  <si>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</si>
  <si>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</si>
  <si>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</si>
  <si>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</si>
  <si>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</si>
  <si>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</si>
  <si>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</si>
  <si>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</si>
  <si>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</si>
  <si>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</si>
  <si>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</si>
  <si>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</si>
  <si>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</si>
  <si>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</si>
  <si>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</si>
  <si>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</si>
  <si>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</si>
  <si>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</si>
  <si>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</si>
  <si>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</si>
  <si>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</si>
  <si>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</si>
  <si>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</si>
  <si>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</si>
  <si>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</si>
  <si>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</si>
  <si>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</si>
  <si>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</si>
  <si>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</si>
  <si>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</si>
  <si>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</si>
  <si>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</si>
  <si>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</si>
  <si>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</si>
  <si>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</si>
  <si>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</si>
  <si>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</si>
  <si>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</si>
  <si>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</si>
  <si>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</si>
  <si>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</si>
  <si>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</si>
  <si>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</si>
  <si>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</si>
  <si>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</si>
  <si>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</si>
  <si>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</si>
  <si>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</si>
  <si>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</si>
  <si>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</si>
  <si>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</si>
  <si>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</si>
  <si>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</si>
  <si>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</si>
  <si>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</si>
  <si>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</si>
  <si>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</si>
  <si>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</si>
  <si>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</si>
  <si>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</si>
  <si>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</si>
  <si>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</si>
  <si>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</si>
  <si>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</si>
  <si>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</si>
  <si>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</si>
  <si>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</si>
  <si>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</si>
  <si>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</si>
  <si>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</si>
  <si>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</si>
  <si>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</si>
  <si>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</si>
  <si>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</si>
  <si>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</si>
  <si>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</si>
  <si>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</si>
  <si>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</si>
  <si>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</si>
  <si>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</si>
  <si>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</si>
  <si>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</si>
  <si>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</si>
  <si>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</si>
  <si>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</si>
  <si>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</si>
  <si>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</si>
  <si>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</si>
  <si>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</si>
  <si>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</si>
  <si>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</si>
  <si>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</si>
  <si>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</si>
  <si>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</si>
  <si>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</si>
  <si>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</si>
  <si>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</si>
  <si>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</si>
  <si>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</si>
  <si>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</si>
  <si>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</si>
  <si>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</si>
  <si>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</si>
  <si>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</si>
  <si>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</si>
  <si>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</si>
  <si>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</si>
  <si>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</si>
  <si>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</si>
  <si>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</si>
  <si>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</si>
  <si>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</si>
  <si>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</si>
  <si>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</si>
  <si>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</si>
  <si>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</si>
  <si>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</si>
  <si>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</si>
  <si>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</si>
  <si>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</si>
  <si>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</si>
  <si>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</si>
  <si>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</si>
  <si>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</si>
  <si>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</si>
  <si>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</si>
  <si>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</si>
  <si>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</si>
  <si>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</si>
  <si>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</si>
  <si>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</si>
  <si>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</si>
  <si>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</si>
  <si>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</si>
  <si>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</si>
  <si>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</si>
  <si>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</si>
  <si>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</si>
  <si>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</si>
  <si>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</si>
  <si>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</si>
  <si>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</si>
  <si>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</si>
  <si>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</si>
  <si>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</si>
  <si>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</si>
  <si>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</si>
  <si>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</si>
  <si>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</si>
  <si>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</si>
  <si>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</si>
  <si>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</si>
  <si>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</si>
  <si>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</si>
  <si>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</si>
  <si>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</si>
  <si>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</si>
  <si>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</si>
  <si>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</si>
  <si>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</si>
  <si>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</si>
  <si>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</si>
  <si>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</si>
  <si>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</si>
  <si>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</si>
  <si>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</si>
  <si>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</si>
  <si>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</si>
  <si>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</si>
  <si>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</si>
  <si>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</si>
  <si>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</si>
  <si>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</si>
  <si>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</si>
  <si>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</si>
  <si>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</si>
  <si>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</si>
  <si>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</si>
  <si>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</si>
  <si>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</si>
  <si>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</si>
  <si>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</si>
  <si>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</si>
  <si>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</si>
  <si>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</si>
  <si>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</si>
  <si>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</si>
  <si>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</si>
  <si>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</si>
  <si>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</si>
  <si>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</si>
  <si>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</si>
  <si>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</si>
  <si>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</si>
  <si>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</si>
  <si>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</si>
  <si>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</si>
  <si>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</si>
  <si>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</si>
  <si>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</si>
  <si>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</si>
  <si>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</si>
  <si>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</si>
  <si>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</si>
  <si>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</si>
  <si>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</si>
  <si>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</si>
  <si>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</si>
  <si>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</si>
  <si>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</si>
  <si>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</si>
  <si>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</si>
  <si>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</si>
  <si>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</si>
  <si>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</si>
  <si>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</si>
  <si>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</si>
  <si>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</si>
  <si>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</si>
  <si>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</si>
  <si>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</si>
  <si>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</si>
  <si>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</si>
  <si>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</si>
  <si>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</si>
  <si>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</si>
  <si>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</si>
  <si>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</si>
  <si>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</si>
  <si>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</si>
  <si>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</si>
  <si>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</si>
  <si>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</si>
  <si>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</si>
  <si>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</si>
  <si>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</si>
  <si>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</si>
  <si>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</si>
  <si>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</si>
  <si>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</si>
  <si>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</si>
  <si>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</si>
  <si>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</si>
  <si>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</si>
  <si>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</si>
  <si>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</si>
  <si>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</si>
  <si>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</si>
  <si>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</si>
  <si>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</si>
  <si>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</si>
  <si>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</si>
  <si>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</si>
  <si>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</si>
  <si>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</si>
  <si>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</si>
  <si>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</si>
  <si>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</si>
  <si>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</si>
  <si>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</si>
  <si>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</si>
  <si>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</si>
  <si>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</si>
  <si>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</si>
  <si>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</si>
  <si>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</si>
  <si>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</si>
  <si>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</si>
  <si>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</si>
  <si>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</si>
  <si>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</si>
  <si>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</si>
  <si>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</si>
  <si>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</si>
  <si>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</si>
  <si>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</si>
  <si>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</si>
  <si>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</si>
  <si>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</si>
  <si>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</si>
  <si>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</si>
  <si>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</si>
  <si>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</si>
  <si>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</si>
  <si>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</si>
  <si>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</si>
  <si>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</si>
  <si>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</si>
  <si>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</si>
  <si>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</si>
  <si>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</si>
  <si>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</si>
  <si>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</si>
  <si>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</si>
  <si>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</si>
  <si>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</si>
  <si>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</si>
  <si>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</si>
  <si>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</si>
  <si>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</si>
  <si>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</si>
  <si>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</si>
  <si>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</si>
  <si>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</si>
  <si>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</si>
  <si>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</si>
  <si>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</si>
  <si>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</si>
  <si>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</si>
  <si>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</si>
  <si>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</si>
  <si>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</si>
  <si>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</si>
  <si>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</si>
  <si>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</si>
  <si>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</si>
  <si>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</si>
  <si>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</si>
  <si>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</si>
  <si>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</si>
  <si>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</si>
  <si>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</si>
  <si>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</si>
  <si>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</si>
  <si>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</si>
  <si>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</si>
  <si>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</si>
  <si>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</si>
  <si>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</si>
  <si>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</si>
  <si>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</si>
  <si>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</si>
  <si>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</si>
  <si>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</si>
  <si>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</si>
  <si>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</si>
  <si>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</si>
  <si>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</si>
  <si>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</si>
  <si>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</si>
  <si>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</si>
  <si>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</si>
  <si>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</si>
  <si>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</si>
  <si>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</si>
  <si>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</si>
  <si>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</si>
  <si>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</si>
  <si>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</si>
  <si>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</si>
  <si>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</si>
  <si>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</si>
  <si>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</si>
  <si>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</si>
  <si>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</si>
  <si>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</si>
  <si>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</si>
  <si>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</si>
  <si>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</si>
  <si>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</si>
  <si>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</si>
  <si>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</si>
  <si>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</si>
  <si>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</si>
  <si>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</si>
  <si>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</si>
  <si>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</si>
  <si>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</si>
  <si>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</si>
  <si>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</si>
  <si>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</si>
  <si>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</si>
  <si>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</si>
  <si>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</si>
  <si>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</si>
  <si>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</si>
  <si>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</si>
  <si>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</si>
  <si>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</si>
  <si>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</si>
  <si>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</si>
  <si>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</si>
  <si>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</si>
  <si>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</si>
  <si>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</si>
  <si>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</si>
  <si>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</si>
  <si>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</si>
  <si>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</si>
  <si>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</si>
  <si>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</si>
  <si>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</si>
  <si>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</si>
  <si>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</si>
  <si>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</si>
  <si>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</si>
  <si>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</si>
  <si>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</si>
  <si>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</si>
  <si>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</si>
  <si>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</si>
  <si>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</si>
  <si>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</si>
  <si>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</si>
  <si>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</si>
  <si>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</si>
  <si>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</si>
  <si>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</si>
  <si>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</si>
  <si>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</si>
  <si>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</si>
  <si>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</si>
  <si>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</si>
  <si>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</si>
  <si>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</si>
  <si>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</si>
  <si>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</si>
  <si>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</si>
  <si>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</si>
  <si>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</si>
  <si>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</si>
  <si>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</si>
  <si>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</si>
  <si>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</si>
  <si>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</si>
  <si>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</si>
  <si>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</si>
  <si>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</si>
  <si>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</si>
  <si>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</si>
  <si>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</si>
  <si>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</si>
  <si>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</si>
  <si>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</si>
  <si>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</si>
  <si>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</si>
  <si>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</si>
  <si>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</si>
  <si>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</si>
  <si>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</si>
  <si>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</si>
  <si>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</si>
  <si>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</si>
  <si>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</si>
  <si>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</si>
  <si>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</si>
  <si>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</si>
  <si>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</si>
  <si>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</si>
  <si>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</si>
  <si>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</si>
  <si>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</si>
  <si>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</si>
  <si>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</si>
  <si>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</si>
  <si>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</si>
  <si>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</si>
  <si>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</si>
  <si>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</si>
  <si>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</si>
  <si>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</si>
  <si>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</si>
  <si>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</si>
  <si>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</si>
  <si>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</si>
  <si>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</si>
  <si>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</si>
  <si>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</si>
  <si>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</si>
  <si>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</si>
  <si>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</si>
  <si>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</si>
  <si>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</si>
  <si>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</si>
  <si>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</si>
  <si>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</si>
  <si>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</si>
  <si>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</si>
  <si>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</si>
  <si>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</si>
  <si>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</si>
  <si>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</si>
  <si>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</si>
  <si>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</si>
  <si>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</si>
  <si>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</si>
  <si>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</si>
  <si>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</si>
  <si>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</si>
  <si>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</si>
  <si>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</si>
  <si>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</si>
  <si>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</si>
  <si>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</si>
  <si>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</si>
  <si>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</si>
  <si>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</si>
  <si>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</si>
  <si>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</si>
  <si>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</si>
  <si>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</si>
  <si>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</si>
  <si>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</si>
  <si>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</si>
  <si>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</si>
  <si>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</si>
  <si>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</si>
  <si>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</si>
  <si>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</si>
  <si>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</si>
  <si>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</si>
  <si>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</si>
  <si>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</si>
  <si>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</si>
  <si>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</si>
  <si>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</si>
  <si>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</si>
  <si>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</si>
  <si>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</si>
  <si>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</si>
  <si>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</si>
  <si>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</si>
  <si>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</si>
  <si>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</si>
  <si>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</si>
  <si>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</si>
  <si>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</si>
  <si>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</si>
  <si>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</si>
  <si>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</si>
  <si>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</si>
  <si>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</si>
  <si>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</si>
  <si>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</si>
  <si>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</si>
  <si>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</si>
  <si>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</si>
  <si>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</si>
  <si>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</si>
  <si>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</si>
  <si>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</si>
  <si>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</si>
  <si>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</si>
  <si>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</si>
  <si>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</si>
  <si>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</si>
  <si>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</si>
  <si>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</si>
  <si>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</si>
  <si>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</si>
  <si>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</si>
  <si>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</si>
  <si>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</si>
  <si>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</si>
  <si>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</si>
  <si>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</si>
  <si>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</si>
  <si>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</si>
  <si>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</si>
  <si>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</si>
  <si>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</si>
  <si>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</si>
  <si>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</si>
  <si>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</si>
  <si>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七星关区市西街道天河社区</t>
  </si>
  <si>
    <t>七星关区市西街道天河社区</t>
    <phoneticPr fontId="6" type="noConversion"/>
  </si>
  <si>
    <t>其他：</t>
  </si>
  <si>
    <t>贵州省毕节市</t>
    <phoneticPr fontId="6" type="noConversion"/>
  </si>
  <si>
    <t>企业</t>
  </si>
  <si>
    <t>《国有建设用地使用权出让合同》[电子监管号：5224012018B00217]</t>
    <phoneticPr fontId="134" type="noConversion"/>
  </si>
  <si>
    <t>地块名称</t>
    <phoneticPr fontId="134" type="noConversion"/>
  </si>
  <si>
    <t>土地面积</t>
    <phoneticPr fontId="134" type="noConversion"/>
  </si>
  <si>
    <t>坐落</t>
    <phoneticPr fontId="134" type="noConversion"/>
  </si>
  <si>
    <t>地价款（万元）</t>
    <phoneticPr fontId="134" type="noConversion"/>
  </si>
  <si>
    <t>建筑面积</t>
    <phoneticPr fontId="134" type="noConversion"/>
  </si>
  <si>
    <t>容积率</t>
    <phoneticPr fontId="134" type="noConversion"/>
  </si>
  <si>
    <t>建筑限高</t>
    <phoneticPr fontId="134" type="noConversion"/>
  </si>
  <si>
    <t>约定开工时间</t>
    <phoneticPr fontId="134" type="noConversion"/>
  </si>
  <si>
    <t>约定竣工时间</t>
    <phoneticPr fontId="134" type="noConversion"/>
  </si>
  <si>
    <t>受让人</t>
    <phoneticPr fontId="134" type="noConversion"/>
  </si>
  <si>
    <t>签订日期</t>
    <phoneticPr fontId="134" type="noConversion"/>
  </si>
  <si>
    <t>七星关区2018-CR-004号</t>
    <phoneticPr fontId="134" type="noConversion"/>
  </si>
  <si>
    <t>七星关区市西街道天河社区</t>
    <phoneticPr fontId="134" type="noConversion"/>
  </si>
  <si>
    <t>≤2.2</t>
    <phoneticPr fontId="134" type="noConversion"/>
  </si>
  <si>
    <t>18米</t>
    <phoneticPr fontId="134" type="noConversion"/>
  </si>
  <si>
    <t>毕节市天厦房地产开发有限公司</t>
    <phoneticPr fontId="134" type="noConversion"/>
  </si>
  <si>
    <t>地上商业计容建面不高于</t>
    <phoneticPr fontId="134" type="noConversion"/>
  </si>
  <si>
    <t>地下商业及车库计容建面不高于</t>
    <phoneticPr fontId="134" type="noConversion"/>
  </si>
  <si>
    <t>地下停车位不少于</t>
    <phoneticPr fontId="134" type="noConversion"/>
  </si>
  <si>
    <t>800个</t>
    <phoneticPr fontId="134" type="noConversion"/>
  </si>
  <si>
    <t>地面活动空间</t>
    <phoneticPr fontId="134" type="noConversion"/>
  </si>
  <si>
    <t>不动产权证书</t>
    <phoneticPr fontId="134" type="noConversion"/>
  </si>
  <si>
    <t>用途</t>
    <phoneticPr fontId="134" type="noConversion"/>
  </si>
  <si>
    <t>终止日期</t>
    <phoneticPr fontId="134" type="noConversion"/>
  </si>
  <si>
    <t>黔（2019）毕节市不动产权第0022758号</t>
    <phoneticPr fontId="134" type="noConversion"/>
  </si>
  <si>
    <t>毕节市七星关区天河路</t>
    <phoneticPr fontId="134" type="noConversion"/>
  </si>
  <si>
    <t>商服用地</t>
    <phoneticPr fontId="134" type="noConversion"/>
  </si>
  <si>
    <t>是</t>
  </si>
  <si>
    <t>地上</t>
  </si>
  <si>
    <t>独立商业</t>
  </si>
  <si>
    <t>地下</t>
  </si>
  <si>
    <t>商业</t>
    <phoneticPr fontId="3" type="noConversion"/>
  </si>
  <si>
    <t>地下车库</t>
    <phoneticPr fontId="3" type="noConversion"/>
  </si>
  <si>
    <t>工程进度/成新度</t>
  </si>
  <si>
    <t>利息：取LPR加浮动点数</t>
  </si>
  <si>
    <t>建筑面积</t>
    <phoneticPr fontId="3" type="noConversion"/>
  </si>
  <si>
    <t>租金</t>
    <phoneticPr fontId="3" type="noConversion"/>
  </si>
  <si>
    <t>地上</t>
    <phoneticPr fontId="3" type="noConversion"/>
  </si>
  <si>
    <t>地下</t>
    <phoneticPr fontId="3" type="noConversion"/>
  </si>
  <si>
    <t>合计</t>
    <phoneticPr fontId="3" type="noConversion"/>
  </si>
  <si>
    <t>收益法-商业</t>
  </si>
  <si>
    <t>收益法-商业</t>
    <phoneticPr fontId="16" type="noConversion"/>
  </si>
  <si>
    <t>收益法-车库</t>
  </si>
  <si>
    <t>收益法-车库</t>
    <phoneticPr fontId="16" type="noConversion"/>
  </si>
  <si>
    <t>未包含在土地购买价格中</t>
  </si>
  <si>
    <t>全部缴纳</t>
  </si>
  <si>
    <t>已包含在土地取得成本中</t>
  </si>
  <si>
    <t>地下车库</t>
  </si>
  <si>
    <t>押一</t>
  </si>
  <si>
    <t>钢混</t>
  </si>
  <si>
    <t>非生产用房</t>
  </si>
  <si>
    <t>自定义</t>
  </si>
  <si>
    <t>成本法</t>
  </si>
  <si>
    <t>假设开发法</t>
  </si>
  <si>
    <t>地块名称</t>
  </si>
  <si>
    <t>地块编号</t>
  </si>
  <si>
    <t>板块</t>
  </si>
  <si>
    <t>建设用地面积(㎡)</t>
  </si>
  <si>
    <t>规划建筑面积(㎡)</t>
  </si>
  <si>
    <t>容积率</t>
  </si>
  <si>
    <t>详细规划</t>
  </si>
  <si>
    <t>集中供地</t>
  </si>
  <si>
    <t>商业比例(%)</t>
  </si>
  <si>
    <t>建筑密度</t>
  </si>
  <si>
    <t>限制高度</t>
  </si>
  <si>
    <t>成交日期</t>
  </si>
  <si>
    <t>受让单位</t>
  </si>
  <si>
    <t>成交价(万元)</t>
  </si>
  <si>
    <t>成交每亩价(万元/亩)</t>
  </si>
  <si>
    <t>成交楼面价(元/㎡)</t>
  </si>
  <si>
    <t>溢价率(%)</t>
  </si>
  <si>
    <t>出让年限(年)</t>
  </si>
  <si>
    <t>地面单价</t>
    <phoneticPr fontId="134" type="noConversion"/>
  </si>
  <si>
    <t>七星关区碧海街道店子社区</t>
    <phoneticPr fontId="134" type="noConversion"/>
  </si>
  <si>
    <t>七星关区2022-CR-056</t>
  </si>
  <si>
    <t xml:space="preserve"> --</t>
  </si>
  <si>
    <t xml:space="preserve"> 小于或等于1</t>
  </si>
  <si>
    <t xml:space="preserve"> 零售商业用地</t>
  </si>
  <si>
    <t xml:space="preserve">-- </t>
  </si>
  <si>
    <t xml:space="preserve"> -- </t>
  </si>
  <si>
    <t xml:space="preserve"> 小于或等于25</t>
  </si>
  <si>
    <t xml:space="preserve"> 毕节七星关翔宏新能源开发有限公司  </t>
  </si>
  <si>
    <t xml:space="preserve"> 40年</t>
  </si>
  <si>
    <t>七星关区双山镇平原社区</t>
  </si>
  <si>
    <t>七星关区2022-CR-071</t>
  </si>
  <si>
    <t xml:space="preserve"> 毕节金海湖新区交通运输投资发展有限公司  </t>
  </si>
  <si>
    <t>七星关区大新桥街道大桥社区</t>
    <phoneticPr fontId="134" type="noConversion"/>
  </si>
  <si>
    <t>七星关区2022-CR-070</t>
  </si>
  <si>
    <t xml:space="preserve"> 中国石油天然气股份有限公司贵州销售分公司  </t>
  </si>
  <si>
    <t>七星关区鸭池镇头步社区</t>
  </si>
  <si>
    <t>七星关区2021-CR-046</t>
  </si>
  <si>
    <t xml:space="preserve"> 小于或等于3</t>
  </si>
  <si>
    <t xml:space="preserve"> 小于或等于45</t>
  </si>
  <si>
    <t xml:space="preserve"> 毕节市七星关区弘蓝置业有限公司  </t>
  </si>
  <si>
    <t>七星关区鸭池镇庙脚社区</t>
  </si>
  <si>
    <t>七星关区2022-CR-004</t>
  </si>
  <si>
    <t xml:space="preserve"> 小于或等于2</t>
  </si>
  <si>
    <t xml:space="preserve"> 其他商服用地</t>
  </si>
  <si>
    <t xml:space="preserve"> 小于或等于40</t>
  </si>
  <si>
    <t xml:space="preserve"> 顾光辉  </t>
  </si>
  <si>
    <t>毕节金海湖新区梨树镇水牛屯村</t>
  </si>
  <si>
    <t>BJJHH2020-23</t>
  </si>
  <si>
    <t xml:space="preserve"> 大于或等于1并且小于或等于2</t>
  </si>
  <si>
    <t xml:space="preserve"> 小于或等于30</t>
  </si>
  <si>
    <t xml:space="preserve"> 贵州毕节数绿房地产有限公司  </t>
  </si>
  <si>
    <t>毕节金海湖新区梨树镇梨树社区、水牛屯社区</t>
  </si>
  <si>
    <t>BJJHH2020-22</t>
  </si>
  <si>
    <t xml:space="preserve"> 大于或等于1并且小于或等于2.5</t>
  </si>
  <si>
    <t xml:space="preserve"> 小于或等于35</t>
  </si>
  <si>
    <t>七星关区林口镇鸡鸣三省村</t>
  </si>
  <si>
    <t>七星关区2022-CR-030</t>
  </si>
  <si>
    <t xml:space="preserve"> 小于或等于0.6</t>
  </si>
  <si>
    <t xml:space="preserve"> 贵州揽月旅游管理有限公司  </t>
  </si>
  <si>
    <t>毕节市七星关区林口镇鸡鸣三省村</t>
  </si>
  <si>
    <t>七星关区2022-CR-021</t>
  </si>
  <si>
    <t xml:space="preserve"> 小于或等于0.8</t>
  </si>
  <si>
    <t xml:space="preserve"> 小于或等于60</t>
  </si>
  <si>
    <t>七星关区2022-CR-025</t>
  </si>
  <si>
    <t xml:space="preserve"> 小于或等于0.4</t>
  </si>
  <si>
    <t xml:space="preserve"> 小于或等于21</t>
  </si>
  <si>
    <t>七星关区2022-CR-017</t>
  </si>
  <si>
    <t xml:space="preserve"> 小于或等于50</t>
  </si>
  <si>
    <t>七星关区2022-CR-024</t>
  </si>
  <si>
    <t xml:space="preserve"> 小于或等于0.3</t>
  </si>
  <si>
    <t xml:space="preserve"> 小于或等于16</t>
  </si>
  <si>
    <t>七星关区2022-CR-014</t>
  </si>
  <si>
    <t xml:space="preserve"> 小于或等于28</t>
  </si>
  <si>
    <t>七星关区2022-CR-031</t>
  </si>
  <si>
    <t xml:space="preserve"> 小于或等于0.5</t>
  </si>
  <si>
    <t>七星关区2022-CR-029</t>
  </si>
  <si>
    <t xml:space="preserve"> 小于或等于53</t>
  </si>
  <si>
    <t>七星关区2022-CR-018</t>
  </si>
  <si>
    <t>七星关区2022-CR-015</t>
  </si>
  <si>
    <t>七星关区2022-CR-033</t>
  </si>
  <si>
    <t xml:space="preserve"> 小于或等于2.5</t>
  </si>
  <si>
    <t>七星关区2022-CR-027</t>
  </si>
  <si>
    <t xml:space="preserve"> 小于或等于1.3</t>
  </si>
  <si>
    <t>七星关区2022-CR-016</t>
  </si>
  <si>
    <t>七星关区2022-CR-023</t>
  </si>
  <si>
    <t xml:space="preserve"> 小于或等于27</t>
  </si>
  <si>
    <t>七星关区2022-CR-022</t>
  </si>
  <si>
    <t xml:space="preserve"> 小于或等于0.9</t>
  </si>
  <si>
    <t xml:space="preserve"> 小于或等于44</t>
  </si>
  <si>
    <t>七星关区市西街道松山社区</t>
    <phoneticPr fontId="134" type="noConversion"/>
  </si>
  <si>
    <t>七星关区2022-CR-007</t>
  </si>
  <si>
    <t xml:space="preserve"> 贵州省毕节志城企业管理有限公司  </t>
    <phoneticPr fontId="134" type="noConversion"/>
  </si>
  <si>
    <t>国企控股</t>
    <phoneticPr fontId="134" type="noConversion"/>
  </si>
  <si>
    <t>七星关区市西街道百花社区</t>
  </si>
  <si>
    <t>七星关区2022-CR-009</t>
  </si>
  <si>
    <t xml:space="preserve"> 贵州省毕节志城企业管理有限公司  </t>
  </si>
  <si>
    <t>七星关区2022-CR-008</t>
  </si>
  <si>
    <t xml:space="preserve"> 贵州省毕节志诚企业管理有限公司  </t>
  </si>
  <si>
    <t>七星关区市西街道百花社区、翠西社区</t>
    <phoneticPr fontId="134" type="noConversion"/>
  </si>
  <si>
    <t>七星关区2022-CR-010</t>
  </si>
  <si>
    <t>毕节市七星关区南部新区</t>
    <phoneticPr fontId="134" type="noConversion"/>
  </si>
  <si>
    <t>NYX-2021-CR-18</t>
  </si>
  <si>
    <t xml:space="preserve"> 毕节博宇产业开发有限公司  </t>
  </si>
  <si>
    <t>七星关区鸭池镇鸭池社区、干堰塘社区</t>
  </si>
  <si>
    <t>七星关区2021-CR-032</t>
  </si>
  <si>
    <t xml:space="preserve"> 小于或等于24</t>
  </si>
  <si>
    <t xml:space="preserve"> 毕节市七星关区弘瀚置业有限公司  </t>
  </si>
  <si>
    <t>七星关区鸭池镇庙山脚社区</t>
  </si>
  <si>
    <t>七星关区2021-CR-011</t>
  </si>
  <si>
    <t xml:space="preserve"> 毕节市溪发实业有限公司  </t>
  </si>
  <si>
    <t>七星关区放珠镇毛家屯村</t>
  </si>
  <si>
    <t>七星关区2021-CR-038</t>
  </si>
  <si>
    <t xml:space="preserve"> 小于或等于18</t>
  </si>
  <si>
    <t xml:space="preserve"> 毕节市七星关区放珠镇明珠加油站  </t>
  </si>
  <si>
    <t>七星关区田坝桥镇田坝桥社区</t>
    <phoneticPr fontId="134" type="noConversion"/>
  </si>
  <si>
    <t>七星关区2021-CR-045</t>
  </si>
  <si>
    <t xml:space="preserve"> 七星关区田坝桥加油站  </t>
  </si>
  <si>
    <t>七星关区洪山街道金桂社区</t>
  </si>
  <si>
    <t>七星关区2020-CR-053</t>
  </si>
  <si>
    <t xml:space="preserve"> 毕节市天河城建开发投资有限公司  </t>
  </si>
  <si>
    <t>七星关区鸭池镇草堤社区</t>
  </si>
  <si>
    <t>七星关区2021-CR-006</t>
  </si>
  <si>
    <t xml:space="preserve"> 贵州富麒房地产开发有限公司  </t>
  </si>
  <si>
    <t>七星关区鸭池镇青湾社区、头步社区</t>
  </si>
  <si>
    <t>七星关区2021-CR-015</t>
  </si>
  <si>
    <t xml:space="preserve"> 毕节市天厦房地产开发有限公司  </t>
  </si>
  <si>
    <t>七星关区麻园街道杨家塘社区</t>
  </si>
  <si>
    <t>七星关区2020-CR-087</t>
  </si>
  <si>
    <t xml:space="preserve"> 小于或等于65</t>
  </si>
  <si>
    <t xml:space="preserve"> 小于或等于80</t>
  </si>
  <si>
    <t xml:space="preserve"> 毕节恒太青坤置业有限公司  </t>
  </si>
  <si>
    <t>七星关区观音桥街道五里坪社区</t>
  </si>
  <si>
    <t>七星关区2020-CR-007</t>
  </si>
  <si>
    <t xml:space="preserve"> 小于或等于12</t>
  </si>
  <si>
    <t xml:space="preserve"> 毕节市二铺农机服务加油站  </t>
  </si>
  <si>
    <t>七星关区三板桥街道六合社区</t>
  </si>
  <si>
    <t>七星关区2020-CR-029</t>
  </si>
  <si>
    <t xml:space="preserve"> 小于或等于10</t>
  </si>
  <si>
    <t xml:space="preserve"> 陈家奇 、杨松  </t>
  </si>
  <si>
    <t>七星关区2020-CR-028</t>
  </si>
  <si>
    <t xml:space="preserve"> 毕节市领航汽车驾驶培训学校有限公司  </t>
  </si>
  <si>
    <t>七星关区市西街道百花社区</t>
    <phoneticPr fontId="134" type="noConversion"/>
  </si>
  <si>
    <t>七星关区2020-CR-061</t>
    <phoneticPr fontId="134" type="noConversion"/>
  </si>
  <si>
    <t>国企控股</t>
    <phoneticPr fontId="134" type="noConversion"/>
  </si>
  <si>
    <t>七星关区德溪街道德沟社区</t>
  </si>
  <si>
    <t>七星关区2020-CR-060</t>
  </si>
  <si>
    <t xml:space="preserve"> 娱乐用地</t>
  </si>
  <si>
    <t xml:space="preserve"> 毕节市德溪建设开发投资有限公司  </t>
  </si>
  <si>
    <t>毕节金海湖新区梨树镇平乡村</t>
  </si>
  <si>
    <t>BJJHH2020-36</t>
  </si>
  <si>
    <t xml:space="preserve"> 梨树镇</t>
  </si>
  <si>
    <t xml:space="preserve"> 中国石化销售股份有限公司贵州毕节石油分公司  </t>
  </si>
  <si>
    <t>七星关区鸭池镇下坝社区</t>
  </si>
  <si>
    <t>七星关区2019-CR-097</t>
  </si>
  <si>
    <t xml:space="preserve"> 鸭池镇</t>
  </si>
  <si>
    <t xml:space="preserve"> 小于或等于1.5</t>
  </si>
  <si>
    <t xml:space="preserve"> 批发市场用地</t>
  </si>
  <si>
    <t xml:space="preserve"> 毕节微企房地产开发有限公司  </t>
  </si>
  <si>
    <t>七星关区海子街镇小箐沟社区</t>
  </si>
  <si>
    <t>七星关区2020-CR-031</t>
  </si>
  <si>
    <t xml:space="preserve"> 海子街镇</t>
  </si>
  <si>
    <t xml:space="preserve"> 毕节市宇洋技术技能培训有限公司  </t>
  </si>
  <si>
    <t>七星关区朱昌镇双堰社区</t>
  </si>
  <si>
    <t>七星关区2020-CR-005</t>
  </si>
  <si>
    <t xml:space="preserve"> 朱昌镇</t>
  </si>
  <si>
    <t xml:space="preserve"> 小于或等于70</t>
  </si>
  <si>
    <t xml:space="preserve"> 小于或等于15</t>
  </si>
  <si>
    <t>七星关区朱昌镇双堰社区、宋伍社区</t>
  </si>
  <si>
    <t>七星关区2020-CR-006</t>
  </si>
  <si>
    <t xml:space="preserve"> 小于或等于20</t>
  </si>
  <si>
    <t>七星关区德溪街道德沟社区</t>
    <phoneticPr fontId="134" type="noConversion"/>
  </si>
  <si>
    <t>七星关区2020-CR-013</t>
  </si>
  <si>
    <t xml:space="preserve"> 市东街道</t>
  </si>
  <si>
    <t>毕节金海湖新区梨树镇梨树村</t>
  </si>
  <si>
    <t>BJJHH2020-10</t>
  </si>
  <si>
    <t>七星关区观音桥街道迎宾社区</t>
  </si>
  <si>
    <t>七星关区2020-CR-002</t>
  </si>
  <si>
    <t xml:space="preserve"> 观音桥街道</t>
  </si>
  <si>
    <t xml:space="preserve"> 陈秀金  </t>
  </si>
  <si>
    <t>毕节市七星关区拥军路与潜龙桥交汇处北侧</t>
    <phoneticPr fontId="134" type="noConversion"/>
  </si>
  <si>
    <t>BJS2020-03</t>
  </si>
  <si>
    <t xml:space="preserve"> 市西街道</t>
  </si>
  <si>
    <t xml:space="preserve"> 商务金融用地</t>
  </si>
  <si>
    <t xml:space="preserve"> 毕节市煜锦房地产开发有限责任公司  </t>
    <phoneticPr fontId="134" type="noConversion"/>
  </si>
  <si>
    <t>七星关区观音桥街道桥头边社区</t>
  </si>
  <si>
    <t>七星关区2019-CR-104</t>
  </si>
  <si>
    <t>七星关区2019-CR-111</t>
  </si>
  <si>
    <t xml:space="preserve"> 小于或等于1.8</t>
  </si>
  <si>
    <t>七星关区2019-CR-110</t>
  </si>
  <si>
    <t xml:space="preserve"> 小于或等于1.2</t>
  </si>
  <si>
    <t>七星关区鸭池镇鸭池社区</t>
  </si>
  <si>
    <t>七星关区2019-CR-089</t>
  </si>
  <si>
    <t xml:space="preserve"> 毕节市七星关区新宇建设投资有限公司  </t>
  </si>
  <si>
    <t>七星关区麻园街道望城社区</t>
    <phoneticPr fontId="134" type="noConversion"/>
  </si>
  <si>
    <t>七星关区2019-CR-079</t>
    <phoneticPr fontId="134" type="noConversion"/>
  </si>
  <si>
    <t xml:space="preserve"> 小于或等于100</t>
  </si>
  <si>
    <t>七星关区观音桥街道红堰社区</t>
  </si>
  <si>
    <t>七星关区2019-CR-021</t>
  </si>
  <si>
    <t xml:space="preserve"> 中建苗族彝族乡</t>
  </si>
  <si>
    <t>七星关区德溪街道后河社区、鸭池镇甘海子社区</t>
  </si>
  <si>
    <t>七星关区2019-CR-064</t>
  </si>
  <si>
    <t xml:space="preserve"> 小于或等于4.5</t>
  </si>
  <si>
    <t xml:space="preserve"> 毕节市天基房地产开发有限公司  </t>
  </si>
  <si>
    <t>七星关区2019-CR-012</t>
  </si>
  <si>
    <t xml:space="preserve"> 贵州颐景置业有限公司  </t>
  </si>
  <si>
    <t>七星关区碧海街道尚家寨社区、彭家寨社区</t>
  </si>
  <si>
    <t>七星关区2018-CR-033</t>
  </si>
  <si>
    <t xml:space="preserve"> 批发零售用地</t>
  </si>
  <si>
    <t xml:space="preserve"> 贵州靓景乐园房地产开发有限公司  </t>
  </si>
  <si>
    <t>七星关区观音桥街道办事处桥头边村</t>
  </si>
  <si>
    <t>七星关区2017-CR-128</t>
  </si>
  <si>
    <t xml:space="preserve"> 毕节市碧海新区建设投资有限责任公司  </t>
  </si>
  <si>
    <t>七星关区碧阳街道办事处流仓社区</t>
  </si>
  <si>
    <t>七星关区2017-CR-072</t>
  </si>
  <si>
    <t xml:space="preserve"> 小于或等于5.187</t>
  </si>
  <si>
    <t xml:space="preserve"> 梁培德  </t>
  </si>
  <si>
    <t>七星关区鸭池镇上坝村、下坝村</t>
  </si>
  <si>
    <t>七星关区2018-CR-013</t>
  </si>
  <si>
    <t>七星关区鸭池镇头步村</t>
  </si>
  <si>
    <t>七星关区2017-CR-148</t>
  </si>
  <si>
    <t xml:space="preserve"> 毕节市浩宇房地产开发有限公司  </t>
  </si>
  <si>
    <t>七星关区2018-CR-004</t>
  </si>
  <si>
    <t xml:space="preserve"> 小于或等于2.2</t>
  </si>
  <si>
    <t>毕节金海湖新区梨树镇二堡村</t>
  </si>
  <si>
    <t>BJHJHH2018-02</t>
  </si>
  <si>
    <t xml:space="preserve"> 毕节中和置业有限公司  </t>
  </si>
  <si>
    <t>七星关区市西街道办事处翠西社区</t>
  </si>
  <si>
    <t>七星关区2017-CR-115</t>
  </si>
  <si>
    <t>七星关区市西街道办事处翠西社区、百花社区</t>
  </si>
  <si>
    <t>七星关区2017-CR-116</t>
  </si>
  <si>
    <t>七星关区2017-CR-114</t>
  </si>
  <si>
    <t>七星关区鸭池镇营脚村(碧阳二道旁)</t>
  </si>
  <si>
    <t>七星关区2017-CR-036</t>
  </si>
  <si>
    <t xml:space="preserve"> 路琴  </t>
  </si>
  <si>
    <t>七星关区观音桥街道办事处五里坪村</t>
  </si>
  <si>
    <t>七星关区2017-CR-001</t>
  </si>
  <si>
    <t xml:space="preserve"> 贵州威振护运有限公司毕节分公司  </t>
  </si>
  <si>
    <t>七星关区德溪街道办事处碧玉村</t>
  </si>
  <si>
    <t>七星关区2016-CR-025</t>
  </si>
  <si>
    <t xml:space="preserve"> 流仓桥街道</t>
  </si>
  <si>
    <t xml:space="preserve"> 中国石油天然气股份有限公司贵州毕节销售分公司  </t>
  </si>
  <si>
    <t>七星关区鸭池镇甘海子村</t>
  </si>
  <si>
    <t>七星关区2017-CR-024</t>
  </si>
  <si>
    <t xml:space="preserve"> 贵州京泰安能源有限公司  </t>
  </si>
  <si>
    <t>七星关区鸭池镇头步村碧阳二道旁</t>
  </si>
  <si>
    <t>七星关区2016-CR-012</t>
  </si>
  <si>
    <t xml:space="preserve"> 中国石化销售有限公司贵州毕节石油分公司  </t>
  </si>
  <si>
    <t>七星关区市西街道办事处翠西社区草海大道东南侧</t>
  </si>
  <si>
    <t>七星关区2015-CR-021</t>
  </si>
  <si>
    <t xml:space="preserve"> 大于1并且小于或等于5</t>
  </si>
  <si>
    <t xml:space="preserve"> 贵州金熊房地产开发有限公司  </t>
  </si>
  <si>
    <t>七星关区鸭池镇庙脚村</t>
  </si>
  <si>
    <t>七星关区2015-CR-029</t>
  </si>
  <si>
    <t xml:space="preserve"> 等于24</t>
  </si>
  <si>
    <t>七星关区鸭池镇营脚村</t>
  </si>
  <si>
    <t>七星关区2015-CR-027</t>
  </si>
  <si>
    <t xml:space="preserve"> 七星关区罗华汽车修理厂  </t>
  </si>
  <si>
    <t>七星关区龙场营镇龙场村</t>
  </si>
  <si>
    <t>七星关区2015-CR-020</t>
  </si>
  <si>
    <t xml:space="preserve"> 龙场营镇</t>
  </si>
  <si>
    <t xml:space="preserve"> 七星关区龙场营镇加油网点  </t>
  </si>
  <si>
    <t>七星关区2015-CR-025</t>
  </si>
  <si>
    <t xml:space="preserve"> 毕节市荣贵汽车有限公司  </t>
  </si>
  <si>
    <t>七星关区2015-CR-024</t>
  </si>
  <si>
    <t xml:space="preserve"> 毕节市原源汽车销售有限公司  </t>
  </si>
  <si>
    <t>毕节市七星关区威西路</t>
  </si>
  <si>
    <t>BJS2015-06</t>
  </si>
  <si>
    <t xml:space="preserve"> 小于或等于6.91</t>
  </si>
  <si>
    <t xml:space="preserve"> 小于或等于71</t>
  </si>
  <si>
    <t xml:space="preserve"> 毕节市信泰投资有限公司  </t>
  </si>
  <si>
    <t>七星关区2015-CR-057</t>
  </si>
  <si>
    <t xml:space="preserve"> 贵州毕节农村商业银行股份有限公司  </t>
  </si>
  <si>
    <t>七星关区2014-CR-072</t>
  </si>
  <si>
    <t xml:space="preserve"> 大于1并且小于或等于3</t>
  </si>
  <si>
    <t>七星关区2014-CR-074</t>
  </si>
  <si>
    <t>七星关区2015-CR-050</t>
  </si>
  <si>
    <t xml:space="preserve"> 毕节市七星关区微企合作市场建设有限公司  </t>
  </si>
  <si>
    <t>七星关区观音桥街道办事处塘房村</t>
  </si>
  <si>
    <t>七星关区2015-CR-028</t>
  </si>
  <si>
    <t xml:space="preserve"> 毕节市观音桥明磊加油站  </t>
  </si>
  <si>
    <t>七星关区2014-CR-076</t>
  </si>
  <si>
    <t xml:space="preserve"> 李光明  </t>
  </si>
  <si>
    <t>七星关区德溪街道办事处德沟村</t>
  </si>
  <si>
    <t>七星关区2015-CR-012</t>
  </si>
  <si>
    <t xml:space="preserve"> 大于1并且小于或等于4.5</t>
  </si>
  <si>
    <t xml:space="preserve"> 毕节市德顺建筑工程有限公司  </t>
  </si>
  <si>
    <t>七星关区2015-CR-001</t>
  </si>
  <si>
    <t xml:space="preserve"> 小于或等于57</t>
  </si>
  <si>
    <t xml:space="preserve"> 贵州丰盛房地产开发有限公司  </t>
  </si>
  <si>
    <t>七星关区青场镇青坝村</t>
  </si>
  <si>
    <t>七星关区2014-CR-060</t>
  </si>
  <si>
    <t xml:space="preserve"> 青场镇</t>
  </si>
  <si>
    <t xml:space="preserve"> 住宿餐饮用地</t>
  </si>
  <si>
    <t xml:space="preserve"> 吉雄  </t>
  </si>
  <si>
    <t>七星关区2014-CR-101</t>
  </si>
  <si>
    <t xml:space="preserve"> 毕节万方天然气有限公司  </t>
  </si>
  <si>
    <t>七星关区长春堡镇清丰村</t>
  </si>
  <si>
    <t>七星关区2013-CR-118</t>
  </si>
  <si>
    <t xml:space="preserve"> 毕节市奇康汽车驾驶培训学校  </t>
  </si>
  <si>
    <t>七星关区德溪街道办事处碧玉村(原流仓桥办事处碧玉村)</t>
  </si>
  <si>
    <t>七星关区2013-CR-22</t>
  </si>
  <si>
    <t xml:space="preserve"> 等于4</t>
  </si>
  <si>
    <t xml:space="preserve"> 等于40</t>
  </si>
  <si>
    <t xml:space="preserve"> 等于80</t>
  </si>
  <si>
    <t>七星关区2013-CR-21</t>
  </si>
  <si>
    <t>七星关区流仓桥办事处德沟村</t>
  </si>
  <si>
    <t>七星关区2013-CR-78</t>
  </si>
  <si>
    <t xml:space="preserve"> 等于1</t>
  </si>
  <si>
    <t xml:space="preserve"> 等于20</t>
  </si>
  <si>
    <t xml:space="preserve"> 毕节殡仪馆  </t>
  </si>
  <si>
    <t>毕节市中心城区南部新区二号路北侧</t>
  </si>
  <si>
    <t>BJS2013-30</t>
  </si>
  <si>
    <t xml:space="preserve"> 小于或等于3.5</t>
  </si>
  <si>
    <t xml:space="preserve"> 毕节拓海置业有限公司  </t>
  </si>
  <si>
    <t>七星关区海子街镇邵官村</t>
  </si>
  <si>
    <t>七星关区2013-CR-64</t>
  </si>
  <si>
    <t xml:space="preserve"> 赖世华  </t>
  </si>
  <si>
    <t>七星关区2013-CR-51</t>
  </si>
  <si>
    <t xml:space="preserve"> 等于3</t>
  </si>
  <si>
    <t xml:space="preserve"> 等于45</t>
  </si>
  <si>
    <t xml:space="preserve"> 贵州省心缘置业有限公司  </t>
  </si>
  <si>
    <t>七星关区2013-CR-24</t>
  </si>
  <si>
    <t xml:space="preserve"> 等于5.5</t>
  </si>
  <si>
    <t xml:space="preserve"> 等于50</t>
  </si>
  <si>
    <t xml:space="preserve"> 等于100</t>
  </si>
  <si>
    <t xml:space="preserve"> 毕节卓越房地产开发有限公司  </t>
  </si>
  <si>
    <t>毕节市南部新区二号路北段东侧</t>
  </si>
  <si>
    <t>BJS2013-05</t>
  </si>
  <si>
    <t xml:space="preserve"> 中国石油化工股份有限公司贵州毕节石油分公司  </t>
  </si>
  <si>
    <t>七星关区流仓桥办事处后河村</t>
  </si>
  <si>
    <t>七星关区2013-CR-45</t>
  </si>
  <si>
    <t xml:space="preserve"> 毕节万晟置业有限公司  </t>
  </si>
  <si>
    <t>七星关区鸭池镇草堤村</t>
  </si>
  <si>
    <t>七星关区2012-CR-40</t>
  </si>
  <si>
    <t xml:space="preserve"> 等于0.5</t>
  </si>
  <si>
    <t xml:space="preserve"> 等于25</t>
  </si>
  <si>
    <t xml:space="preserve"> 刘昭  </t>
  </si>
  <si>
    <t>七星关区市西街道松山社区</t>
  </si>
  <si>
    <t>毕节市七星关区拥军路与潜龙桥交汇处北侧</t>
  </si>
  <si>
    <t>市西街道</t>
  </si>
  <si>
    <t>商业</t>
    <phoneticPr fontId="3" type="noConversion"/>
  </si>
  <si>
    <t>正常</t>
  </si>
  <si>
    <t>楼面地价</t>
  </si>
  <si>
    <t>已全部缴纳</t>
  </si>
  <si>
    <t>较好</t>
  </si>
  <si>
    <t>一般</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</si>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</sst>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仿宋_GB2312"/>
      <family val="3"/>
      <charset val="134"/>
    </font>
    <font>
      <sz val="12"/>
      <color indexed="8"/>
      <name val="仿宋_GB2312"/>
      <family val="3"/>
      <charset val="134"/>
    </font>
    <font>
      <sz val="10"/>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77" fillId="7" borderId="60" xfId="0" applyFont="1" applyFill="1" applyBorder="1" applyAlignment="1" applyProtection="1">
      <alignment vertical="center" wrapText="1"/>
      <protection locked="0"/>
    </xf>
    <xf numFmtId="183" fontId="269" fillId="0" borderId="1" xfId="0" applyNumberFormat="1" applyFont="1" applyFill="1" applyBorder="1" applyAlignment="1" applyProtection="1">
      <alignment horizontal="center" vertical="center"/>
      <protection locked="0"/>
    </xf>
    <xf numFmtId="177" fontId="270" fillId="5"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wrapText="1"/>
    </xf>
    <xf numFmtId="14" fontId="107" fillId="0" borderId="0" xfId="0" applyNumberFormat="1" applyFont="1" applyAlignment="1">
      <alignment horizontal="left" vertical="center" wrapText="1"/>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77" fillId="12" borderId="0" xfId="0" applyFont="1" applyFill="1" applyAlignment="1" applyProtection="1">
      <alignment vertical="center"/>
      <protection locked="0"/>
    </xf>
    <xf numFmtId="0" fontId="107" fillId="0" borderId="0" xfId="0" applyNumberFormat="1" applyFont="1" applyAlignment="1"/>
    <xf numFmtId="14" fontId="107" fillId="0" borderId="0" xfId="0" applyNumberFormat="1" applyFont="1" applyAlignment="1"/>
    <xf numFmtId="0" fontId="271" fillId="0" borderId="0" xfId="0" applyNumberFormat="1" applyFont="1" applyFill="1" applyAlignment="1"/>
    <xf numFmtId="14" fontId="271" fillId="0" borderId="0" xfId="0" applyNumberFormat="1" applyFont="1" applyFill="1" applyAlignment="1"/>
    <xf numFmtId="0" fontId="271" fillId="0" borderId="0" xfId="0" applyNumberFormat="1" applyFont="1" applyAlignment="1"/>
    <xf numFmtId="14" fontId="271" fillId="0" borderId="0" xfId="0" applyNumberFormat="1" applyFont="1" applyAlignment="1"/>
    <xf numFmtId="0" fontId="271" fillId="5" borderId="0" xfId="0" applyNumberFormat="1" applyFont="1" applyFill="1" applyAlignment="1"/>
    <xf numFmtId="14" fontId="271" fillId="5" borderId="0" xfId="0" applyNumberFormat="1" applyFont="1" applyFill="1" applyAlignment="1"/>
    <xf numFmtId="0" fontId="107" fillId="0" borderId="0" xfId="0" applyNumberFormat="1" applyFont="1" applyFill="1" applyAlignment="1"/>
    <xf numFmtId="0" fontId="107" fillId="5" borderId="0" xfId="0" applyNumberFormat="1" applyFont="1" applyFill="1" applyAlignment="1"/>
    <xf numFmtId="14" fontId="107" fillId="5" borderId="0" xfId="0" applyNumberFormat="1" applyFont="1" applyFill="1" applyAlignment="1"/>
    <xf numFmtId="0" fontId="107" fillId="22" borderId="0" xfId="0"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101" fillId="5" borderId="32" xfId="0" applyFont="1" applyFill="1" applyBorder="1" applyAlignment="1" applyProtection="1">
      <alignment vertical="center"/>
      <protection locked="0"/>
    </xf>
    <xf numFmtId="0" fontId="61" fillId="18"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0" xfId="0" applyFont="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12</xdr:col>
      <xdr:colOff>265131</xdr:colOff>
      <xdr:row>166</xdr:row>
      <xdr:rowOff>141774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125200"/>
          <a:ext cx="12561906" cy="8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7605;&#33410;&#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E00016&#27605;&#33410;&#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433544.95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9976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贵州省毕节市七星关区市西街道天河社区预评估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受贵公司委托，我公司对贵州省毕节市七星关区市西街道天河社区进行了预评估。</v>
      </c>
    </row>
    <row r="7" spans="1:2" s="1203" customFormat="1">
      <c r="A7" s="1201" t="s">
        <v>566</v>
      </c>
      <c r="B7" s="1202" t="str">
        <f>'预评函-1'!A7</f>
        <v>估价对象为贵州省毕节市七星关区市西街道天河社区房地产，为所有。根据《国有土地使用证》[]，估价对象（分摊）出让国有建设用地使用权面积为30070.98平方米，建筑面积为60555.78平方米。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贵州省毕节市七星关区市西街道天河社区房地产,属开发建设的，该项目尚在开发建设中。根据《国有土地使用证》[]，估价对象（分摊）出让国有建设用地使用权面积为30070.98平方米，规划建筑面积为60555.78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2023年2月20日（评估专业人员实地查勘之日）</v>
      </c>
    </row>
    <row r="13" spans="1:2" s="1203" customFormat="1">
      <c r="A13" s="1201" t="s">
        <v>529</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19400</v>
      </c>
    </row>
    <row r="21" spans="1:2" s="1203" customFormat="1">
      <c r="A21" s="1201" t="s">
        <v>537</v>
      </c>
      <c r="B21" s="1202">
        <f ca="1">'预评函-2'!D7</f>
        <v>3204</v>
      </c>
    </row>
    <row r="22" spans="1:2" s="1203" customFormat="1">
      <c r="A22" s="1201" t="s">
        <v>538</v>
      </c>
      <c r="B22" s="1202" t="str">
        <f ca="1">'预评函-2'!D6</f>
        <v>壹亿玖仟肆佰万元整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19400</v>
      </c>
    </row>
    <row r="31" spans="1:2" s="1203" customFormat="1">
      <c r="A31" s="1201" t="s">
        <v>576</v>
      </c>
      <c r="B31" s="1202">
        <f ca="1">'预评函-2'!D15</f>
        <v>3204</v>
      </c>
    </row>
    <row r="32" spans="1:2" s="1203" customFormat="1">
      <c r="A32" s="1201" t="s">
        <v>543</v>
      </c>
      <c r="B32" s="1202" t="str">
        <f ca="1">'预评函-2'!D14</f>
        <v>壹亿玖仟肆佰万元整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贵州省毕节市七星关区市西街道天河社区房地产</v>
      </c>
    </row>
    <row r="42" spans="1:2" s="1203" customFormat="1">
      <c r="A42" s="1201" t="s">
        <v>590</v>
      </c>
      <c r="B42" s="1202" t="str">
        <f>'预评函-3'!B2</f>
        <v>建筑面积</v>
      </c>
    </row>
    <row r="43" spans="1:2" s="1203" customFormat="1">
      <c r="A43" s="1201" t="s">
        <v>591</v>
      </c>
      <c r="B43" s="1202">
        <f>'预评函-3'!B4</f>
        <v>60555.78</v>
      </c>
    </row>
    <row r="44" spans="1:2" s="1203" customFormat="1">
      <c r="A44" s="1201" t="s">
        <v>575</v>
      </c>
      <c r="B44" s="1202" t="str">
        <f>'预评函-3'!C2</f>
        <v>(分摊)土地面积</v>
      </c>
    </row>
    <row r="45" spans="1:2" s="1203" customFormat="1">
      <c r="A45" s="1201" t="s">
        <v>547</v>
      </c>
      <c r="B45" s="1202">
        <f>'预评函-3'!C4</f>
        <v>30070.98</v>
      </c>
    </row>
    <row r="46" spans="1:2" s="1203" customFormat="1">
      <c r="A46" s="1201" t="s">
        <v>573</v>
      </c>
      <c r="B46" s="1202" t="str">
        <f>'预评函-3'!D2</f>
        <v>出让国有建设用地使用权价值</v>
      </c>
    </row>
    <row r="47" spans="1:2" s="1203" customFormat="1">
      <c r="A47" s="1201" t="s">
        <v>548</v>
      </c>
      <c r="B47" s="1202">
        <f ca="1">'预评函-3'!D4</f>
        <v>2813</v>
      </c>
    </row>
    <row r="48" spans="1:2" s="1203" customFormat="1">
      <c r="A48" s="1201" t="s">
        <v>549</v>
      </c>
      <c r="B48" s="1202">
        <f ca="1">'预评函-3'!E4</f>
        <v>465</v>
      </c>
    </row>
    <row r="49" spans="1:2" s="1203" customFormat="1">
      <c r="A49" s="1201" t="s">
        <v>550</v>
      </c>
      <c r="B49" s="1202" t="str">
        <f ca="1">'预评函-3'!D5</f>
        <v>贰仟捌佰壹拾叁万元整</v>
      </c>
    </row>
    <row r="50" spans="1:2" s="1203" customFormat="1">
      <c r="A50" s="1201" t="s">
        <v>574</v>
      </c>
      <c r="B50" s="1202" t="str">
        <f>'预评函-3'!F2</f>
        <v>在建建筑物价值</v>
      </c>
    </row>
    <row r="51" spans="1:2" s="1203" customFormat="1">
      <c r="A51" s="1201" t="s">
        <v>551</v>
      </c>
      <c r="B51" s="1202">
        <f ca="1">'预评函-3'!F4</f>
        <v>16587</v>
      </c>
    </row>
    <row r="52" spans="1:2" s="1203" customFormat="1">
      <c r="A52" s="1201" t="s">
        <v>552</v>
      </c>
      <c r="B52" s="1202">
        <f ca="1">'预评函-3'!G4</f>
        <v>2739</v>
      </c>
    </row>
    <row r="53" spans="1:2" s="1203" customFormat="1">
      <c r="A53" s="1201" t="s">
        <v>580</v>
      </c>
      <c r="B53" s="1202" t="str">
        <f ca="1">'预评函-3'!F5</f>
        <v>壹亿陆仟伍佰捌拾柒万元整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sqref="G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3424</v>
      </c>
      <c r="C5" s="1547" t="s">
        <v>318</v>
      </c>
      <c r="F5" s="1548" t="s">
        <v>1015</v>
      </c>
      <c r="G5" s="1548">
        <v>70</v>
      </c>
      <c r="H5" s="1548" t="s">
        <v>1016</v>
      </c>
      <c r="I5" s="1548" t="s">
        <v>3345</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3346</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3347</v>
      </c>
    </row>
    <row r="8" spans="1:23">
      <c r="A8" s="1546" t="s">
        <v>1025</v>
      </c>
      <c r="B8" s="1546" t="s">
        <v>1026</v>
      </c>
      <c r="C8" s="1547" t="s">
        <v>319</v>
      </c>
      <c r="F8" s="1548" t="s">
        <v>1027</v>
      </c>
      <c r="H8" s="1548" t="s">
        <v>2578</v>
      </c>
      <c r="I8" s="1548" t="s">
        <v>3348</v>
      </c>
    </row>
    <row r="9" spans="1:23">
      <c r="A9" s="1546" t="s">
        <v>1028</v>
      </c>
      <c r="B9" s="1546" t="s">
        <v>1029</v>
      </c>
      <c r="C9" s="1547" t="s">
        <v>320</v>
      </c>
      <c r="F9" s="1548" t="s">
        <v>1030</v>
      </c>
      <c r="H9" s="1548"/>
      <c r="I9" s="1551" t="s">
        <v>3349</v>
      </c>
    </row>
    <row r="10" spans="1:23">
      <c r="A10" s="1546" t="s">
        <v>1031</v>
      </c>
      <c r="B10" s="1546" t="s">
        <v>1032</v>
      </c>
      <c r="C10" s="1547" t="s">
        <v>321</v>
      </c>
      <c r="F10" s="1548" t="s">
        <v>2579</v>
      </c>
      <c r="I10" s="1551" t="s">
        <v>3350</v>
      </c>
    </row>
    <row r="11" spans="1:23">
      <c r="A11" s="1546" t="s">
        <v>1033</v>
      </c>
      <c r="B11" s="1546" t="s">
        <v>1034</v>
      </c>
      <c r="C11" s="1547" t="s">
        <v>322</v>
      </c>
      <c r="F11" s="1548" t="s">
        <v>13</v>
      </c>
      <c r="I11" s="1551" t="s">
        <v>3351</v>
      </c>
    </row>
    <row r="12" spans="1:23">
      <c r="A12" s="1546" t="s">
        <v>1035</v>
      </c>
      <c r="B12" s="1546" t="s">
        <v>1036</v>
      </c>
      <c r="C12" s="1547" t="s">
        <v>323</v>
      </c>
      <c r="I12" s="1551" t="s">
        <v>3352</v>
      </c>
    </row>
    <row r="13" spans="1:23">
      <c r="A13" s="1546" t="s">
        <v>1037</v>
      </c>
      <c r="B13" s="1546" t="s">
        <v>1038</v>
      </c>
      <c r="C13" s="1547" t="s">
        <v>324</v>
      </c>
      <c r="I13" s="1551" t="s">
        <v>3353</v>
      </c>
    </row>
    <row r="14" spans="1:23">
      <c r="A14" s="1546" t="s">
        <v>1039</v>
      </c>
      <c r="B14" s="1546" t="s">
        <v>1040</v>
      </c>
      <c r="C14" s="1548" t="s">
        <v>13</v>
      </c>
      <c r="I14" s="1551" t="s">
        <v>3354</v>
      </c>
    </row>
    <row r="15" spans="1:23">
      <c r="A15" s="1546" t="s">
        <v>1041</v>
      </c>
      <c r="B15" s="1546" t="s">
        <v>1042</v>
      </c>
      <c r="C15" s="1547"/>
      <c r="I15" s="1551" t="s">
        <v>3355</v>
      </c>
    </row>
    <row r="16" spans="1:23">
      <c r="A16" s="1546" t="s">
        <v>1043</v>
      </c>
      <c r="B16" s="1546" t="s">
        <v>312</v>
      </c>
      <c r="C16" s="1547"/>
    </row>
    <row r="17" spans="1:3">
      <c r="A17" s="1546" t="s">
        <v>1044</v>
      </c>
      <c r="B17" s="1546" t="s">
        <v>2291</v>
      </c>
      <c r="C17" s="1547"/>
    </row>
    <row r="18" spans="1:3">
      <c r="A18" s="1546" t="s">
        <v>1045</v>
      </c>
      <c r="B18" s="1546" t="s">
        <v>2434</v>
      </c>
      <c r="C18" s="1547"/>
    </row>
    <row r="19" spans="1:3">
      <c r="A19" s="1546" t="s">
        <v>1046</v>
      </c>
      <c r="B19" s="1546" t="s">
        <v>3426</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毕节市七星关区市西街道天河社区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26" t="s">
        <v>2581</v>
      </c>
      <c r="J2" s="3526"/>
      <c r="K2" s="3526"/>
      <c r="L2" s="3526"/>
      <c r="M2" s="3526"/>
      <c r="N2" s="3526"/>
      <c r="O2" s="3526"/>
      <c r="P2" s="3526"/>
      <c r="Q2" s="3526"/>
      <c r="R2" s="3526"/>
    </row>
    <row r="3" spans="1:18">
      <c r="A3" s="3018" t="s">
        <v>2502</v>
      </c>
      <c r="B3" s="3019">
        <f>项目基本情况!D3</f>
        <v>44977</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3.83</v>
      </c>
      <c r="D5" s="3023">
        <f>IF(ISERROR(ROUND(POWER(1+E5,A5-C5)*(POWER(1+E5,C5)-1)/(POWER(1+E5,A5)-1),3)),0,ROUND(POWER(1+E5,A5-C5)*(POWER(1+E5,C5)-1)/(POWER(1+E5,A5)-1),4))</f>
        <v>0.1762</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13.83</v>
      </c>
      <c r="D6" s="3023">
        <f>IF(ISERROR(ROUND(POWER(1+E6,A6-C6)*(POWER(1+E6,C6)-1)/(POWER(1+E6,A6)-1),3)),0,ROUND(POWER(1+E6,A6-C6)*(POWER(1+E6,C6)-1)/(POWER(1+E6,A6)-1),4))</f>
        <v>0.48720000000000002</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33.85</v>
      </c>
      <c r="D7" s="3023">
        <f>IF(ISERROR(ROUND(POWER(1+E7,A7-C7)*(POWER(1+E7,C7)-1)/(POWER(1+E7,A7)-1),3)),0,ROUND(POWER(1+E7,A7-C7)*(POWER(1+E7,C7)-1)/(POWER(1+E7,A7)-1),4))</f>
        <v>0.7853</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7" sqref="E17:I17"/>
    </sheetView>
  </sheetViews>
  <sheetFormatPr defaultColWidth="10" defaultRowHeight="12.75"/>
  <cols>
    <col min="1" max="1" width="16.875" style="1745" customWidth="1"/>
    <col min="2" max="2" width="10" style="1745" customWidth="1"/>
    <col min="3" max="3" width="11.5" style="1745" customWidth="1"/>
    <col min="4" max="4" width="17.75" style="1745" customWidth="1"/>
    <col min="5" max="5" width="12.625" style="1745" customWidth="1"/>
    <col min="6" max="6" width="17.875"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27" t="str">
        <f>IF(B10="北京市","北京市",C10)&amp;F10&amp;IF(结果表!G1="在建","出让国有建设用地使用权及在建建筑物",IF(结果表!G1="土地","出让国有建设用地使用权",))&amp;B9&amp;"预评估"</f>
        <v>贵州省毕节市七星关区市西街道天河社区预评估</v>
      </c>
      <c r="C1" s="3528"/>
      <c r="D1" s="3528"/>
      <c r="E1" s="3528"/>
      <c r="F1" s="3528"/>
      <c r="G1" s="3528"/>
      <c r="H1" s="3528"/>
      <c r="I1" s="352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贵州省毕节市七星关区市西街道天河社区</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贵州省毕节市七星关区市西街道天河社区房地产</v>
      </c>
      <c r="T2" s="1745"/>
      <c r="U2" s="1745"/>
      <c r="V2" s="1745"/>
      <c r="W2" s="1745"/>
      <c r="X2" s="1745"/>
      <c r="Y2" s="1745"/>
      <c r="Z2" s="1745"/>
      <c r="AA2" s="1745"/>
      <c r="AB2" s="1745"/>
    </row>
    <row r="3" spans="1:30">
      <c r="A3" s="302" t="s">
        <v>2168</v>
      </c>
      <c r="B3" s="2373">
        <v>44977</v>
      </c>
      <c r="C3" s="2374" t="s">
        <v>2169</v>
      </c>
      <c r="D3" s="2373">
        <v>44977</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c r="C8" s="2390"/>
      <c r="D8" s="3530" t="s">
        <v>2175</v>
      </c>
      <c r="E8" s="2391"/>
      <c r="F8" s="2392"/>
      <c r="G8" s="2662"/>
      <c r="H8" s="2662"/>
      <c r="I8" s="2662"/>
      <c r="J8" s="2438"/>
      <c r="K8" s="2613"/>
      <c r="L8" s="2612"/>
      <c r="M8" s="2612"/>
      <c r="N8" s="2438"/>
      <c r="O8" s="2449"/>
      <c r="P8" s="2438"/>
      <c r="Q8" s="2438"/>
      <c r="R8" s="2438"/>
    </row>
    <row r="9" spans="1:30" ht="13.5" thickBot="1">
      <c r="A9" s="2393" t="s">
        <v>2176</v>
      </c>
      <c r="B9" s="2394"/>
      <c r="C9" s="2395"/>
      <c r="D9" s="3531"/>
      <c r="E9" s="2394"/>
      <c r="F9" s="2396"/>
      <c r="G9" s="2664"/>
      <c r="H9" s="2664"/>
      <c r="I9" s="2664"/>
      <c r="J9" s="2438"/>
      <c r="K9" s="2615"/>
      <c r="L9" s="2612"/>
      <c r="M9" s="2612"/>
      <c r="N9" s="2438"/>
      <c r="O9" s="2449"/>
      <c r="P9" s="2438"/>
      <c r="Q9" s="2438"/>
      <c r="R9" s="2438"/>
    </row>
    <row r="10" spans="1:30" ht="13.5" thickTop="1">
      <c r="A10" s="2397" t="s">
        <v>2177</v>
      </c>
      <c r="B10" s="2398" t="s">
        <v>3379</v>
      </c>
      <c r="C10" s="3460" t="s">
        <v>3380</v>
      </c>
      <c r="D10" s="2382"/>
      <c r="E10" s="2399" t="s">
        <v>2178</v>
      </c>
      <c r="F10" s="3459" t="s">
        <v>3378</v>
      </c>
      <c r="G10" s="2665"/>
      <c r="H10" s="2666"/>
      <c r="I10" s="2667"/>
      <c r="J10" s="2438"/>
      <c r="K10" s="2615"/>
      <c r="L10" s="2612"/>
      <c r="M10" s="2612"/>
      <c r="N10" s="2438"/>
      <c r="O10" s="2449"/>
      <c r="P10" s="2438"/>
      <c r="Q10" s="2438"/>
      <c r="R10" s="2438"/>
    </row>
    <row r="11" spans="1:30">
      <c r="A11" s="2400" t="s">
        <v>2179</v>
      </c>
      <c r="B11" s="2401" t="s">
        <v>3381</v>
      </c>
      <c r="C11" s="2402"/>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c r="A13" s="3421" t="s">
        <v>3337</v>
      </c>
      <c r="B13" s="2406" t="s">
        <v>2188</v>
      </c>
      <c r="C13" s="856"/>
      <c r="D13" s="3461">
        <f>面积指标!E11</f>
        <v>57845</v>
      </c>
      <c r="E13" s="856"/>
      <c r="F13" s="3461">
        <f>D13</f>
        <v>57845</v>
      </c>
      <c r="G13" s="856"/>
      <c r="H13" s="856"/>
      <c r="I13" s="856"/>
      <c r="J13" s="3060"/>
      <c r="K13" s="2612"/>
      <c r="L13" s="2612"/>
      <c r="M13" s="2438"/>
      <c r="N13" s="2449"/>
      <c r="O13" s="2438"/>
      <c r="P13" s="2438"/>
      <c r="Q13" s="2438"/>
      <c r="AD13" s="1745"/>
    </row>
    <row r="14" spans="1:30" ht="14.25">
      <c r="A14" s="1081"/>
      <c r="B14" s="2406" t="s">
        <v>2189</v>
      </c>
      <c r="C14" s="2407"/>
      <c r="D14" s="3462">
        <v>40</v>
      </c>
      <c r="E14" s="2407"/>
      <c r="F14" s="3462">
        <v>50</v>
      </c>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35.25</v>
      </c>
      <c r="E15" s="2409" t="str">
        <f>IF(A13="出让",IF(E13="","",ROUNDDOWN(MIN((E13-$D$3)/365,E14),2)),E14)</f>
        <v/>
      </c>
      <c r="F15" s="2409">
        <f>IF(A13="出让",IF(F13="","",ROUNDDOWN(MIN((F13-$D$3)/365,F14),2)),F14)</f>
        <v>35.25</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2191</v>
      </c>
      <c r="B16" s="3537"/>
      <c r="C16" s="3538"/>
      <c r="D16" s="3539"/>
      <c r="E16" s="2412" t="s">
        <v>2192</v>
      </c>
      <c r="F16" s="3540"/>
      <c r="G16" s="3541"/>
      <c r="H16" s="3541"/>
      <c r="I16" s="3542"/>
      <c r="J16" s="2438"/>
      <c r="K16" s="2616"/>
      <c r="L16" s="2450"/>
      <c r="M16" s="2450"/>
      <c r="N16" s="2508"/>
      <c r="O16" s="2450"/>
      <c r="P16" s="2508"/>
      <c r="Q16" s="2438"/>
      <c r="R16" s="2438"/>
    </row>
    <row r="17" spans="1:28">
      <c r="A17" s="313" t="s">
        <v>2193</v>
      </c>
      <c r="B17" s="302" t="s">
        <v>2194</v>
      </c>
      <c r="C17" s="8">
        <f>'数据-汇总表'!E3</f>
        <v>60555.78</v>
      </c>
      <c r="D17" s="2322" t="s">
        <v>2195</v>
      </c>
      <c r="E17" s="3543" t="s">
        <v>2196</v>
      </c>
      <c r="F17" s="3544"/>
      <c r="G17" s="3544"/>
      <c r="H17" s="3544"/>
      <c r="I17" s="3545"/>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30070.98</v>
      </c>
      <c r="D18" s="1092" t="s">
        <v>2199</v>
      </c>
      <c r="E18" s="3546" t="s">
        <v>2200</v>
      </c>
      <c r="F18" s="3547"/>
      <c r="G18" s="3547"/>
      <c r="H18" s="3547"/>
      <c r="I18" s="3548"/>
      <c r="J18" s="2438"/>
      <c r="K18" s="2617"/>
      <c r="L18" s="2450"/>
      <c r="M18" s="2450"/>
      <c r="N18" s="2508"/>
      <c r="O18" s="2450"/>
      <c r="P18" s="2508"/>
      <c r="Q18" s="2438"/>
      <c r="R18" s="2438"/>
      <c r="S18" s="2438"/>
      <c r="T18" s="2438"/>
      <c r="U18" s="2438"/>
      <c r="V18" s="2438"/>
    </row>
    <row r="19" spans="1:28" ht="25.5" thickTop="1" thickBot="1">
      <c r="A19" s="327" t="s">
        <v>1054</v>
      </c>
      <c r="B19" s="307" t="s">
        <v>2201</v>
      </c>
      <c r="C19" s="1563"/>
      <c r="D19" s="1564" t="s">
        <v>2202</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2203</v>
      </c>
      <c r="B20" s="3533" t="s">
        <v>2204</v>
      </c>
      <c r="C20" s="3534"/>
      <c r="D20" s="3535" t="s">
        <v>2205</v>
      </c>
      <c r="E20" s="3536"/>
      <c r="F20" s="2646" t="s">
        <v>1055</v>
      </c>
      <c r="G20" s="2663"/>
      <c r="H20" s="2663"/>
      <c r="I20" s="2663"/>
      <c r="J20" s="2438"/>
      <c r="K20" s="3532"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2207</v>
      </c>
      <c r="C21" s="2633" t="s">
        <v>1056</v>
      </c>
      <c r="D21" s="1568" t="s">
        <v>2208</v>
      </c>
      <c r="E21" s="2634" t="s">
        <v>1056</v>
      </c>
      <c r="F21" s="2647"/>
      <c r="G21" s="2663"/>
      <c r="H21" s="2663"/>
      <c r="I21" s="2663"/>
      <c r="J21" s="2438"/>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2209</v>
      </c>
      <c r="C22" s="2633" t="s">
        <v>1057</v>
      </c>
      <c r="D22" s="2662"/>
      <c r="E22" s="2662"/>
      <c r="F22" s="2662"/>
      <c r="G22" s="2663"/>
      <c r="H22" s="2663"/>
      <c r="I22" s="2663"/>
      <c r="J22" s="2438"/>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0"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0"/>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0"/>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1"/>
      <c r="B30" s="302" t="s">
        <v>2216</v>
      </c>
      <c r="C30" s="3552"/>
      <c r="D30" s="3553"/>
      <c r="E30" s="2663"/>
      <c r="F30" s="2663"/>
      <c r="G30" s="2663"/>
      <c r="H30" s="2663"/>
      <c r="I30" s="2663"/>
      <c r="J30" s="2438"/>
      <c r="K30" s="2615"/>
      <c r="L30" s="2612"/>
      <c r="M30" s="2612"/>
      <c r="N30" s="2438"/>
      <c r="O30" s="2449"/>
      <c r="P30" s="2438"/>
      <c r="Q30" s="2438"/>
      <c r="R30" s="2438"/>
      <c r="S30" s="2438"/>
      <c r="T30" s="2438"/>
      <c r="U30" s="2438"/>
      <c r="V30" s="2438"/>
    </row>
    <row r="31" spans="1:28">
      <c r="A31" s="3554" t="s">
        <v>2217</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6"/>
      <c r="C34" s="2026"/>
      <c r="D34" s="2026"/>
      <c r="E34" s="2026"/>
      <c r="F34" s="2026"/>
      <c r="G34" s="2026"/>
      <c r="H34" s="2026"/>
      <c r="I34" s="2663"/>
      <c r="J34" s="2438"/>
      <c r="K34" s="2426">
        <f>COUNTIF(B34:H34,"——")</f>
        <v>0</v>
      </c>
      <c r="L34" s="323" t="s">
        <v>2219</v>
      </c>
      <c r="M34" s="323" t="s">
        <v>2220</v>
      </c>
      <c r="N34" s="323" t="s">
        <v>2221</v>
      </c>
      <c r="O34" s="323" t="s">
        <v>2222</v>
      </c>
      <c r="P34" s="323" t="s">
        <v>2223</v>
      </c>
      <c r="Q34" s="323" t="s">
        <v>2224</v>
      </c>
      <c r="R34" s="323" t="s">
        <v>2225</v>
      </c>
      <c r="S34" s="3549" t="s">
        <v>2226</v>
      </c>
      <c r="T34" s="2427" t="str">
        <f>NUMBERSTRING(7-K34,1)&amp;"通"</f>
        <v>七通</v>
      </c>
      <c r="U34" s="2438"/>
      <c r="V34" s="2438"/>
    </row>
    <row r="35" spans="1:30">
      <c r="A35" s="2428"/>
      <c r="B35" s="3556" t="s">
        <v>2227</v>
      </c>
      <c r="C35" s="3556"/>
      <c r="D35" s="3556"/>
      <c r="E35" s="3556"/>
      <c r="F35" s="664" t="str">
        <f>C10</f>
        <v>贵州省毕节市</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2231</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I24" sqref="AI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hidden="1" customWidth="1"/>
    <col min="11" max="11" width="11" style="1573" customWidth="1"/>
    <col min="12" max="12" width="9.5" style="1573" hidden="1" customWidth="1"/>
    <col min="13" max="13" width="9.5" style="1573" customWidth="1"/>
    <col min="14"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面积指标!B11</f>
        <v>30070.98</v>
      </c>
      <c r="B3" s="11">
        <f>IF(C3="否",G5-AT5,G5)</f>
        <v>60555.78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60555.78</v>
      </c>
      <c r="H5" s="13">
        <f t="shared" ref="H5:AT5" si="0">SUM(H13:H656)</f>
        <v>55195.44</v>
      </c>
      <c r="I5" s="13">
        <f t="shared" si="0"/>
        <v>6832.22</v>
      </c>
      <c r="J5" s="13">
        <f t="shared" si="0"/>
        <v>0</v>
      </c>
      <c r="K5" s="13">
        <f t="shared" si="0"/>
        <v>8479.49</v>
      </c>
      <c r="L5" s="13">
        <f t="shared" si="0"/>
        <v>0</v>
      </c>
      <c r="M5" s="13">
        <f t="shared" si="0"/>
        <v>39883.730000000003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5360.3399999999956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558.59999999999945</v>
      </c>
      <c r="AM5" s="13">
        <f t="shared" si="0"/>
        <v>0</v>
      </c>
      <c r="AN5" s="13">
        <f t="shared" si="0"/>
        <v>4801.7399999999961</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60555.78</v>
      </c>
      <c r="BA5" s="15">
        <f t="shared" si="1"/>
        <v>55195.44</v>
      </c>
      <c r="BB5" s="15">
        <f t="shared" si="1"/>
        <v>6832.22</v>
      </c>
      <c r="BC5" s="15">
        <f t="shared" si="1"/>
        <v>8479.49</v>
      </c>
      <c r="BD5" s="15">
        <f t="shared" si="1"/>
        <v>39883.730000000003</v>
      </c>
      <c r="BE5" s="15">
        <f t="shared" si="1"/>
        <v>0</v>
      </c>
      <c r="BF5" s="15">
        <f t="shared" si="1"/>
        <v>0</v>
      </c>
      <c r="BG5" s="15">
        <f t="shared" si="1"/>
        <v>0</v>
      </c>
      <c r="BH5" s="15">
        <f t="shared" si="1"/>
        <v>0</v>
      </c>
      <c r="BI5" s="15">
        <f t="shared" si="1"/>
        <v>0</v>
      </c>
      <c r="BJ5" s="15">
        <f t="shared" si="1"/>
        <v>0</v>
      </c>
      <c r="BK5" s="15">
        <f t="shared" si="1"/>
        <v>0</v>
      </c>
      <c r="BL5" s="15">
        <f t="shared" si="1"/>
        <v>5360.3399999999956</v>
      </c>
      <c r="BM5" s="15">
        <f t="shared" si="1"/>
        <v>0</v>
      </c>
      <c r="BN5" s="15">
        <f t="shared" si="1"/>
        <v>0</v>
      </c>
      <c r="BO5" s="15">
        <f t="shared" si="1"/>
        <v>0</v>
      </c>
      <c r="BP5" s="15">
        <f t="shared" si="1"/>
        <v>0</v>
      </c>
      <c r="BQ5" s="15">
        <f t="shared" si="1"/>
        <v>558.59999999999945</v>
      </c>
      <c r="BR5" s="15">
        <f t="shared" si="1"/>
        <v>4801.7399999999961</v>
      </c>
      <c r="BS5" s="15">
        <f t="shared" si="1"/>
        <v>0</v>
      </c>
      <c r="BT5" s="16">
        <f t="shared" si="1"/>
        <v>0</v>
      </c>
    </row>
    <row r="6" spans="1:72" s="1589" customFormat="1" ht="12.75">
      <c r="A6" s="12" t="s">
        <v>1071</v>
      </c>
      <c r="B6" s="1586"/>
      <c r="C6" s="1586"/>
      <c r="D6" s="1587"/>
      <c r="E6" s="13">
        <f>H6+AC6+AT6</f>
        <v>30070.98</v>
      </c>
      <c r="F6" s="13" t="s">
        <v>0</v>
      </c>
      <c r="G6" s="13" t="s">
        <v>1</v>
      </c>
      <c r="H6" s="17">
        <f>SUMIF(I$12:AB$12,"总值",I6:AB6)</f>
        <v>27409.13</v>
      </c>
      <c r="I6" s="13">
        <f t="shared" ref="I6:AB6" si="2">ROUND($A$3*I5/$B$3,2)</f>
        <v>3392.77</v>
      </c>
      <c r="J6" s="13">
        <f t="shared" si="2"/>
        <v>0</v>
      </c>
      <c r="K6" s="13">
        <f t="shared" si="2"/>
        <v>4210.7700000000004</v>
      </c>
      <c r="L6" s="13">
        <f t="shared" si="2"/>
        <v>0</v>
      </c>
      <c r="M6" s="13">
        <f t="shared" si="2"/>
        <v>19805.59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2661.85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277.39</v>
      </c>
      <c r="AM6" s="13">
        <f t="shared" si="3"/>
        <v>0</v>
      </c>
      <c r="AN6" s="13">
        <f t="shared" si="3"/>
        <v>2384.46</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30070.98</v>
      </c>
      <c r="AZ6" s="13" t="s">
        <v>2</v>
      </c>
      <c r="BA6" s="13">
        <f>ROUND($AY$6*BA5/$AZ$5,2)</f>
        <v>27409.13</v>
      </c>
      <c r="BB6" s="13">
        <f>ROUND($AY$6*BB5/$AZ$5,2)</f>
        <v>3392.77</v>
      </c>
      <c r="BC6" s="13">
        <f t="shared" ref="BC6:BH6" si="4">ROUND($AY$6*BC5/$AZ$5,2)</f>
        <v>4210.7700000000004</v>
      </c>
      <c r="BD6" s="13">
        <f t="shared" si="4"/>
        <v>19805.59</v>
      </c>
      <c r="BE6" s="13">
        <f t="shared" si="4"/>
        <v>0</v>
      </c>
      <c r="BF6" s="13">
        <f t="shared" si="4"/>
        <v>0</v>
      </c>
      <c r="BG6" s="13">
        <f t="shared" si="4"/>
        <v>0</v>
      </c>
      <c r="BH6" s="13">
        <f t="shared" si="4"/>
        <v>0</v>
      </c>
      <c r="BI6" s="13">
        <f t="shared" ref="BI6:BT6" si="5">ROUND($AY$6*BI5/$AZ$5,2)</f>
        <v>0</v>
      </c>
      <c r="BJ6" s="13">
        <f t="shared" si="5"/>
        <v>0</v>
      </c>
      <c r="BK6" s="13">
        <f t="shared" si="5"/>
        <v>0</v>
      </c>
      <c r="BL6" s="13">
        <f t="shared" si="5"/>
        <v>2661.85</v>
      </c>
      <c r="BM6" s="13">
        <f t="shared" si="5"/>
        <v>0</v>
      </c>
      <c r="BN6" s="13">
        <f t="shared" si="5"/>
        <v>0</v>
      </c>
      <c r="BO6" s="13">
        <f t="shared" si="5"/>
        <v>0</v>
      </c>
      <c r="BP6" s="13">
        <f t="shared" si="5"/>
        <v>0</v>
      </c>
      <c r="BQ6" s="13">
        <f t="shared" si="5"/>
        <v>277.39</v>
      </c>
      <c r="BR6" s="13">
        <f t="shared" si="5"/>
        <v>2384.46</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3465" t="s">
        <v>3411</v>
      </c>
      <c r="J9" s="809"/>
      <c r="K9" s="3465" t="s">
        <v>3413</v>
      </c>
      <c r="L9" s="809"/>
      <c r="M9" s="3465" t="s">
        <v>3413</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3465" t="s">
        <v>673</v>
      </c>
      <c r="J10" s="809"/>
      <c r="K10" s="3467" t="s">
        <v>673</v>
      </c>
      <c r="L10" s="809"/>
      <c r="M10" s="3467" t="s">
        <v>3338</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3466" t="s">
        <v>3412</v>
      </c>
      <c r="J11" s="1615"/>
      <c r="K11" s="3466" t="s">
        <v>3412</v>
      </c>
      <c r="L11" s="1615"/>
      <c r="M11" s="1614" t="s">
        <v>3338</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30070.98</v>
      </c>
      <c r="F13" s="29"/>
      <c r="G13" s="30">
        <f>H13+AC13+AT13</f>
        <v>60555.78</v>
      </c>
      <c r="H13" s="17">
        <f>SUMIF(I$12:AB$12,"总值",I13:AB13)</f>
        <v>55195.44</v>
      </c>
      <c r="I13" s="1626">
        <v>6832.22</v>
      </c>
      <c r="J13" s="1626"/>
      <c r="K13" s="1626">
        <v>8479.49</v>
      </c>
      <c r="L13" s="1626"/>
      <c r="M13" s="1626">
        <v>39883.730000000003</v>
      </c>
      <c r="N13" s="1626"/>
      <c r="O13" s="1626"/>
      <c r="P13" s="1626"/>
      <c r="Q13" s="1626"/>
      <c r="R13" s="1626"/>
      <c r="S13" s="1626"/>
      <c r="T13" s="1626"/>
      <c r="U13" s="1626"/>
      <c r="V13" s="1626"/>
      <c r="W13" s="1626"/>
      <c r="X13" s="1626"/>
      <c r="Y13" s="1626"/>
      <c r="Z13" s="1626"/>
      <c r="AA13" s="1626"/>
      <c r="AB13" s="1626"/>
      <c r="AC13" s="13">
        <f>SUMIF(AD$12:AS$12,"总值",AD13:AS13)</f>
        <v>5360.3399999999956</v>
      </c>
      <c r="AD13" s="1627"/>
      <c r="AE13" s="1627"/>
      <c r="AF13" s="1627"/>
      <c r="AG13" s="1627"/>
      <c r="AH13" s="1627"/>
      <c r="AI13" s="1627"/>
      <c r="AJ13" s="1627"/>
      <c r="AK13" s="1627"/>
      <c r="AL13" s="1627">
        <f>7390.82-I13</f>
        <v>558.59999999999945</v>
      </c>
      <c r="AM13" s="1627"/>
      <c r="AN13" s="1627">
        <f>53164.96-M13-K13</f>
        <v>4801.7399999999961</v>
      </c>
      <c r="AO13" s="1627"/>
      <c r="AP13" s="1627"/>
      <c r="AQ13" s="1627"/>
      <c r="AR13" s="1627"/>
      <c r="AS13" s="1627"/>
      <c r="AT13" s="1628"/>
      <c r="AU13" s="1629"/>
      <c r="AV13" s="8">
        <f t="shared" ref="AV13:AX17" si="6">A13</f>
        <v>0</v>
      </c>
      <c r="AW13" s="8">
        <f t="shared" si="6"/>
        <v>0</v>
      </c>
      <c r="AX13" s="8">
        <f t="shared" si="6"/>
        <v>0</v>
      </c>
      <c r="AY13" s="1349">
        <f>ROUND($AY$6*AZ13/$AZ$5,2)</f>
        <v>30070.98</v>
      </c>
      <c r="AZ13" s="13">
        <f>BA13+BL13</f>
        <v>60555.78</v>
      </c>
      <c r="BA13" s="13">
        <f>SUM(BB13:BK13)</f>
        <v>55195.44</v>
      </c>
      <c r="BB13" s="13">
        <f>IF($D13="是",I13-J13,0)</f>
        <v>6832.22</v>
      </c>
      <c r="BC13" s="13">
        <f>IF($D13="是",K13-L13,0)</f>
        <v>8479.49</v>
      </c>
      <c r="BD13" s="13">
        <f>IF($D13="是",M13-N13,0)</f>
        <v>39883.730000000003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5360.3399999999956</v>
      </c>
      <c r="BM13" s="13">
        <f>IF($D13="是",AD13-AE13,0)</f>
        <v>0</v>
      </c>
      <c r="BN13" s="13">
        <f>IF($D13="是",AF13-AG13,0)</f>
        <v>0</v>
      </c>
      <c r="BO13" s="13">
        <f>IF($D13="是",AH13-AI13,0)</f>
        <v>0</v>
      </c>
      <c r="BP13" s="13">
        <f>IF($D13="是",AJ13-AK13,0)</f>
        <v>0</v>
      </c>
      <c r="BQ13" s="13">
        <f>IF($D13="是",AL13-AM13,0)</f>
        <v>558.59999999999945</v>
      </c>
      <c r="BR13" s="13">
        <f>IF($D13="是",AN13-AO13,0)</f>
        <v>4801.7399999999961</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11"/>
  <sheetViews>
    <sheetView workbookViewId="0">
      <selection activeCell="H21" sqref="H21"/>
    </sheetView>
  </sheetViews>
  <sheetFormatPr defaultRowHeight="12"/>
  <cols>
    <col min="1" max="1" width="19.625" style="3463" customWidth="1"/>
    <col min="2" max="2" width="9" style="3463"/>
    <col min="3" max="3" width="14.5" style="3463" customWidth="1"/>
    <col min="4" max="4" width="10.625" style="3463" customWidth="1"/>
    <col min="5" max="5" width="9.375" style="3463" bestFit="1" customWidth="1"/>
    <col min="6" max="6" width="7" style="3463" customWidth="1"/>
    <col min="7" max="7" width="9" style="3463"/>
    <col min="8" max="9" width="9.375" style="3463" bestFit="1" customWidth="1"/>
    <col min="10" max="10" width="9" style="3463"/>
    <col min="11" max="11" width="9.375" style="3463" bestFit="1" customWidth="1"/>
    <col min="12" max="16384" width="9" style="3463"/>
  </cols>
  <sheetData>
    <row r="2" spans="1:11">
      <c r="A2" s="3557" t="s">
        <v>3382</v>
      </c>
      <c r="B2" s="3557"/>
      <c r="C2" s="3557"/>
      <c r="D2" s="3557"/>
      <c r="E2" s="3557"/>
      <c r="F2" s="3557"/>
      <c r="G2" s="3557"/>
    </row>
    <row r="3" spans="1:11" ht="24">
      <c r="A3" s="3463" t="s">
        <v>3383</v>
      </c>
      <c r="B3" s="3463" t="s">
        <v>3384</v>
      </c>
      <c r="C3" s="3463" t="s">
        <v>3385</v>
      </c>
      <c r="D3" s="3463" t="s">
        <v>3386</v>
      </c>
      <c r="E3" s="3463" t="s">
        <v>3387</v>
      </c>
      <c r="F3" s="3463" t="s">
        <v>3388</v>
      </c>
      <c r="G3" s="3463" t="s">
        <v>3389</v>
      </c>
      <c r="H3" s="3463" t="s">
        <v>3390</v>
      </c>
      <c r="I3" s="3463" t="s">
        <v>3391</v>
      </c>
      <c r="J3" s="3463" t="s">
        <v>3392</v>
      </c>
      <c r="K3" s="3463" t="s">
        <v>3393</v>
      </c>
    </row>
    <row r="4" spans="1:11" ht="36">
      <c r="A4" s="3463" t="s">
        <v>3394</v>
      </c>
      <c r="B4" s="3463">
        <v>30203.49</v>
      </c>
      <c r="C4" s="3463" t="s">
        <v>3395</v>
      </c>
      <c r="D4" s="3463">
        <v>20000</v>
      </c>
      <c r="E4" s="3463">
        <v>66447.67</v>
      </c>
      <c r="F4" s="3463" t="s">
        <v>3396</v>
      </c>
      <c r="G4" s="3463" t="s">
        <v>3397</v>
      </c>
      <c r="H4" s="3464">
        <v>43297</v>
      </c>
      <c r="I4" s="3464">
        <v>44393</v>
      </c>
      <c r="J4" s="3463" t="s">
        <v>3398</v>
      </c>
      <c r="K4" s="3464">
        <v>43206</v>
      </c>
    </row>
    <row r="5" spans="1:11" ht="24">
      <c r="D5" s="3463" t="s">
        <v>3399</v>
      </c>
      <c r="E5" s="3463">
        <v>7300</v>
      </c>
    </row>
    <row r="6" spans="1:11" ht="36">
      <c r="D6" s="3463" t="s">
        <v>3400</v>
      </c>
      <c r="E6" s="3463">
        <v>53100</v>
      </c>
    </row>
    <row r="7" spans="1:11" ht="24">
      <c r="D7" s="3463" t="s">
        <v>3401</v>
      </c>
      <c r="E7" s="3463" t="s">
        <v>3402</v>
      </c>
    </row>
    <row r="8" spans="1:11">
      <c r="D8" s="3463" t="s">
        <v>3403</v>
      </c>
      <c r="E8" s="3463">
        <v>13000</v>
      </c>
    </row>
    <row r="10" spans="1:11">
      <c r="A10" s="3463" t="s">
        <v>3404</v>
      </c>
      <c r="B10" s="3463" t="s">
        <v>3384</v>
      </c>
      <c r="C10" s="3463" t="s">
        <v>3385</v>
      </c>
      <c r="D10" s="3463" t="s">
        <v>3405</v>
      </c>
      <c r="E10" s="3463" t="s">
        <v>3406</v>
      </c>
    </row>
    <row r="11" spans="1:11" ht="24">
      <c r="A11" s="3463" t="s">
        <v>3407</v>
      </c>
      <c r="B11" s="3463">
        <v>30070.98</v>
      </c>
      <c r="C11" s="3463" t="s">
        <v>3408</v>
      </c>
      <c r="D11" s="3463" t="s">
        <v>3409</v>
      </c>
      <c r="E11" s="3464">
        <v>57845</v>
      </c>
    </row>
  </sheetData>
  <mergeCells count="1">
    <mergeCell ref="A2:G2"/>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43" sqref="S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7" t="s">
        <v>1130</v>
      </c>
      <c r="B2" s="3567"/>
      <c r="C2" s="3567"/>
      <c r="D2" s="796" t="s">
        <v>1106</v>
      </c>
      <c r="E2" s="1639" t="s">
        <v>1107</v>
      </c>
      <c r="F2" s="2658"/>
      <c r="G2" s="2649"/>
      <c r="H2" s="2650"/>
      <c r="I2" s="2325" t="s">
        <v>1131</v>
      </c>
      <c r="J2" s="2658"/>
      <c r="K2" s="2658"/>
      <c r="L2" s="2658"/>
      <c r="M2" s="2658"/>
      <c r="N2" s="2660"/>
      <c r="O2" s="2658"/>
      <c r="P2" s="2658"/>
    </row>
    <row r="3" spans="1:16" ht="15.75" thickBot="1">
      <c r="A3" s="3568" t="s">
        <v>1104</v>
      </c>
      <c r="B3" s="3568"/>
      <c r="C3" s="3568"/>
      <c r="D3" s="43">
        <f>'数据-基础表'!AY6</f>
        <v>30070.98</v>
      </c>
      <c r="E3" s="43">
        <f>'数据-基础表'!AZ5</f>
        <v>60555.78</v>
      </c>
      <c r="F3" s="2658"/>
      <c r="G3" s="1145"/>
      <c r="H3" s="1026" t="s">
        <v>1105</v>
      </c>
      <c r="I3" s="855">
        <f>ROUND('数据-基础表'!B3/'数据-基础表'!A3,2)</f>
        <v>2.0099999999999998</v>
      </c>
      <c r="J3" s="2658"/>
      <c r="K3" s="2658"/>
      <c r="L3" s="2658"/>
      <c r="M3" s="2658"/>
      <c r="N3" s="2660"/>
      <c r="O3" s="2658"/>
      <c r="P3" s="2658"/>
    </row>
    <row r="4" spans="1:16" ht="15">
      <c r="A4" s="3569"/>
      <c r="B4" s="3570"/>
      <c r="C4" s="3571"/>
      <c r="D4" s="1641" t="s">
        <v>1106</v>
      </c>
      <c r="E4" s="1642" t="s">
        <v>1107</v>
      </c>
      <c r="F4" s="2658"/>
      <c r="G4" s="2651" t="s">
        <v>1132</v>
      </c>
      <c r="H4" s="1026" t="s">
        <v>1112</v>
      </c>
      <c r="I4" s="855">
        <f>ROUND(SUMIF('数据-基础表'!I9:AS9,"地上",'数据-基础表'!I5:AS5)/'数据-基础表'!A3,2)</f>
        <v>0.25</v>
      </c>
      <c r="J4" s="2658"/>
      <c r="K4" s="2658"/>
      <c r="L4" s="2658"/>
      <c r="M4" s="2658"/>
      <c r="N4" s="2660"/>
      <c r="O4" s="2658"/>
      <c r="P4" s="2658"/>
    </row>
    <row r="5" spans="1:16">
      <c r="A5" s="44" t="s">
        <v>1108</v>
      </c>
      <c r="B5" s="3572" t="s">
        <v>1109</v>
      </c>
      <c r="C5" s="3572"/>
      <c r="D5" s="45">
        <f>ROUND($D$3*E5/$E$3,2)</f>
        <v>0</v>
      </c>
      <c r="E5" s="46">
        <f>SUMIF('数据-基础表'!$11:$11,"住宅",'数据-基础表'!$5:$5)</f>
        <v>0</v>
      </c>
      <c r="F5" s="2658"/>
      <c r="G5" s="1145"/>
      <c r="H5" s="1026" t="s">
        <v>1105</v>
      </c>
      <c r="I5" s="855">
        <f>ROUND(E31/D31,2)</f>
        <v>2.0099999999999998</v>
      </c>
      <c r="J5" s="2658"/>
      <c r="K5" s="2658"/>
      <c r="L5" s="2658"/>
      <c r="M5" s="2658"/>
      <c r="N5" s="2658"/>
      <c r="O5" s="2658"/>
      <c r="P5" s="2658"/>
    </row>
    <row r="6" spans="1:16" ht="15" thickBot="1">
      <c r="A6" s="1644"/>
      <c r="B6" s="3572" t="s">
        <v>1110</v>
      </c>
      <c r="C6" s="3572"/>
      <c r="D6" s="45">
        <f>ROUND($D$3*E6/$E$3,2)</f>
        <v>30070.98</v>
      </c>
      <c r="E6" s="46">
        <f>E3-E5</f>
        <v>60555.78</v>
      </c>
      <c r="F6" s="2658"/>
      <c r="G6" s="2652" t="s">
        <v>1111</v>
      </c>
      <c r="H6" s="1146" t="s">
        <v>1112</v>
      </c>
      <c r="I6" s="2653">
        <f>ROUND(F31/D31,2)</f>
        <v>0.25</v>
      </c>
      <c r="J6" s="2658"/>
      <c r="K6" s="2658"/>
      <c r="L6" s="2658"/>
      <c r="M6" s="2658"/>
      <c r="N6" s="2658"/>
      <c r="O6" s="2658"/>
      <c r="P6" s="2658"/>
    </row>
    <row r="7" spans="1:16" ht="15.75" thickBot="1">
      <c r="A7" s="3564"/>
      <c r="B7" s="3565"/>
      <c r="C7" s="3566"/>
      <c r="D7" s="1641" t="s">
        <v>1106</v>
      </c>
      <c r="E7" s="1645"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3392.77</v>
      </c>
      <c r="E8" s="48">
        <f>SUMIF('数据-基础表'!BB10:BK10,"地上",'数据-基础表'!BB5:BK5)</f>
        <v>6832.22</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4210.7700000000004</v>
      </c>
      <c r="E10" s="48">
        <f>SUMPRODUCT(('数据-基础表'!BB10:BK10="地下")*('数据-基础表'!BB11:BK11="商业")*('数据-基础表'!BB5:BK5))</f>
        <v>8479.49</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19805.59</v>
      </c>
      <c r="E13" s="48">
        <f>SUMPRODUCT(('数据-基础表'!BB10:BK10="地下")*('数据-基础表'!BB11:BK11="车库")*('数据-基础表'!BB5:BK5))</f>
        <v>39883.730000000003</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27409.13</v>
      </c>
      <c r="E16" s="50">
        <f>SUM(E8:E15)</f>
        <v>55195.44</v>
      </c>
      <c r="F16" s="2658"/>
      <c r="G16" s="2659"/>
      <c r="H16" s="1648" t="s">
        <v>1134</v>
      </c>
      <c r="I16" s="1649"/>
      <c r="J16" s="1139"/>
      <c r="K16" s="3561" t="s">
        <v>1134</v>
      </c>
      <c r="L16" s="3562"/>
      <c r="M16" s="3562"/>
      <c r="N16" s="3562"/>
      <c r="O16" s="3562"/>
      <c r="P16" s="3563"/>
    </row>
    <row r="17" spans="1:19" ht="15">
      <c r="A17" s="1650" t="s">
        <v>1135</v>
      </c>
      <c r="B17" s="1651" t="s">
        <v>1136</v>
      </c>
      <c r="C17" s="1652" t="s">
        <v>1137</v>
      </c>
      <c r="D17" s="1653" t="s">
        <v>1125</v>
      </c>
      <c r="E17" s="1654" t="s">
        <v>1126</v>
      </c>
      <c r="F17" s="1655"/>
      <c r="G17" s="1656"/>
      <c r="H17" s="1657" t="s">
        <v>1138</v>
      </c>
      <c r="I17" s="1658" t="s">
        <v>1123</v>
      </c>
      <c r="J17" s="1139"/>
      <c r="K17" s="3558" t="s">
        <v>1139</v>
      </c>
      <c r="L17" s="3559"/>
      <c r="M17" s="3560"/>
      <c r="N17" s="3558" t="s">
        <v>1140</v>
      </c>
      <c r="O17" s="3559"/>
      <c r="P17" s="356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68" t="s">
        <v>3414</v>
      </c>
      <c r="D19" s="45">
        <f>ROUND($D$3*E19/$E$3,2)</f>
        <v>7603.54</v>
      </c>
      <c r="E19" s="53">
        <f t="shared" ref="E19:E26" si="1">SUM(F19:G19)</f>
        <v>15311.71</v>
      </c>
      <c r="F19" s="2793">
        <v>6832.22</v>
      </c>
      <c r="G19" s="2794">
        <v>8479.49</v>
      </c>
      <c r="H19" s="670">
        <f>ROUND($D$3*I19/$E$3,2)</f>
        <v>738.42</v>
      </c>
      <c r="I19" s="48">
        <f t="shared" ref="I19:I26" si="2">IF($I$17="自定义",P19,M19)</f>
        <v>1487.01</v>
      </c>
      <c r="J19" s="1139"/>
      <c r="K19" s="1138">
        <f t="shared" ref="K19:K26" si="3">ROUND(E$28*E19/E$27,2)</f>
        <v>1487.01</v>
      </c>
      <c r="L19" s="1026">
        <f t="shared" ref="L19:L26" si="4">ROUND(IF(COUNTIF(C19,"*住宅*")&gt;0,E$29*E19/E$32,0),2)</f>
        <v>0</v>
      </c>
      <c r="M19" s="1150">
        <f>K19+L19</f>
        <v>1487.01</v>
      </c>
      <c r="N19" s="1668"/>
      <c r="O19" s="1669"/>
      <c r="P19" s="1150">
        <f>N19+O19</f>
        <v>0</v>
      </c>
      <c r="R19" s="1026">
        <f t="shared" ref="R19:S26" si="5">D19+H19</f>
        <v>8341.9599999999991</v>
      </c>
      <c r="S19" s="1027">
        <f t="shared" si="5"/>
        <v>16798.719999999998</v>
      </c>
    </row>
    <row r="20" spans="1:19">
      <c r="A20" s="1670"/>
      <c r="B20" s="47" t="s">
        <v>1152</v>
      </c>
      <c r="C20" s="3468" t="s">
        <v>3415</v>
      </c>
      <c r="D20" s="45">
        <f t="shared" ref="D20:D26" si="6">ROUND($D$3*E20/$E$3,2)</f>
        <v>19805.59</v>
      </c>
      <c r="E20" s="53">
        <f t="shared" si="1"/>
        <v>39883.730000000003</v>
      </c>
      <c r="F20" s="2793"/>
      <c r="G20" s="2794">
        <v>39883.730000000003</v>
      </c>
      <c r="H20" s="670">
        <f t="shared" ref="H20:H26" si="7">ROUND($D$3*I20/$E$3,2)</f>
        <v>1923.43</v>
      </c>
      <c r="I20" s="48">
        <f t="shared" si="2"/>
        <v>3873.33</v>
      </c>
      <c r="J20" s="1139"/>
      <c r="K20" s="1138">
        <f t="shared" si="3"/>
        <v>3873.33</v>
      </c>
      <c r="L20" s="1026">
        <f t="shared" si="4"/>
        <v>0</v>
      </c>
      <c r="M20" s="1150">
        <f t="shared" ref="M20:M26" si="8">K20+L20</f>
        <v>3873.33</v>
      </c>
      <c r="N20" s="1668"/>
      <c r="O20" s="1669"/>
      <c r="P20" s="1150">
        <f t="shared" ref="P20:P26" si="9">N20+O20</f>
        <v>0</v>
      </c>
      <c r="R20" s="1026">
        <f t="shared" si="5"/>
        <v>21729.02</v>
      </c>
      <c r="S20" s="1027">
        <f t="shared" si="5"/>
        <v>43757.060000000005</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27409.13</v>
      </c>
      <c r="E27" s="1141">
        <f>IF(SUM(E19:E26)='数据-基础表'!BA5,SUM(E19:E26),IF(F27="地上面积有误","面积有误","地下面积有误"))</f>
        <v>55195.44</v>
      </c>
      <c r="F27" s="1140">
        <f>IF(SUM(F19:F26)=E8,SUM(F19:F26),"地上面积有误")</f>
        <v>6832.22</v>
      </c>
      <c r="G27" s="1142">
        <f>SUM(G19:G26)</f>
        <v>48363.22</v>
      </c>
      <c r="H27" s="1143">
        <f>SUM(H19:H26)</f>
        <v>2661.85</v>
      </c>
      <c r="I27" s="1144">
        <f>SUM(I19:I26)</f>
        <v>5360.34</v>
      </c>
      <c r="J27" s="1139"/>
      <c r="K27" s="1147">
        <f>SUM(K19:K26)</f>
        <v>5360.34</v>
      </c>
      <c r="L27" s="1148">
        <f>SUM(L19:L26)</f>
        <v>0</v>
      </c>
      <c r="M27" s="1151">
        <f>SUM(M19:M26)</f>
        <v>5360.34</v>
      </c>
      <c r="N27" s="1147">
        <f t="shared" ref="N27:O27" si="10">SUM(N19:N26)</f>
        <v>0</v>
      </c>
      <c r="O27" s="1148">
        <f t="shared" si="10"/>
        <v>0</v>
      </c>
      <c r="P27" s="1149">
        <f>SUM(P19:P26)</f>
        <v>0</v>
      </c>
      <c r="R27" s="1028">
        <f>IF(SUM(R19:R26)=$D$3,SUM(R19:R26),SUM(R19:R26)&amp;"误差"&amp;ROUND(SUM(R19:R26)-$D$3,2))</f>
        <v>30070.98</v>
      </c>
      <c r="S27" s="1026">
        <f>IF(SUM(S19:S26)=$E$3,SUM(S19:S26),SUM(S19:S26)&amp;"误差"&amp;ROUND(SUM(S19:S26)-E3,2))</f>
        <v>60555.78</v>
      </c>
    </row>
    <row r="28" spans="1:19">
      <c r="A28" s="1670"/>
      <c r="B28" s="47" t="s">
        <v>1154</v>
      </c>
      <c r="C28" s="1038" t="s">
        <v>1155</v>
      </c>
      <c r="D28" s="45">
        <f>ROUND($D$3*E28/$E$3,2)</f>
        <v>2661.85</v>
      </c>
      <c r="E28" s="53">
        <f>SUM(F28:G28)</f>
        <v>5360.3399999999956</v>
      </c>
      <c r="F28" s="56">
        <f>'数据-基础表'!BQ5+'数据-基础表'!BS5</f>
        <v>558.59999999999945</v>
      </c>
      <c r="G28" s="57">
        <f>'数据-基础表'!BR5+'数据-基础表'!BT5</f>
        <v>4801.7399999999961</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2661.85</v>
      </c>
      <c r="E30" s="1140">
        <f>SUM(E28:E29)</f>
        <v>5360.3399999999956</v>
      </c>
      <c r="F30" s="1140">
        <f>SUM(F28:F29)</f>
        <v>558.59999999999945</v>
      </c>
      <c r="G30" s="1142">
        <f>SUM(G28:G29)</f>
        <v>4801.7399999999961</v>
      </c>
      <c r="H30" s="2658"/>
      <c r="I30" s="2658"/>
      <c r="J30" s="2658"/>
      <c r="K30" s="2658"/>
      <c r="L30" s="2658"/>
      <c r="M30" s="2658"/>
      <c r="N30" s="2658"/>
      <c r="O30" s="2658"/>
      <c r="P30" s="2658"/>
    </row>
    <row r="31" spans="1:19" ht="15.75" thickBot="1">
      <c r="A31" s="1676"/>
      <c r="B31" s="1677"/>
      <c r="C31" s="835" t="s">
        <v>1157</v>
      </c>
      <c r="D31" s="676">
        <f>D27+D30</f>
        <v>30070.98</v>
      </c>
      <c r="E31" s="676">
        <f>E27+E30</f>
        <v>60555.78</v>
      </c>
      <c r="F31" s="677">
        <f>F27+F30</f>
        <v>7390.82</v>
      </c>
      <c r="G31" s="678">
        <f>G27+G30</f>
        <v>53164.959999999999</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Z27" sqref="Z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10.1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3416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57845</v>
      </c>
      <c r="F6" s="64">
        <f>SUMIF(项目基本情况!C$12:I$12,C6,项目基本情况!C$15:I$15)</f>
        <v>35.25</v>
      </c>
      <c r="G6" s="65">
        <f>IF(ISERROR(ROUND(POWER(1+H6,D6-F6)*(POWER(1+H6,F6)-1)/(POWER(1+H6,D6)-1),3)),0,ROUND(POWER(1+H6,D6-F6)*(POWER(1+H6,F6)-1)/(POWER(1+H6,D6)-1),3))</f>
        <v>0.95699999999999996</v>
      </c>
      <c r="H6" s="732">
        <v>0.05</v>
      </c>
      <c r="I6" s="732">
        <v>5.5E-2</v>
      </c>
      <c r="J6" s="66">
        <v>7.0000000000000007E-2</v>
      </c>
      <c r="K6" s="1030">
        <f>SUMIF('数据-汇总表'!C$19:C$33,A6,'数据-汇总表'!E$19:E$33)</f>
        <v>15311.71</v>
      </c>
      <c r="L6" s="733">
        <v>1500</v>
      </c>
      <c r="M6" s="67">
        <f t="shared" ref="M6:M14" si="0">ROUND(K6*L6/10000,0)</f>
        <v>2297</v>
      </c>
      <c r="N6" s="731">
        <v>0.99</v>
      </c>
      <c r="O6" s="67">
        <f>IF($N$5="成新度","——",ROUND(M6*N6,0))</f>
        <v>2274</v>
      </c>
      <c r="P6" s="68">
        <f>IF($N$5="成新度","——",M6-O6)</f>
        <v>23</v>
      </c>
      <c r="Q6" s="734">
        <v>0.15</v>
      </c>
      <c r="R6" s="69">
        <f ca="1">SUMIF('数据-汇总表'!C$19:C$33,A6,'数据-汇总表'!R$19:R$27)</f>
        <v>8341.9599999999991</v>
      </c>
      <c r="S6" s="51">
        <f>IF('数据-汇总表'!$I$17="按面积比例",SUMIF('数据-汇总表'!C$19:C$33,A6,'数据-汇总表'!K$19:K$33),SUMIF('数据-汇总表'!C$19:C$33,A6,'数据-汇总表'!N$19:N$33))</f>
        <v>1487.01</v>
      </c>
      <c r="T6" s="1172">
        <f>ROUND($L$14*S6/10000,0)</f>
        <v>372</v>
      </c>
      <c r="U6" s="3426">
        <f>V22</f>
        <v>1.9</v>
      </c>
      <c r="V6" s="70">
        <v>0.03</v>
      </c>
      <c r="W6" s="70">
        <v>0.1</v>
      </c>
      <c r="X6" s="1040"/>
      <c r="Y6" s="71">
        <v>1</v>
      </c>
      <c r="Z6" s="72"/>
      <c r="AA6" s="66"/>
      <c r="AB6" s="66"/>
      <c r="AC6" s="1040"/>
      <c r="AD6" s="73"/>
      <c r="AE6" s="1041">
        <f ca="1">IF(AN6="",0,SUMIF(INDIRECT("'"&amp;AN6&amp;"'"&amp;"!E:E"),$AE$5,INDIRECT("'"&amp;AN6&amp;"'"&amp;"!F:F")))</f>
        <v>35.25</v>
      </c>
      <c r="AF6" s="1348"/>
      <c r="AG6" s="138">
        <f>IF(AF6="",0,AE6-AF6)</f>
        <v>0</v>
      </c>
      <c r="AH6" s="74"/>
      <c r="AI6" s="76">
        <v>365</v>
      </c>
      <c r="AJ6" s="77"/>
      <c r="AK6" s="78">
        <v>0.01</v>
      </c>
      <c r="AL6" s="79">
        <v>1E-3</v>
      </c>
      <c r="AM6" s="80">
        <v>0.01</v>
      </c>
      <c r="AN6" s="1715" t="s">
        <v>3423</v>
      </c>
      <c r="AO6" s="52">
        <f ca="1">SUMIF(INDIRECT("'"&amp;AN6&amp;"'"&amp;"!A:A"),"总价",INDIRECT("'"&amp;AN6&amp;"'"&amp;"!B:B"))</f>
        <v>16593</v>
      </c>
      <c r="AP6" s="1716">
        <f>IF(C6="住宅",K6*L6,0)</f>
        <v>0</v>
      </c>
      <c r="AQ6" s="52">
        <f>ROUND($L$14*$N$14*S6/10000,0)</f>
        <v>368</v>
      </c>
      <c r="AR6" s="52">
        <f>ROUND($L$14*(1-$N$14)*S6/10000,0)</f>
        <v>4</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3338</v>
      </c>
      <c r="D7" s="858">
        <f>SUMIF(项目基本情况!C$12:I$12,C7,项目基本情况!C$14:I$14)</f>
        <v>50</v>
      </c>
      <c r="E7" s="857">
        <f>IF(B7="","",SUMIF(项目基本情况!C$12:I$12,C7,项目基本情况!C$13:I$13))</f>
        <v>57845</v>
      </c>
      <c r="F7" s="64">
        <f>SUMIF(项目基本情况!C$12:I$12,C7,项目基本情况!C$15:I$15)</f>
        <v>35.25</v>
      </c>
      <c r="G7" s="65">
        <f t="shared" ref="G7:G11" si="2">IF(ISERROR(ROUND(POWER(1+H7,D7-F7)*(POWER(1+H7,F7)-1)/(POWER(1+H7,D7)-1),3)),0,ROUND(POWER(1+H7,D7-F7)*(POWER(1+H7,F7)-1)/(POWER(1+H7,D7)-1),3))</f>
        <v>0.88600000000000001</v>
      </c>
      <c r="H7" s="732">
        <v>4.4999999999999998E-2</v>
      </c>
      <c r="I7" s="732">
        <v>0.05</v>
      </c>
      <c r="J7" s="66">
        <v>7.0000000000000007E-2</v>
      </c>
      <c r="K7" s="1030">
        <f>SUMIF('数据-汇总表'!C$19:C$33,A7,'数据-汇总表'!E$19:E$33)</f>
        <v>39883.730000000003</v>
      </c>
      <c r="L7" s="733">
        <v>2500</v>
      </c>
      <c r="M7" s="67">
        <f t="shared" si="0"/>
        <v>9971</v>
      </c>
      <c r="N7" s="731">
        <f>N6</f>
        <v>0.99</v>
      </c>
      <c r="O7" s="67">
        <f t="shared" ref="O7:O14" si="3">IF($N$5="成新度","——",ROUND(M7*N7,0))</f>
        <v>9871</v>
      </c>
      <c r="P7" s="68">
        <f t="shared" ref="P7:P14" si="4">IF($N$5="成新度","——",M7-O7)</f>
        <v>100</v>
      </c>
      <c r="Q7" s="734">
        <v>0.05</v>
      </c>
      <c r="R7" s="69">
        <f ca="1">SUMIF('数据-汇总表'!C$19:C$33,A7,'数据-汇总表'!R$19:R$27)</f>
        <v>21729.02</v>
      </c>
      <c r="S7" s="51">
        <f>IF('数据-汇总表'!$I$17="按面积比例",SUMIF('数据-汇总表'!C$19:C$33,A7,'数据-汇总表'!K$19:K$33),SUMIF('数据-汇总表'!C$19:C$33,A7,'数据-汇总表'!N$19:N$33))</f>
        <v>3873.33</v>
      </c>
      <c r="T7" s="1172">
        <f t="shared" ref="T7:T13" si="5">ROUND($L$14*S7/10000,0)</f>
        <v>968</v>
      </c>
      <c r="U7" s="3426">
        <v>0.2</v>
      </c>
      <c r="V7" s="70">
        <v>2.5000000000000001E-2</v>
      </c>
      <c r="W7" s="70">
        <v>0.1</v>
      </c>
      <c r="X7" s="1040"/>
      <c r="Y7" s="71">
        <v>1</v>
      </c>
      <c r="Z7" s="72"/>
      <c r="AA7" s="66"/>
      <c r="AB7" s="66"/>
      <c r="AC7" s="1040"/>
      <c r="AD7" s="73"/>
      <c r="AE7" s="1041">
        <f t="shared" ref="AE7:AE13" ca="1" si="6">IF(AN7="",0,SUMIF(INDIRECT("'"&amp;AN7&amp;"'"&amp;"!E:E"),$AE$5,INDIRECT("'"&amp;AN7&amp;"'"&amp;"!F:F")))</f>
        <v>35.25</v>
      </c>
      <c r="AF7" s="1348"/>
      <c r="AG7" s="138">
        <f t="shared" ref="AG7:AG13" si="7">IF(AF7="",0,AE7-AF7)</f>
        <v>0</v>
      </c>
      <c r="AH7" s="74"/>
      <c r="AI7" s="76">
        <v>365</v>
      </c>
      <c r="AJ7" s="77"/>
      <c r="AK7" s="78">
        <v>0.01</v>
      </c>
      <c r="AL7" s="79">
        <v>1E-3</v>
      </c>
      <c r="AM7" s="80">
        <v>0.01</v>
      </c>
      <c r="AN7" s="1715" t="s">
        <v>3425</v>
      </c>
      <c r="AO7" s="52">
        <f t="shared" ref="AO7:AO13" ca="1" si="8">SUMIF(INDIRECT("'"&amp;AN7&amp;"'"&amp;"!A:A"),"总价",INDIRECT("'"&amp;AN7&amp;"'"&amp;"!B:B"))</f>
        <v>298</v>
      </c>
      <c r="AP7" s="1716">
        <f t="shared" ref="AP7:AP13" si="9">IF(C7="住宅",K7*L7,0)</f>
        <v>0</v>
      </c>
      <c r="AQ7" s="52">
        <f t="shared" ref="AQ7:AQ13" si="10">ROUND($L$14*$N$14*S7/10000,0)</f>
        <v>959</v>
      </c>
      <c r="AR7" s="52">
        <f t="shared" ref="AR7:AR13" si="11">ROUND($L$14*(1-$N$14)*S7/10000,0)</f>
        <v>10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5360.3399999999956</v>
      </c>
      <c r="L14" s="82">
        <v>2500</v>
      </c>
      <c r="M14" s="67">
        <f t="shared" si="0"/>
        <v>1340</v>
      </c>
      <c r="N14" s="83">
        <f>N6</f>
        <v>0.99</v>
      </c>
      <c r="O14" s="67">
        <f t="shared" si="3"/>
        <v>1327</v>
      </c>
      <c r="P14" s="68">
        <f t="shared" si="4"/>
        <v>13</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0.90600000000000003</v>
      </c>
      <c r="H16" s="90">
        <f>ROUND(SUMPRODUCT(H6:H13,K6:K13)/SUMPRODUCT((H6:H13&gt;0)*(K6:K13)),3)</f>
        <v>4.5999999999999999E-2</v>
      </c>
      <c r="I16" s="91"/>
      <c r="J16" s="91"/>
      <c r="K16" s="92">
        <f>SUM(K6:K15)</f>
        <v>60555.78</v>
      </c>
      <c r="L16" s="93">
        <f>ROUND(M16*10000/SUM(K6:K14),0)</f>
        <v>2247</v>
      </c>
      <c r="M16" s="93">
        <f>SUM(M6:M14)</f>
        <v>13608</v>
      </c>
      <c r="N16" s="94">
        <f>ROUND(SUMPRODUCT(M6:M14,N6:N14)/M16,3)</f>
        <v>0.99</v>
      </c>
      <c r="O16" s="93">
        <f>SUM(O6:O14)</f>
        <v>13472</v>
      </c>
      <c r="P16" s="93">
        <f>SUM(P6:P14)</f>
        <v>136</v>
      </c>
      <c r="Q16" s="95">
        <f>ROUND(SUMPRODUCT(Q6:Q13,K6:K13)/SUMPRODUCT((Q6:Q13&gt;0)*(K6:K13)),2)</f>
        <v>0.08</v>
      </c>
      <c r="R16" s="1034">
        <f ca="1">SUM(R6:R13)</f>
        <v>30070.98</v>
      </c>
      <c r="S16" s="96">
        <f>SUM(S6:S13)</f>
        <v>5360.34</v>
      </c>
      <c r="T16" s="97">
        <f>IF(SUMIF(T6:T13,"&lt;9E307")=M14,SUMIF(T6:T13,"&lt;9E307"),"有误，请检查")</f>
        <v>1340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2303</v>
      </c>
      <c r="D19" s="2674"/>
      <c r="E19" s="2671"/>
      <c r="F19" s="2671"/>
      <c r="G19" s="2671"/>
      <c r="H19" s="2671"/>
      <c r="I19" s="2671"/>
      <c r="J19" s="2671"/>
      <c r="K19" s="2670"/>
      <c r="L19" s="2670"/>
      <c r="M19" s="2669"/>
      <c r="N19" s="2669"/>
      <c r="O19" s="2669"/>
      <c r="P19" s="2669"/>
      <c r="Q19" s="2669"/>
      <c r="R19" s="2669"/>
      <c r="S19" s="2669"/>
      <c r="T19" s="2669"/>
      <c r="U19" s="3469" t="s">
        <v>3418</v>
      </c>
      <c r="V19" s="3469" t="s">
        <v>3419</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2301</v>
      </c>
      <c r="D20" s="2674"/>
      <c r="E20" s="2671"/>
      <c r="F20" s="2671"/>
      <c r="G20" s="2671"/>
      <c r="H20" s="2671"/>
      <c r="I20" s="2671"/>
      <c r="J20" s="2671"/>
      <c r="K20" s="2670"/>
      <c r="L20" s="2670"/>
      <c r="M20" s="2669"/>
      <c r="N20" s="2669"/>
      <c r="O20" s="2669"/>
      <c r="P20" s="2669"/>
      <c r="Q20" s="2669"/>
      <c r="R20" s="2669"/>
      <c r="S20" s="2669"/>
      <c r="T20" s="3469" t="s">
        <v>3420</v>
      </c>
      <c r="U20" s="2669">
        <f>'数据-汇总表'!F19</f>
        <v>6832.22</v>
      </c>
      <c r="V20" s="2669">
        <v>3</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f>ROUND(B20*N16,2)</f>
        <v>1.98</v>
      </c>
      <c r="C21" s="2671"/>
      <c r="D21" s="2674"/>
      <c r="E21" s="2671"/>
      <c r="F21" s="2671"/>
      <c r="G21" s="2671"/>
      <c r="H21" s="2671"/>
      <c r="I21" s="2671"/>
      <c r="J21" s="2671"/>
      <c r="K21" s="2670"/>
      <c r="L21" s="2670"/>
      <c r="M21" s="2669"/>
      <c r="N21" s="2669"/>
      <c r="O21" s="2669"/>
      <c r="P21" s="2669"/>
      <c r="Q21" s="2669"/>
      <c r="R21" s="2669"/>
      <c r="S21" s="2669"/>
      <c r="T21" s="3469" t="s">
        <v>3421</v>
      </c>
      <c r="U21" s="2669">
        <f>'数据-汇总表'!G19</f>
        <v>8479.49</v>
      </c>
      <c r="V21" s="2669">
        <v>1</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2671"/>
      <c r="K22" s="2670"/>
      <c r="L22" s="2670"/>
      <c r="M22" s="2669"/>
      <c r="N22" s="2669"/>
      <c r="O22" s="2669"/>
      <c r="P22" s="2669"/>
      <c r="Q22" s="2669"/>
      <c r="R22" s="2669"/>
      <c r="S22" s="2669"/>
      <c r="T22" s="3469" t="s">
        <v>3422</v>
      </c>
      <c r="U22" s="2669">
        <f>U21+U20</f>
        <v>15311.71</v>
      </c>
      <c r="V22" s="2669">
        <f>ROUND((V20*U20+V21*U21)/U22,1)</f>
        <v>1.9</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1.98</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2.0000000000000018E-2</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2305</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50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303</v>
      </c>
      <c r="C29" s="2800" t="s">
        <v>2292</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3417</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18</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144</v>
      </c>
      <c r="C53" s="2660"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v>18</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3" t="s">
        <v>2284</v>
      </c>
      <c r="B1" s="3574"/>
      <c r="C1" s="3574"/>
      <c r="D1" s="3574"/>
      <c r="E1" s="3574"/>
      <c r="F1" s="3574"/>
      <c r="G1" s="357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3"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1"/>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494100.73</v>
      </c>
      <c r="C1" s="2684"/>
      <c r="D1" s="2684"/>
      <c r="E1" s="2684"/>
      <c r="F1" s="2684"/>
      <c r="G1" s="2685"/>
      <c r="H1" s="2686"/>
      <c r="I1" s="2686"/>
      <c r="J1" s="2686"/>
      <c r="K1" s="2686"/>
    </row>
    <row r="2" spans="1:11" ht="16.5">
      <c r="A2" s="2511" t="s">
        <v>653</v>
      </c>
      <c r="B2" s="2511">
        <f>SUM(C14:C23)</f>
        <v>30070.98</v>
      </c>
      <c r="C2" s="2684"/>
      <c r="D2" s="2684"/>
      <c r="E2" s="2684"/>
      <c r="F2" s="2684"/>
      <c r="G2" s="2685"/>
      <c r="H2" s="2686"/>
      <c r="I2" s="2686"/>
      <c r="J2" s="2686"/>
      <c r="K2" s="2686"/>
    </row>
    <row r="3" spans="1:11" ht="16.5">
      <c r="A3" s="2511" t="s">
        <v>662</v>
      </c>
      <c r="B3" s="2513">
        <f>项目基本情况!D3</f>
        <v>44977</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29376</v>
      </c>
      <c r="C5" s="2511">
        <f ca="1">IF(B5=D14,结果表!H102,ROUND(B5*10000/$B$1,0))</f>
        <v>595</v>
      </c>
      <c r="D5" s="2511">
        <f ca="1">ROUND(B5*10000/$B$2,0)</f>
        <v>9769</v>
      </c>
      <c r="E5" s="2684"/>
      <c r="F5" s="2685"/>
      <c r="G5" s="2685"/>
      <c r="H5" s="2686"/>
      <c r="I5" s="2686"/>
      <c r="J5" s="2686"/>
      <c r="K5" s="2686"/>
    </row>
    <row r="6" spans="1:11" ht="16.5">
      <c r="A6" s="2511" t="s">
        <v>656</v>
      </c>
      <c r="B6" s="2511">
        <f>SUM(G14:G23)</f>
        <v>0</v>
      </c>
      <c r="C6" s="2511">
        <f ca="1">IF(B6=G14,结果表!H108,ROUND(B6*10000/$B$1,0))</f>
        <v>3204</v>
      </c>
      <c r="D6" s="2511">
        <f>ROUND(B6*10000/$B$2,0)</f>
        <v>0</v>
      </c>
      <c r="E6" s="2684"/>
      <c r="F6" s="2685"/>
      <c r="G6" s="2685"/>
      <c r="H6" s="2686"/>
      <c r="I6" s="2686"/>
      <c r="J6" s="2686"/>
      <c r="K6" s="2686"/>
    </row>
    <row r="7" spans="1:11" ht="16.5">
      <c r="A7" s="2511" t="s">
        <v>664</v>
      </c>
      <c r="B7" s="2511">
        <f>SUM(H14:H23)</f>
        <v>0</v>
      </c>
      <c r="C7" s="2511" t="str">
        <f>IF(B7=H14,结果表!H110,ROUND(B7*10000/$B$1,0))</f>
        <v>——</v>
      </c>
      <c r="D7" s="2511">
        <f>ROUND(B7*10000/$B$2,0)</f>
        <v>0</v>
      </c>
      <c r="E7" s="2684"/>
      <c r="F7" s="2685"/>
      <c r="G7" s="2685"/>
      <c r="H7" s="2686"/>
      <c r="I7" s="2686"/>
      <c r="J7" s="2686"/>
      <c r="K7" s="2686"/>
    </row>
    <row r="8" spans="1:11" ht="16.5">
      <c r="A8" s="2511" t="s">
        <v>587</v>
      </c>
      <c r="B8" s="2511">
        <f>SUM(I14:I23)</f>
        <v>0</v>
      </c>
      <c r="C8" s="2511" t="str">
        <f>IF(B8=I14,结果表!H112,ROUND(B8*10000/$B$1,0))</f>
        <v>——</v>
      </c>
      <c r="D8" s="2511">
        <f>ROUND(B8*10000/$B$2,0)</f>
        <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3361</v>
      </c>
      <c r="D10" s="2511" t="s">
        <v>3362</v>
      </c>
      <c r="E10" s="3439"/>
      <c r="F10" s="3443" t="s">
        <v>3363</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60555.78</v>
      </c>
      <c r="C14" s="2517">
        <f>结果表!C118</f>
        <v>30070.98</v>
      </c>
      <c r="D14" s="2517">
        <f ca="1">结果表!H118</f>
        <v>19400</v>
      </c>
      <c r="E14" s="2517">
        <f ca="1">ROUND(D14*10000/B14,0)</f>
        <v>3204</v>
      </c>
      <c r="F14" s="2517">
        <f ca="1">ROUND(D14*10000/C14,0)</f>
        <v>6451</v>
      </c>
      <c r="G14" s="2517"/>
      <c r="H14" s="2517"/>
      <c r="I14" s="2517"/>
      <c r="J14" s="2685"/>
      <c r="K14" s="2686"/>
    </row>
    <row r="15" spans="1:11" ht="16.5">
      <c r="A15" s="2516" t="s">
        <v>649</v>
      </c>
      <c r="B15" s="2518">
        <f>[2]系统读取表!$B$14</f>
        <v>433544.95</v>
      </c>
      <c r="C15" s="2518"/>
      <c r="D15" s="2518">
        <f ca="1">[4]系统读取表!$D$14</f>
        <v>9976</v>
      </c>
      <c r="E15" s="2517">
        <f t="shared" ref="E15:E23" ca="1" si="0">ROUND(D15*10000/B15,0)</f>
        <v>230</v>
      </c>
      <c r="F15" s="2517" t="e">
        <f t="shared" ref="F15:F23" ca="1"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5" zoomScaleNormal="100" zoomScaleSheetLayoutView="100" zoomScalePageLayoutView="80" workbookViewId="0">
      <selection activeCell="F131" sqref="F1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42" t="str">
        <f>项目基本情况!S2</f>
        <v>贵州省毕节市七星关区市西街道天河社区房地产</v>
      </c>
      <c r="B2" s="3643"/>
      <c r="C2" s="3643"/>
      <c r="D2" s="3643"/>
      <c r="E2" s="3643"/>
      <c r="F2" s="3643"/>
      <c r="G2" s="3643"/>
      <c r="H2" s="3643"/>
      <c r="I2" s="3644"/>
    </row>
    <row r="3" spans="1:12" ht="12.75">
      <c r="A3" s="3646" t="s">
        <v>1263</v>
      </c>
      <c r="B3" s="3647"/>
      <c r="C3" s="3647"/>
      <c r="D3" s="3647"/>
      <c r="E3" s="3647"/>
      <c r="F3" s="3647"/>
      <c r="G3" s="3647"/>
      <c r="H3" s="3647"/>
      <c r="I3" s="3647"/>
    </row>
    <row r="4" spans="1:12" ht="14.25">
      <c r="A4" s="1754" t="s">
        <v>1264</v>
      </c>
      <c r="B4" s="1755" t="s">
        <v>1265</v>
      </c>
      <c r="C4" s="1756" t="s">
        <v>3435</v>
      </c>
      <c r="D4" s="1756" t="s">
        <v>3436</v>
      </c>
      <c r="E4" s="3651" t="s">
        <v>1266</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90" t="s">
        <v>1267</v>
      </c>
      <c r="B5" s="3645">
        <v>25</v>
      </c>
      <c r="C5" s="3648"/>
      <c r="D5" s="3636"/>
      <c r="E5" s="131" t="s">
        <v>1268</v>
      </c>
      <c r="F5" s="1757"/>
      <c r="G5" s="1757"/>
      <c r="H5" s="1757"/>
      <c r="I5" s="1373"/>
    </row>
    <row r="6" spans="1:12" ht="12.75">
      <c r="A6" s="3590"/>
      <c r="B6" s="3645"/>
      <c r="C6" s="3650"/>
      <c r="D6" s="3636"/>
      <c r="E6" s="131" t="s">
        <v>1269</v>
      </c>
      <c r="F6" s="1757"/>
      <c r="G6" s="1757"/>
      <c r="H6" s="1757"/>
      <c r="I6" s="1373"/>
    </row>
    <row r="7" spans="1:12" ht="12.75">
      <c r="A7" s="3590"/>
      <c r="B7" s="3645"/>
      <c r="C7" s="3649"/>
      <c r="D7" s="3636"/>
      <c r="E7" s="131" t="s">
        <v>1270</v>
      </c>
      <c r="F7" s="1757"/>
      <c r="G7" s="1757"/>
      <c r="H7" s="1757"/>
      <c r="I7" s="1373"/>
    </row>
    <row r="8" spans="1:12" ht="12.75">
      <c r="A8" s="3590" t="s">
        <v>1271</v>
      </c>
      <c r="B8" s="3645">
        <v>15</v>
      </c>
      <c r="C8" s="3648"/>
      <c r="D8" s="3636"/>
      <c r="E8" s="131" t="s">
        <v>1272</v>
      </c>
      <c r="F8" s="1757"/>
      <c r="G8" s="1757"/>
      <c r="H8" s="1757"/>
      <c r="I8" s="1373"/>
    </row>
    <row r="9" spans="1:12" ht="12.75">
      <c r="A9" s="3590"/>
      <c r="B9" s="3645"/>
      <c r="C9" s="3649"/>
      <c r="D9" s="3636"/>
      <c r="E9" s="131" t="s">
        <v>1273</v>
      </c>
      <c r="F9" s="1757"/>
      <c r="G9" s="1757"/>
      <c r="H9" s="1757"/>
      <c r="I9" s="1373"/>
    </row>
    <row r="10" spans="1:12" ht="12.75">
      <c r="A10" s="3590" t="s">
        <v>1274</v>
      </c>
      <c r="B10" s="3645">
        <v>15</v>
      </c>
      <c r="C10" s="3648"/>
      <c r="D10" s="3636"/>
      <c r="E10" s="131" t="s">
        <v>1275</v>
      </c>
      <c r="F10" s="1757"/>
      <c r="G10" s="1757"/>
      <c r="H10" s="1757"/>
      <c r="I10" s="1373"/>
    </row>
    <row r="11" spans="1:12" ht="12.75">
      <c r="A11" s="3590"/>
      <c r="B11" s="3645"/>
      <c r="C11" s="3649"/>
      <c r="D11" s="3636"/>
      <c r="E11" s="131" t="s">
        <v>1276</v>
      </c>
      <c r="F11" s="1757"/>
      <c r="G11" s="1757"/>
      <c r="H11" s="1757"/>
      <c r="I11" s="1373"/>
    </row>
    <row r="12" spans="1:12" ht="12.75">
      <c r="A12" s="3590" t="s">
        <v>1277</v>
      </c>
      <c r="B12" s="3645">
        <v>15</v>
      </c>
      <c r="C12" s="3648"/>
      <c r="D12" s="3636"/>
      <c r="E12" s="131" t="s">
        <v>1278</v>
      </c>
      <c r="F12" s="1757"/>
      <c r="G12" s="1757"/>
      <c r="H12" s="1757"/>
      <c r="I12" s="1373"/>
    </row>
    <row r="13" spans="1:12" ht="12.75">
      <c r="A13" s="3590"/>
      <c r="B13" s="3645"/>
      <c r="C13" s="3649"/>
      <c r="D13" s="3636"/>
      <c r="E13" s="131" t="s">
        <v>1279</v>
      </c>
      <c r="F13" s="1757"/>
      <c r="G13" s="1757"/>
      <c r="H13" s="1757"/>
      <c r="I13" s="1373"/>
    </row>
    <row r="14" spans="1:12" ht="12.75">
      <c r="A14" s="3590" t="s">
        <v>1280</v>
      </c>
      <c r="B14" s="3645">
        <v>30</v>
      </c>
      <c r="C14" s="3648">
        <v>6</v>
      </c>
      <c r="D14" s="3636">
        <v>4</v>
      </c>
      <c r="E14" s="131" t="s">
        <v>1281</v>
      </c>
      <c r="F14" s="1757"/>
      <c r="G14" s="1757"/>
      <c r="H14" s="1757"/>
      <c r="I14" s="1373"/>
    </row>
    <row r="15" spans="1:12" ht="12.75">
      <c r="A15" s="3590"/>
      <c r="B15" s="3645"/>
      <c r="C15" s="3650"/>
      <c r="D15" s="3636"/>
      <c r="E15" s="131" t="s">
        <v>1282</v>
      </c>
      <c r="F15" s="1757"/>
      <c r="G15" s="1757"/>
      <c r="H15" s="1757"/>
      <c r="I15" s="1373"/>
    </row>
    <row r="16" spans="1:12" ht="12.75">
      <c r="A16" s="3590"/>
      <c r="B16" s="3645"/>
      <c r="C16" s="3649"/>
      <c r="D16" s="3636"/>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67" t="s">
        <v>2129</v>
      </c>
      <c r="F18" s="3668"/>
      <c r="G18" s="3668"/>
      <c r="H18" s="3668"/>
      <c r="I18" s="3668"/>
      <c r="K18" s="302" t="s">
        <v>1288</v>
      </c>
      <c r="L18" s="302">
        <f>IF(C1="",'数据-汇总表'!E3,SUMIF(项目类型,C1,'数据-汇总表'!E17:E26)+SUMIF(项目类型,C1,'数据-汇总表'!I17:I26))</f>
        <v>60555.78</v>
      </c>
      <c r="M18" s="302">
        <f>IF(C1="",'数据-汇总表'!E3,SUMIF(项目类型,C1,'数据-汇总表'!E17:E26))</f>
        <v>60555.78</v>
      </c>
    </row>
    <row r="19" spans="1:36" ht="15">
      <c r="A19" s="1761" t="s">
        <v>1289</v>
      </c>
      <c r="B19" s="1762" t="s">
        <v>1290</v>
      </c>
      <c r="C19" s="134">
        <f ca="1">SUMIF(INDIRECT("'"&amp;C4&amp;"'"&amp;"!A:A"),结果表!B19,INDIRECT("'"&amp;C4&amp;"'"&amp;"!B:B"))</f>
        <v>22102</v>
      </c>
      <c r="D19" s="135">
        <f ca="1">SUMIF(INDIRECT("'"&amp;D4&amp;"'"&amp;"!A:A"),结果表!B19,INDIRECT("'"&amp;D4&amp;"'"&amp;"!B:B"))</f>
        <v>15347</v>
      </c>
      <c r="E19" s="1761" t="s">
        <v>1291</v>
      </c>
      <c r="F19" s="1762" t="s">
        <v>1290</v>
      </c>
      <c r="G19" s="136">
        <f ca="1">ROUND(C19*$C$18+D19*$D$18,0)</f>
        <v>19400</v>
      </c>
      <c r="H19" s="1763" t="s">
        <v>1292</v>
      </c>
      <c r="I19" s="129"/>
      <c r="K19" s="302" t="s">
        <v>1293</v>
      </c>
      <c r="L19" s="302">
        <f>IF(C1="",'数据-汇总表'!D3,SUMIF(项目类型,C1,'数据-汇总表'!D17:D26)+SUMIF(项目类型,C1,'数据-汇总表'!H17:H27))</f>
        <v>30070.98</v>
      </c>
      <c r="M19" s="302">
        <f>IF(C1="",'数据-汇总表'!D3,SUMIF(项目类型,C1,'数据-汇总表'!D17:D26))</f>
        <v>30070.98</v>
      </c>
    </row>
    <row r="20" spans="1:36" ht="15">
      <c r="A20" s="1764"/>
      <c r="B20" s="1026" t="s">
        <v>1294</v>
      </c>
      <c r="C20" s="137">
        <f ca="1">SUMIF(INDIRECT("'"&amp;C4&amp;"'"&amp;"!A:A"),结果表!B20,INDIRECT("'"&amp;C4&amp;"'"&amp;"!B:B"))</f>
        <v>3650</v>
      </c>
      <c r="D20" s="138">
        <f ca="1">SUMIF(INDIRECT("'"&amp;D4&amp;"'"&amp;"!A:A"),结果表!B20,INDIRECT("'"&amp;D4&amp;"'"&amp;"!B:B"))</f>
        <v>2534</v>
      </c>
      <c r="E20" s="1764"/>
      <c r="F20" s="1026" t="s">
        <v>1294</v>
      </c>
      <c r="G20" s="139">
        <f ca="1">ROUND(C20*$C$18+D20*$D$18,0)</f>
        <v>3204</v>
      </c>
      <c r="H20" s="808" t="s">
        <v>1295</v>
      </c>
      <c r="I20" s="129"/>
    </row>
    <row r="21" spans="1:36" ht="15" customHeight="1" thickBot="1">
      <c r="A21" s="828"/>
      <c r="B21" s="1765" t="s">
        <v>1296</v>
      </c>
      <c r="C21" s="719">
        <f ca="1">ROUND(C19*10000/L19,0)</f>
        <v>7350</v>
      </c>
      <c r="D21" s="720">
        <f ca="1">ROUND(D19*10000/L19,0)</f>
        <v>5104</v>
      </c>
      <c r="E21" s="828"/>
      <c r="F21" s="1765" t="s">
        <v>1296</v>
      </c>
      <c r="G21" s="140">
        <f ca="1">ROUND(G19*10000/L19,0)</f>
        <v>6451</v>
      </c>
      <c r="H21" s="1766" t="s">
        <v>1295</v>
      </c>
      <c r="I21" s="129"/>
    </row>
    <row r="22" spans="1:36" ht="15" thickBot="1">
      <c r="A22" s="1688" t="s">
        <v>1297</v>
      </c>
      <c r="B22" s="1767"/>
      <c r="C22" s="1768"/>
      <c r="D22" s="721">
        <f ca="1">IF(C19&lt;D19,D19/C19-1,C19/D19-1)</f>
        <v>0.4401511696096958</v>
      </c>
      <c r="E22" s="129"/>
      <c r="F22" s="129"/>
      <c r="G22" s="129"/>
      <c r="H22" s="129"/>
      <c r="I22" s="129"/>
    </row>
    <row r="23" spans="1:36" ht="13.5" thickBot="1">
      <c r="A23" s="1747"/>
      <c r="B23" s="1747"/>
      <c r="C23" s="1747"/>
      <c r="D23" s="1747"/>
      <c r="E23" s="129"/>
      <c r="F23" s="129"/>
      <c r="G23" s="129"/>
      <c r="H23" s="129"/>
      <c r="I23" s="129"/>
    </row>
    <row r="24" spans="1:36" ht="14.25">
      <c r="A24" s="3660" t="s">
        <v>1298</v>
      </c>
      <c r="B24" s="1762" t="s">
        <v>1290</v>
      </c>
      <c r="C24" s="136">
        <f>IF(B30=0,0,D30)</f>
        <v>0</v>
      </c>
      <c r="D24" s="1769"/>
      <c r="E24" s="129"/>
      <c r="F24" s="129"/>
      <c r="G24" s="129"/>
      <c r="H24" s="129"/>
      <c r="I24" s="129"/>
    </row>
    <row r="25" spans="1:36" ht="14.25">
      <c r="A25" s="366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19400</v>
      </c>
      <c r="D32" s="1775" t="s">
        <v>3783</v>
      </c>
      <c r="E32" s="129"/>
      <c r="F32" s="129"/>
      <c r="G32" s="129"/>
      <c r="H32" s="129"/>
      <c r="I32" s="129"/>
    </row>
    <row r="33" spans="1:15" ht="15">
      <c r="A33" s="786" t="s">
        <v>1305</v>
      </c>
      <c r="B33" s="1776"/>
      <c r="C33" s="1777" t="s">
        <v>3784</v>
      </c>
      <c r="D33" s="1778" t="s">
        <v>3435</v>
      </c>
      <c r="E33" s="1779" t="s">
        <v>1306</v>
      </c>
      <c r="F33" s="1780" t="str">
        <f>IF(D32="楼面单价","取值（单价）","取值（总价）")</f>
        <v>取值（总价）</v>
      </c>
      <c r="G33" s="129"/>
      <c r="H33" s="129"/>
      <c r="I33" s="129"/>
    </row>
    <row r="34" spans="1:15" ht="15">
      <c r="A34" s="1781"/>
      <c r="B34" s="1782" t="s">
        <v>1307</v>
      </c>
      <c r="C34" s="148">
        <f ca="1">IF(C33="自定义",F34,C32-C35)</f>
        <v>2813</v>
      </c>
      <c r="D34" s="861">
        <f ca="1">IF(C33="自定义",ROUND(C34/C32,3),IF(C33="收益比率",SUMIF(INDIRECT("'"&amp;D33&amp;"'"&amp;"!b:b"),"土地收益比率",INDIRECT("'"&amp;D33&amp;"'"&amp;"!c:c")),SUMIF(INDIRECT("'"&amp;D33&amp;"'"&amp;"!b:b"),"土地成本比率",INDIRECT("'"&amp;D33&amp;"'"&amp;"!c:c"))))</f>
        <v>0.14500000000000002</v>
      </c>
      <c r="E34" s="1783" t="s">
        <v>1308</v>
      </c>
      <c r="F34" s="1330"/>
      <c r="G34" s="129"/>
      <c r="H34" s="129"/>
      <c r="I34" s="129"/>
    </row>
    <row r="35" spans="1:15" ht="15.75" thickBot="1">
      <c r="A35" s="1784"/>
      <c r="B35" s="1785" t="s">
        <v>1309</v>
      </c>
      <c r="C35" s="1170">
        <f ca="1">IF(C33="自定义",F35,ROUND(C32*D35,0))</f>
        <v>16587</v>
      </c>
      <c r="D35" s="1171">
        <f ca="1">IF(C33="自定义",ROUND(C35/C32,3),IF(C33="收益比率",SUMIF(INDIRECT("'"&amp;D33&amp;"'"&amp;"!b:b"),"建筑物收益比率",INDIRECT("'"&amp;D33&amp;"'"&amp;"!c:c")),SUMIF(INDIRECT("'"&amp;D33&amp;"'"&amp;"!b:b"),"建筑物成本比率",INDIRECT("'"&amp;D33&amp;"'"&amp;"!c:c"))))</f>
        <v>0.85499999999999998</v>
      </c>
      <c r="E35" s="1786" t="s">
        <v>1310</v>
      </c>
      <c r="F35" s="154"/>
      <c r="G35" s="129"/>
      <c r="H35" s="129"/>
      <c r="I35" s="129"/>
    </row>
    <row r="36" spans="1:15" ht="15.75" thickBot="1">
      <c r="A36" s="3637" t="s">
        <v>1311</v>
      </c>
      <c r="B36" s="1787" t="s">
        <v>1312</v>
      </c>
      <c r="C36" s="145"/>
      <c r="D36" s="1788"/>
      <c r="E36" s="1789"/>
      <c r="F36" s="1790"/>
      <c r="G36" s="129"/>
      <c r="H36" s="129"/>
      <c r="I36" s="129"/>
    </row>
    <row r="37" spans="1:15" ht="15.75" thickBot="1">
      <c r="A37" s="3638"/>
      <c r="B37" s="1674" t="s">
        <v>1313</v>
      </c>
      <c r="C37" s="147"/>
      <c r="D37" s="1139"/>
      <c r="E37" s="1139"/>
      <c r="F37" s="1790"/>
      <c r="G37" s="129"/>
      <c r="H37" s="129"/>
      <c r="I37" s="129"/>
    </row>
    <row r="38" spans="1:15" ht="15.75" thickBot="1">
      <c r="A38" s="363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7" t="s">
        <v>1325</v>
      </c>
      <c r="B45" s="3658"/>
      <c r="C45" s="3659"/>
      <c r="D45" s="155">
        <f ca="1">ROUND(H101*F45,0)</f>
        <v>19400</v>
      </c>
      <c r="E45" s="156" t="s">
        <v>1326</v>
      </c>
      <c r="F45" s="157">
        <v>1</v>
      </c>
      <c r="G45" s="158" t="s">
        <v>1327</v>
      </c>
      <c r="H45" s="129"/>
      <c r="I45" s="129"/>
      <c r="J45" s="3577" t="s">
        <v>1328</v>
      </c>
      <c r="K45" s="3577"/>
      <c r="L45" s="3577"/>
      <c r="M45" s="3577"/>
      <c r="N45" s="3577"/>
      <c r="O45" s="3577"/>
    </row>
    <row r="46" spans="1:15" ht="14.25" customHeight="1">
      <c r="A46" s="3654" t="s">
        <v>1329</v>
      </c>
      <c r="B46" s="3655"/>
      <c r="C46" s="3655"/>
      <c r="D46" s="3655"/>
      <c r="E46" s="3655"/>
      <c r="F46" s="3655"/>
      <c r="G46" s="3656"/>
      <c r="H46" s="1806"/>
      <c r="I46" s="159"/>
      <c r="J46" s="2522">
        <v>1</v>
      </c>
      <c r="K46" s="3578" t="s">
        <v>1330</v>
      </c>
      <c r="L46" s="3578"/>
      <c r="M46" s="3579"/>
      <c r="N46" s="3579"/>
      <c r="O46" s="3579"/>
    </row>
    <row r="47" spans="1:15" ht="12" customHeight="1">
      <c r="A47" s="160" t="s">
        <v>1331</v>
      </c>
      <c r="B47" s="161"/>
      <c r="C47" s="162"/>
      <c r="D47" s="1087" t="s">
        <v>1332</v>
      </c>
      <c r="E47" s="302" t="s">
        <v>1333</v>
      </c>
      <c r="F47" s="163" t="s">
        <v>1334</v>
      </c>
      <c r="G47" s="2545" t="s">
        <v>1335</v>
      </c>
      <c r="H47" s="2546"/>
      <c r="I47" s="159"/>
      <c r="J47" s="2522">
        <v>2</v>
      </c>
      <c r="K47" s="3578" t="s">
        <v>1336</v>
      </c>
      <c r="L47" s="3578"/>
      <c r="M47" s="3580">
        <f>'数据-取费表'!B2</f>
        <v>44977</v>
      </c>
      <c r="N47" s="3580"/>
      <c r="O47" s="3580"/>
    </row>
    <row r="48" spans="1:15" ht="25.5">
      <c r="A48" s="3640" t="s">
        <v>1337</v>
      </c>
      <c r="B48" s="3641"/>
      <c r="C48" s="3641"/>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1338</v>
      </c>
      <c r="H48" s="2549"/>
      <c r="I48" s="1806"/>
      <c r="J48" s="2522">
        <v>3</v>
      </c>
      <c r="K48" s="3578" t="s">
        <v>1339</v>
      </c>
      <c r="L48" s="3578"/>
      <c r="M48" s="3581">
        <f ca="1">H101</f>
        <v>19400</v>
      </c>
      <c r="N48" s="3581"/>
      <c r="O48" s="3581"/>
    </row>
    <row r="49" spans="1:35" ht="25.5" customHeight="1">
      <c r="A49" s="2333" t="s">
        <v>1340</v>
      </c>
      <c r="B49" s="3626" t="s">
        <v>1341</v>
      </c>
      <c r="C49" s="3626"/>
      <c r="D49" s="1590">
        <v>0</v>
      </c>
      <c r="E49" s="324" t="s">
        <v>1342</v>
      </c>
      <c r="F49" s="2423" t="s">
        <v>28</v>
      </c>
      <c r="G49" s="3609"/>
      <c r="H49" s="2310" t="s">
        <v>2132</v>
      </c>
      <c r="I49" s="2311"/>
      <c r="J49" s="2522">
        <v>4</v>
      </c>
      <c r="K49" s="3578" t="str">
        <f>IF(项目基本情况!E8="房地产抵押价值","房地产抵押价值","抵押担保权已注销时的房地产抵押价值")</f>
        <v>抵押担保权已注销时的房地产抵押价值</v>
      </c>
      <c r="L49" s="3578"/>
      <c r="M49" s="3581" t="str">
        <f>IF(项目基本情况!E8="房地产抵押价值",H107,H109)</f>
        <v>——</v>
      </c>
      <c r="N49" s="3581"/>
      <c r="O49" s="3581"/>
    </row>
    <row r="50" spans="1:35" ht="25.5" customHeight="1">
      <c r="A50" s="2550"/>
      <c r="B50" s="3626" t="s">
        <v>1343</v>
      </c>
      <c r="C50" s="3626"/>
      <c r="D50" s="2551"/>
      <c r="E50" s="332"/>
      <c r="F50" s="2423"/>
      <c r="G50" s="3610"/>
      <c r="H50" s="2312" t="s">
        <v>2133</v>
      </c>
      <c r="I50" s="2311"/>
      <c r="J50" s="3577" t="s">
        <v>1344</v>
      </c>
      <c r="K50" s="3577"/>
      <c r="L50" s="3577"/>
      <c r="M50" s="3577"/>
      <c r="N50" s="3577"/>
      <c r="O50" s="3577"/>
    </row>
    <row r="51" spans="1:35" ht="20.45" customHeight="1">
      <c r="A51" s="2552"/>
      <c r="B51" s="3626" t="s">
        <v>1345</v>
      </c>
      <c r="C51" s="3626"/>
      <c r="D51" s="1087"/>
      <c r="E51" s="327"/>
      <c r="F51" s="2423"/>
      <c r="G51" s="3611"/>
      <c r="H51" s="2312" t="s">
        <v>2134</v>
      </c>
      <c r="I51" s="2311"/>
      <c r="J51" s="2523" t="s">
        <v>1346</v>
      </c>
      <c r="K51" s="3578" t="s">
        <v>1347</v>
      </c>
      <c r="L51" s="3578"/>
      <c r="M51" s="2523" t="s">
        <v>1348</v>
      </c>
      <c r="N51" s="2523" t="s">
        <v>1349</v>
      </c>
      <c r="O51" s="2523" t="s">
        <v>1350</v>
      </c>
    </row>
    <row r="52" spans="1:35" ht="24" customHeight="1">
      <c r="A52" s="2335" t="s">
        <v>1351</v>
      </c>
      <c r="B52" s="3626" t="s">
        <v>1352</v>
      </c>
      <c r="C52" s="3626"/>
      <c r="D52" s="1087">
        <f ca="1">ROUND(D45*'数据-取费表'!B41/(1+'数据-取费表'!C42),0)</f>
        <v>1035</v>
      </c>
      <c r="E52" s="2334" t="s">
        <v>1353</v>
      </c>
      <c r="F52" s="2553">
        <f>'数据-取费表'!B41</f>
        <v>5.6000000000000001E-2</v>
      </c>
      <c r="G52" s="2554"/>
      <c r="H52" s="2543"/>
      <c r="I52" s="1807"/>
      <c r="J52" s="2522">
        <v>1</v>
      </c>
      <c r="K52" s="3603" t="s">
        <v>1354</v>
      </c>
      <c r="L52" s="3603"/>
      <c r="M52" s="2524" t="b">
        <f>D48</f>
        <v>0</v>
      </c>
      <c r="N52" s="2522" t="str">
        <f>E48</f>
        <v>销售额×税（费）率</v>
      </c>
      <c r="O52" s="2525">
        <f>F48</f>
        <v>5.6000000000000001E-2</v>
      </c>
    </row>
    <row r="53" spans="1:35" ht="12" customHeight="1">
      <c r="A53" s="2335" t="s">
        <v>1355</v>
      </c>
      <c r="B53" s="3627" t="s">
        <v>2289</v>
      </c>
      <c r="C53" s="3628"/>
      <c r="D53" s="1087">
        <f ca="1">ROUND(D45*'数据-取费表'!B41/(1+'数据-取费表'!C42),0)</f>
        <v>1035</v>
      </c>
      <c r="E53" s="2334" t="s">
        <v>1353</v>
      </c>
      <c r="F53" s="2553">
        <f>'数据-取费表'!B41</f>
        <v>5.6000000000000001E-2</v>
      </c>
      <c r="G53" s="2554"/>
      <c r="H53" s="2543"/>
      <c r="I53" s="1807"/>
      <c r="J53" s="2522">
        <v>2</v>
      </c>
      <c r="K53" s="3603" t="s">
        <v>1356</v>
      </c>
      <c r="L53" s="3603"/>
      <c r="M53" s="2524">
        <f t="shared" ref="M53:O54" ca="1" si="0">D55</f>
        <v>10</v>
      </c>
      <c r="N53" s="2522" t="str">
        <f t="shared" si="0"/>
        <v>销售额×税（费）率</v>
      </c>
      <c r="O53" s="2525" t="str">
        <f t="shared" si="0"/>
        <v>免征</v>
      </c>
    </row>
    <row r="54" spans="1:35" ht="12" customHeight="1">
      <c r="A54" s="2335" t="s">
        <v>1357</v>
      </c>
      <c r="B54" s="3627" t="s">
        <v>2290</v>
      </c>
      <c r="C54" s="3628"/>
      <c r="D54" s="1087">
        <f ca="1">C68</f>
        <v>1035</v>
      </c>
      <c r="E54" s="327" t="s">
        <v>1358</v>
      </c>
      <c r="F54" s="2553">
        <f>'数据-取费表'!B41</f>
        <v>5.6000000000000001E-2</v>
      </c>
      <c r="G54" s="2554"/>
      <c r="H54" s="2555"/>
      <c r="I54" s="1807"/>
      <c r="J54" s="2522">
        <v>3</v>
      </c>
      <c r="K54" s="3603" t="s">
        <v>1359</v>
      </c>
      <c r="L54" s="3603"/>
      <c r="M54" s="2524">
        <f t="shared" ca="1" si="0"/>
        <v>10980</v>
      </c>
      <c r="N54" s="2522" t="str">
        <f t="shared" si="0"/>
        <v>增值额×税（费）率</v>
      </c>
      <c r="O54" s="2526" t="str">
        <f t="shared" si="0"/>
        <v>免征</v>
      </c>
    </row>
    <row r="55" spans="1:35" ht="24" customHeight="1">
      <c r="A55" s="3663" t="s">
        <v>1360</v>
      </c>
      <c r="B55" s="3641"/>
      <c r="C55" s="3641"/>
      <c r="D55" s="2324">
        <f ca="1">IF(H55="个人住宅",0,ROUND(D45*I55,0))</f>
        <v>10</v>
      </c>
      <c r="E55" s="2334" t="s">
        <v>1361</v>
      </c>
      <c r="F55" s="2553" t="str">
        <f>IF(H55="正常",I55,"免征")</f>
        <v>免征</v>
      </c>
      <c r="G55" s="2554"/>
      <c r="H55" s="2549"/>
      <c r="I55" s="165">
        <f>'数据-取费表'!B49</f>
        <v>5.0000000000000001E-4</v>
      </c>
      <c r="J55" s="2522">
        <f>IF(H59="非个人房产","",4)</f>
        <v>4</v>
      </c>
      <c r="K55" s="3603" t="str">
        <f>IF(H59="非个人房产","——","个人所得税")</f>
        <v>个人所得税</v>
      </c>
      <c r="L55" s="3603"/>
      <c r="M55" s="2527">
        <f ca="1">D59</f>
        <v>185</v>
      </c>
      <c r="N55" s="2040" t="str">
        <f>E59</f>
        <v>差额计税</v>
      </c>
      <c r="O55" s="2528">
        <f>F59</f>
        <v>0.01</v>
      </c>
    </row>
    <row r="56" spans="1:35" ht="24.75">
      <c r="A56" s="3663" t="s">
        <v>1362</v>
      </c>
      <c r="B56" s="3641"/>
      <c r="C56" s="3641"/>
      <c r="D56" s="2324">
        <f ca="1">IF(H56="个人住宅",D57,D58)</f>
        <v>10980</v>
      </c>
      <c r="E56" s="2334" t="s">
        <v>1363</v>
      </c>
      <c r="F56" s="2553" t="str">
        <f>IF(H56="正常",F58,"免征")</f>
        <v>免征</v>
      </c>
      <c r="G56" s="2556" t="s">
        <v>1364</v>
      </c>
      <c r="H56" s="2557"/>
      <c r="I56" s="1808"/>
      <c r="J56" s="2522" t="str">
        <f>IF(项目基本情况!K6="上海银行",IF(J55="",4,J55+1),"")</f>
        <v/>
      </c>
      <c r="K56" s="3584" t="str">
        <f>IF(项目基本情况!K6="上海银行","其他处置费用","")</f>
        <v/>
      </c>
      <c r="L56" s="3585"/>
      <c r="M56" s="2524" t="str">
        <f>IF(项目基本情况!K6="上海银行",M69,"")</f>
        <v/>
      </c>
      <c r="N56" s="3584" t="str">
        <f>IF(项目基本情况!K6="上海银行","包含处置中涉及的律师、诉讼、拍卖、评估等费用","")</f>
        <v/>
      </c>
      <c r="O56" s="3587"/>
    </row>
    <row r="57" spans="1:35" ht="12.75">
      <c r="A57" s="2335" t="s">
        <v>1340</v>
      </c>
      <c r="B57" s="3627" t="s">
        <v>1365</v>
      </c>
      <c r="C57" s="3628"/>
      <c r="D57" s="1590">
        <v>0</v>
      </c>
      <c r="E57" s="324" t="s">
        <v>1342</v>
      </c>
      <c r="F57" s="302"/>
      <c r="G57" s="2554"/>
      <c r="H57" s="2558"/>
      <c r="I57" s="1808"/>
      <c r="J57" s="3603">
        <f>IF(AND(J55="",J56=""),4,IF(项目基本情况!K6="上海银行",结果表!J56+1,结果表!J55+1))</f>
        <v>5</v>
      </c>
      <c r="K57" s="3603" t="s">
        <v>1366</v>
      </c>
      <c r="L57" s="2529" t="s">
        <v>1367</v>
      </c>
      <c r="M57" s="2530"/>
      <c r="N57" s="2531">
        <f ca="1">SUMIF(M52:M56,"&lt;9e307")</f>
        <v>11175</v>
      </c>
      <c r="O57" s="2532"/>
      <c r="P57" s="2688" t="e">
        <f ca="1">N57/M49</f>
        <v>#VALUE!</v>
      </c>
    </row>
    <row r="58" spans="1:35" ht="24.75">
      <c r="A58" s="2335" t="s">
        <v>1351</v>
      </c>
      <c r="B58" s="3627" t="s">
        <v>1368</v>
      </c>
      <c r="C58" s="3626"/>
      <c r="D58" s="2324">
        <f ca="1">IF(H58="转让取得",C81,C97)</f>
        <v>10980</v>
      </c>
      <c r="E58" s="2334" t="s">
        <v>1363</v>
      </c>
      <c r="F58" s="302" t="s">
        <v>28</v>
      </c>
      <c r="G58" s="2554"/>
      <c r="H58" s="2557"/>
      <c r="I58" s="1808"/>
      <c r="J58" s="3603"/>
      <c r="K58" s="3603"/>
      <c r="L58" s="2529" t="s">
        <v>1369</v>
      </c>
      <c r="M58" s="2533"/>
      <c r="N58" s="2534" t="str">
        <f ca="1">NUMBERSTRING(INT(N57*10000),2)&amp;"元整"</f>
        <v>壹亿壹仟壹佰柒拾伍万元整</v>
      </c>
      <c r="O58" s="2535"/>
    </row>
    <row r="59" spans="1:35" ht="24.75" thickBot="1">
      <c r="A59" s="3607" t="s">
        <v>1370</v>
      </c>
      <c r="B59" s="3608"/>
      <c r="C59" s="3608"/>
      <c r="D59" s="2559">
        <f ca="1">IF(H59="非个人房产","——",IF(H59="个人住宅（满五唯一有凭证）",0,IF(H59="个人其他（无凭证）",ROUND(D45*F59,0),ROUND(C67*F59,0))))</f>
        <v>185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05">
        <f>J57+1</f>
        <v>6</v>
      </c>
      <c r="K59" s="3603" t="s">
        <v>1371</v>
      </c>
      <c r="L59" s="2522" t="s">
        <v>1367</v>
      </c>
      <c r="M59" s="2536"/>
      <c r="N59" s="2537" t="e">
        <f ca="1">M49-N57</f>
        <v>#VALUE!</v>
      </c>
      <c r="O59" s="2538"/>
    </row>
    <row r="60" spans="1:35" ht="12" customHeight="1">
      <c r="A60" s="1809"/>
      <c r="B60" s="1747"/>
      <c r="C60" s="1747"/>
      <c r="D60" s="1747"/>
      <c r="E60" s="1578"/>
      <c r="F60" s="1808"/>
      <c r="G60" s="1808"/>
      <c r="H60" s="1810"/>
      <c r="I60" s="129"/>
      <c r="J60" s="3606"/>
      <c r="K60" s="3603"/>
      <c r="L60" s="2529" t="s">
        <v>1369</v>
      </c>
      <c r="M60" s="2533"/>
      <c r="N60" s="2534" t="e">
        <f ca="1">NUMBERSTRING(INT(N59*10000),2)&amp;"元整"</f>
        <v>#VALUE!</v>
      </c>
      <c r="O60" s="2535"/>
    </row>
    <row r="61" spans="1:35" ht="13.5" thickBot="1">
      <c r="A61" s="3662" t="s">
        <v>1372</v>
      </c>
      <c r="B61" s="3662"/>
      <c r="C61" s="3662"/>
      <c r="D61" s="3662"/>
      <c r="E61" s="3662"/>
      <c r="F61" s="1808"/>
      <c r="G61" s="1808"/>
      <c r="H61" s="1810"/>
      <c r="I61" s="129"/>
      <c r="J61" s="2522">
        <f>J59+1</f>
        <v>7</v>
      </c>
      <c r="K61" s="3603" t="s">
        <v>1373</v>
      </c>
      <c r="L61" s="3603"/>
      <c r="M61" s="2539"/>
      <c r="N61" s="2540" t="e">
        <f ca="1">ROUND(N59*10000/'数据-汇总表'!E3,0)</f>
        <v>#VALUE!</v>
      </c>
      <c r="O61" s="2541"/>
    </row>
    <row r="62" spans="1:35" ht="12.75">
      <c r="A62" s="3622" t="s">
        <v>1374</v>
      </c>
      <c r="B62" s="3623"/>
      <c r="C62" s="2021"/>
      <c r="D62" s="2021" t="s">
        <v>1375</v>
      </c>
      <c r="E62" s="166" t="s">
        <v>1376</v>
      </c>
      <c r="F62" s="1808"/>
      <c r="G62" s="1808"/>
      <c r="H62" s="1810"/>
      <c r="I62" s="129"/>
    </row>
    <row r="63" spans="1:35" ht="12.75">
      <c r="A63" s="173" t="s">
        <v>330</v>
      </c>
      <c r="B63" s="167" t="s">
        <v>1377</v>
      </c>
      <c r="C63" s="2563">
        <f ca="1">ROUND((C64+C65)/(1+'数据-取费表'!C42),0)</f>
        <v>18476</v>
      </c>
      <c r="D63" s="167"/>
      <c r="E63" s="168"/>
      <c r="F63" s="1808"/>
      <c r="G63" s="1808"/>
      <c r="H63" s="1810"/>
      <c r="I63" s="129"/>
      <c r="J63" s="3586" t="s">
        <v>1378</v>
      </c>
      <c r="K63" s="1332" t="s">
        <v>1379</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1380</v>
      </c>
      <c r="C64" s="2564">
        <f ca="1">D45</f>
        <v>19400</v>
      </c>
      <c r="D64" s="170" t="s">
        <v>26</v>
      </c>
      <c r="E64" s="172"/>
      <c r="F64" s="1808"/>
      <c r="G64" s="1808"/>
      <c r="H64" s="1810"/>
      <c r="I64" s="129"/>
      <c r="J64" s="3586"/>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2"/>
      <c r="AI64" s="1753"/>
    </row>
    <row r="65" spans="1:35" ht="14.25" customHeight="1">
      <c r="A65" s="169" t="s">
        <v>326</v>
      </c>
      <c r="B65" s="170" t="s">
        <v>1383</v>
      </c>
      <c r="C65" s="2565"/>
      <c r="D65" s="170"/>
      <c r="E65" s="172"/>
      <c r="F65" s="1808"/>
      <c r="G65" s="1808"/>
      <c r="H65" s="1810"/>
      <c r="I65" s="129"/>
      <c r="J65" s="3586"/>
      <c r="K65" s="1332" t="s">
        <v>1384</v>
      </c>
      <c r="L65" s="1332" t="e">
        <f>IF(M49&gt;1000,M49*0.1%,IF(AND(M49&gt;500,M49&lt;=1000),M49*0.5%,IF(AND(M49&gt;50,M49&lt;=500),M49*1%,IF(AND(M49&gt;1,M49&lt;=50),M49*1.5%))))</f>
        <v>#VALUE!</v>
      </c>
      <c r="M65" s="302" t="e">
        <f t="shared" si="1"/>
        <v>#VALUE!</v>
      </c>
      <c r="N65" s="2543" t="s">
        <v>1382</v>
      </c>
      <c r="Z65" s="1752"/>
      <c r="AI65" s="1753"/>
    </row>
    <row r="66" spans="1:35" ht="14.25" customHeight="1">
      <c r="A66" s="173" t="s">
        <v>327</v>
      </c>
      <c r="B66" s="174" t="s">
        <v>1385</v>
      </c>
      <c r="C66" s="2566"/>
      <c r="D66" s="174" t="s">
        <v>26</v>
      </c>
      <c r="E66" s="1338" t="s">
        <v>671</v>
      </c>
      <c r="F66" s="1808"/>
      <c r="G66" s="1808"/>
      <c r="H66" s="1810"/>
      <c r="I66" s="129"/>
      <c r="J66" s="3586"/>
      <c r="K66" s="1332" t="s">
        <v>1386</v>
      </c>
      <c r="L66" s="1332" t="e">
        <f>M49*0.5%</f>
        <v>#VALUE!</v>
      </c>
      <c r="M66" s="302" t="e">
        <f>IF(L66&gt;0.5,0.5,ROUND(L66,0))</f>
        <v>#VALUE!</v>
      </c>
      <c r="N66" s="2543" t="s">
        <v>1387</v>
      </c>
      <c r="Z66" s="1752"/>
      <c r="AI66" s="1753"/>
    </row>
    <row r="67" spans="1:35" ht="14.25" customHeight="1">
      <c r="A67" s="173" t="s">
        <v>328</v>
      </c>
      <c r="B67" s="174" t="s">
        <v>1388</v>
      </c>
      <c r="C67" s="2567">
        <f ca="1">C63-C66</f>
        <v>18476</v>
      </c>
      <c r="D67" s="170" t="s">
        <v>26</v>
      </c>
      <c r="E67" s="172"/>
      <c r="F67" s="1808"/>
      <c r="G67" s="1808"/>
      <c r="H67" s="1810"/>
      <c r="I67" s="129"/>
      <c r="J67" s="3586"/>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1390</v>
      </c>
      <c r="C68" s="2568">
        <f ca="1">IF(C67&lt;=0,0,ROUND(C67*D68,0))</f>
        <v>1035</v>
      </c>
      <c r="D68" s="2569">
        <f>'数据-取费表'!B41</f>
        <v>5.6000000000000001E-2</v>
      </c>
      <c r="E68" s="178"/>
      <c r="F68" s="1808"/>
      <c r="G68" s="1808"/>
      <c r="H68" s="1810"/>
      <c r="I68" s="129"/>
      <c r="J68" s="3586"/>
      <c r="K68" s="1332" t="s">
        <v>1391</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86"/>
      <c r="K69" s="1332" t="s">
        <v>1392</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0" t="s">
        <v>1393</v>
      </c>
      <c r="B70" s="3631"/>
      <c r="C70" s="3631"/>
      <c r="D70" s="3631"/>
      <c r="E70" s="3631"/>
      <c r="F70" s="3631"/>
      <c r="G70" s="3631"/>
      <c r="H70" s="363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2" t="s">
        <v>1374</v>
      </c>
      <c r="B71" s="3623"/>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18476</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111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27" t="s">
        <v>1401</v>
      </c>
      <c r="F76" s="3626"/>
      <c r="G76" s="3626"/>
      <c r="H76" s="362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111</v>
      </c>
      <c r="D78" s="2576">
        <f>'数据-取费表'!B43</f>
        <v>6.000000000000001E-3</v>
      </c>
      <c r="E78" s="3619" t="s">
        <v>1405</v>
      </c>
      <c r="F78" s="3620"/>
      <c r="G78" s="3620"/>
      <c r="H78" s="362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18365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165.45045045045046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10980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0" t="s">
        <v>1409</v>
      </c>
      <c r="B83" s="3631"/>
      <c r="C83" s="3631"/>
      <c r="D83" s="3631"/>
      <c r="E83" s="3631"/>
      <c r="F83" s="3631"/>
      <c r="G83" s="3631"/>
      <c r="H83" s="363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2" t="s">
        <v>1374</v>
      </c>
      <c r="B84" s="362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18476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111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588" t="s">
        <v>2127</v>
      </c>
      <c r="H90" s="3589"/>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19" t="s">
        <v>1418</v>
      </c>
      <c r="F91" s="3620"/>
      <c r="G91" s="362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19" t="s">
        <v>1421</v>
      </c>
      <c r="F92" s="3620"/>
      <c r="G92" s="3620"/>
      <c r="H92" s="3621"/>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111</v>
      </c>
      <c r="D93" s="2576">
        <f>'数据-取费表'!B43</f>
        <v>6.000000000000001E-3</v>
      </c>
      <c r="E93" s="3619" t="s">
        <v>1405</v>
      </c>
      <c r="F93" s="3620"/>
      <c r="G93" s="3620"/>
      <c r="H93" s="362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64" t="s">
        <v>1425</v>
      </c>
      <c r="F94" s="3665"/>
      <c r="G94" s="3665"/>
      <c r="H94" s="36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18365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165.45045045045046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10980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9" t="s">
        <v>1427</v>
      </c>
      <c r="B100" s="3570"/>
      <c r="C100" s="3570"/>
      <c r="D100" s="3604"/>
      <c r="E100" s="3570" t="s">
        <v>1428</v>
      </c>
      <c r="F100" s="3570"/>
      <c r="G100" s="3570"/>
      <c r="H100" s="3604"/>
      <c r="I100" s="129"/>
    </row>
    <row r="101" spans="1:35" ht="18.75" customHeight="1">
      <c r="A101" s="3612" t="s">
        <v>1429</v>
      </c>
      <c r="B101" s="3613"/>
      <c r="C101" s="2584" t="str">
        <f>C4</f>
        <v>成本法</v>
      </c>
      <c r="D101" s="2585" t="str">
        <f>D4</f>
        <v>假设开发法</v>
      </c>
      <c r="E101" s="3582" t="s">
        <v>1430</v>
      </c>
      <c r="F101" s="3583"/>
      <c r="G101" s="1827" t="s">
        <v>1431</v>
      </c>
      <c r="H101" s="2594">
        <f ca="1">H118</f>
        <v>19400</v>
      </c>
      <c r="I101" s="129"/>
    </row>
    <row r="102" spans="1:35" ht="18.75" customHeight="1">
      <c r="A102" s="3614" t="s">
        <v>1432</v>
      </c>
      <c r="B102" s="2583" t="s">
        <v>1431</v>
      </c>
      <c r="C102" s="2584">
        <f ca="1">IF(D32="楼面单价",ROUND(C19,0),C19)</f>
        <v>22102</v>
      </c>
      <c r="D102" s="2585">
        <f ca="1">IF(D32="楼面单价",ROUND(D19,0),D19)</f>
        <v>15347</v>
      </c>
      <c r="E102" s="3582"/>
      <c r="F102" s="3583"/>
      <c r="G102" s="1827" t="s">
        <v>1433</v>
      </c>
      <c r="H102" s="2554">
        <f ca="1">I118</f>
        <v>3204</v>
      </c>
      <c r="I102" s="129"/>
    </row>
    <row r="103" spans="1:35" ht="42.75" customHeight="1">
      <c r="A103" s="3614"/>
      <c r="B103" s="2583" t="s">
        <v>1433</v>
      </c>
      <c r="C103" s="2586">
        <f ca="1">C20</f>
        <v>3650</v>
      </c>
      <c r="D103" s="2587">
        <f ca="1">D20</f>
        <v>2534</v>
      </c>
      <c r="E103" s="3575" t="s">
        <v>1434</v>
      </c>
      <c r="F103" s="3576"/>
      <c r="G103" s="1828" t="s">
        <v>1435</v>
      </c>
      <c r="H103" s="2594">
        <f>IF(D36="正常操作",H104+H105+H106,H105+H106)</f>
        <v>0</v>
      </c>
      <c r="I103" s="129"/>
    </row>
    <row r="104" spans="1:35" ht="18.75" customHeight="1">
      <c r="A104" s="3614" t="s">
        <v>1436</v>
      </c>
      <c r="B104" s="2588" t="s">
        <v>1431</v>
      </c>
      <c r="C104" s="2589">
        <f ca="1">H118</f>
        <v>19400</v>
      </c>
      <c r="D104" s="2590"/>
      <c r="E104" s="1674" t="s">
        <v>1437</v>
      </c>
      <c r="F104" s="1666"/>
      <c r="G104" s="1828" t="s">
        <v>1435</v>
      </c>
      <c r="H104" s="2595">
        <f>IF(D36="同一抵押权人同一抵押物续贷",C36&amp;"（续贷，未扣减，详见特别提示）",C36)</f>
        <v>0</v>
      </c>
      <c r="I104" s="129"/>
    </row>
    <row r="105" spans="1:35" ht="18.75" customHeight="1" thickBot="1">
      <c r="A105" s="3624"/>
      <c r="B105" s="2591" t="s">
        <v>1433</v>
      </c>
      <c r="C105" s="2592">
        <f ca="1">I118</f>
        <v>3204</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5" t="str">
        <f>IF(项目基本情况!E8="已注销","——","3.房地产抵押价值")</f>
        <v>3.房地产抵押价值</v>
      </c>
      <c r="F107" s="3583"/>
      <c r="G107" s="1827" t="s">
        <v>1431</v>
      </c>
      <c r="H107" s="2594">
        <f ca="1">IF(E107="——","——",H101-H103)</f>
        <v>19400</v>
      </c>
      <c r="I107" s="129"/>
    </row>
    <row r="108" spans="1:35" ht="18.75" customHeight="1">
      <c r="A108" s="129"/>
      <c r="B108" s="129"/>
      <c r="C108" s="129"/>
      <c r="D108" s="129"/>
      <c r="E108" s="3615"/>
      <c r="F108" s="3583"/>
      <c r="G108" s="1827" t="s">
        <v>1433</v>
      </c>
      <c r="H108" s="2554">
        <f ca="1">IF(H107=H101,H102,ROUND(H107*10000/'数据-汇总表'!E3,0))</f>
        <v>3204</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583"/>
      <c r="G109" s="1827" t="s">
        <v>1431</v>
      </c>
      <c r="H109" s="2597" t="str">
        <f>IF(E109="——","——",H101-H105-H106)</f>
        <v>——</v>
      </c>
      <c r="I109" s="129"/>
    </row>
    <row r="110" spans="1:35" ht="18.75" customHeight="1">
      <c r="A110" s="129"/>
      <c r="B110" s="129"/>
      <c r="C110" s="129"/>
      <c r="D110" s="129"/>
      <c r="E110" s="3615"/>
      <c r="F110" s="3583"/>
      <c r="G110" s="1827" t="s">
        <v>1433</v>
      </c>
      <c r="H110" s="2554"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602"/>
      <c r="G111" s="1827" t="s">
        <v>1431</v>
      </c>
      <c r="H111" s="2594" t="str">
        <f>IF(E111="——","——",N59)</f>
        <v>——</v>
      </c>
      <c r="I111" s="129"/>
    </row>
    <row r="112" spans="1:35" ht="18.75" customHeight="1" thickBot="1">
      <c r="A112" s="129"/>
      <c r="B112" s="129"/>
      <c r="C112" s="129"/>
      <c r="D112" s="129"/>
      <c r="E112" s="3617"/>
      <c r="F112" s="3618"/>
      <c r="G112" s="1830" t="s">
        <v>1433</v>
      </c>
      <c r="H112" s="2598" t="str">
        <f>IF(E111="——","——",N61)</f>
        <v>——</v>
      </c>
      <c r="I112" s="129"/>
    </row>
    <row r="113" spans="1:27" ht="18.75" customHeight="1">
      <c r="A113" s="129"/>
      <c r="B113" s="129"/>
      <c r="C113" s="129"/>
      <c r="D113" s="129"/>
      <c r="E113" s="3625" t="s">
        <v>1439</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3" t="s">
        <v>1441</v>
      </c>
      <c r="B115" s="3634"/>
      <c r="C115" s="3634"/>
      <c r="D115" s="3634"/>
      <c r="E115" s="3634"/>
      <c r="F115" s="3634"/>
      <c r="G115" s="3634"/>
      <c r="H115" s="3634"/>
      <c r="I115" s="3635"/>
    </row>
    <row r="116" spans="1:27" ht="27" customHeight="1">
      <c r="A116" s="3590" t="s">
        <v>1442</v>
      </c>
      <c r="B116" s="3594" t="s">
        <v>1443</v>
      </c>
      <c r="C116" s="3594" t="s">
        <v>1444</v>
      </c>
      <c r="D116" s="3600" t="s">
        <v>1445</v>
      </c>
      <c r="E116" s="3601"/>
      <c r="F116" s="3632" t="s">
        <v>1446</v>
      </c>
      <c r="G116" s="3632"/>
      <c r="H116" s="3590" t="s">
        <v>1447</v>
      </c>
      <c r="I116" s="3590"/>
    </row>
    <row r="117" spans="1:27" ht="18.75" customHeight="1">
      <c r="A117" s="3590"/>
      <c r="B117" s="3595"/>
      <c r="C117" s="3595"/>
      <c r="D117" s="2329" t="s">
        <v>1448</v>
      </c>
      <c r="E117" s="2329" t="s">
        <v>1449</v>
      </c>
      <c r="F117" s="2329" t="s">
        <v>1448</v>
      </c>
      <c r="G117" s="2329" t="s">
        <v>1450</v>
      </c>
      <c r="H117" s="2329" t="s">
        <v>1448</v>
      </c>
      <c r="I117" s="2329" t="s">
        <v>1450</v>
      </c>
    </row>
    <row r="118" spans="1:27" ht="24.75" customHeight="1">
      <c r="A118" s="2599" t="str">
        <f>项目基本情况!S2</f>
        <v>贵州省毕节市七星关区市西街道天河社区房地产</v>
      </c>
      <c r="B118" s="2329">
        <f>M18</f>
        <v>60555.78</v>
      </c>
      <c r="C118" s="2329">
        <f>M19</f>
        <v>30070.98</v>
      </c>
      <c r="D118" s="2329">
        <f ca="1">ROUND(IF(D32="总价",C34,E118*B118/10000),0)</f>
        <v>2813</v>
      </c>
      <c r="E118" s="2329">
        <f ca="1">ROUND(IF(C33="自定义",IF(D32="楼面单价",C34,D118*10000/B118),I118-G118),0)</f>
        <v>465</v>
      </c>
      <c r="F118" s="2329">
        <f ca="1">ROUND(IF(D32="总价",C35,G118*B118/10000),0)</f>
        <v>16587</v>
      </c>
      <c r="G118" s="2329">
        <f ca="1">ROUND(IF(D32="楼面单价",C35,F118*10000/B118),0)</f>
        <v>2739</v>
      </c>
      <c r="H118" s="2329">
        <f ca="1">ROUND(IF(D32="总价",C32,I118*B118/10000),0)</f>
        <v>19400</v>
      </c>
      <c r="I118" s="2329">
        <f ca="1">ROUND(IF(D32="楼面单价",C32,H118*10000/B118),0)</f>
        <v>3204</v>
      </c>
    </row>
    <row r="119" spans="1:27" ht="18.75" customHeight="1">
      <c r="A119" s="3590" t="s">
        <v>1451</v>
      </c>
      <c r="B119" s="3590"/>
      <c r="C119" s="3590"/>
      <c r="D119" s="3596" t="str">
        <f ca="1">NUMBERSTRING(INT(D118*10000),2)&amp;"元整"</f>
        <v>贰仟捌佰壹拾叁万元整</v>
      </c>
      <c r="E119" s="3597"/>
      <c r="F119" s="3596" t="str">
        <f ca="1">NUMBERSTRING(INT(F118*10000),2)&amp;"元整"</f>
        <v>壹亿陆仟伍佰捌拾柒万元整</v>
      </c>
      <c r="G119" s="3597"/>
      <c r="H119" s="3596" t="str">
        <f ca="1">NUMBERSTRING(INT(H118*10000),2)&amp;"元整"</f>
        <v>壹亿玖仟肆佰万元整</v>
      </c>
      <c r="I119" s="3597"/>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1451</v>
      </c>
      <c r="B121" s="3598"/>
      <c r="C121" s="3597"/>
      <c r="D121" s="3596" t="str">
        <f>IF(D120=0,"零元整",NUMBERSTRING(INT(D120*10000),2)&amp;"元整")</f>
        <v>零元整</v>
      </c>
      <c r="E121" s="3598"/>
      <c r="F121" s="3598"/>
      <c r="G121" s="3598"/>
      <c r="H121" s="3598"/>
      <c r="I121" s="3597"/>
      <c r="AA121" s="725"/>
    </row>
    <row r="122" spans="1:27" ht="18.75" customHeight="1">
      <c r="A122" s="3602" t="str">
        <f>IF(项目基本情况!B9="房地产市场价值","",MID(E107,3,LEN(E107)-2))</f>
        <v>房地产抵押价值</v>
      </c>
      <c r="B122" s="3602"/>
      <c r="C122" s="3602"/>
      <c r="D122" s="3591">
        <f ca="1">H107</f>
        <v>19400</v>
      </c>
      <c r="E122" s="3592"/>
      <c r="F122" s="3592"/>
      <c r="G122" s="3592"/>
      <c r="H122" s="3592"/>
      <c r="I122" s="3593"/>
      <c r="AA122" s="725"/>
    </row>
    <row r="123" spans="1:27" ht="18.75" customHeight="1">
      <c r="A123" s="3590" t="s">
        <v>1451</v>
      </c>
      <c r="B123" s="3590"/>
      <c r="C123" s="3590"/>
      <c r="D123" s="3596" t="str">
        <f ca="1">NUMBERSTRING(INT(D122*10000),2)&amp;"元整"</f>
        <v>壹亿玖仟肆佰万元整</v>
      </c>
      <c r="E123" s="3598"/>
      <c r="F123" s="3598"/>
      <c r="G123" s="3598"/>
      <c r="H123" s="3598"/>
      <c r="I123" s="3597"/>
      <c r="AA123" s="725"/>
    </row>
    <row r="124" spans="1:27" ht="18.75" customHeight="1">
      <c r="A124" s="3602" t="str">
        <f>IF(项目基本情况!B9="房地产市场价值","",MID(E109,3,LEN(E109)-2))</f>
        <v/>
      </c>
      <c r="B124" s="3602"/>
      <c r="C124" s="3602"/>
      <c r="D124" s="3591" t="str">
        <f>H109</f>
        <v>——</v>
      </c>
      <c r="E124" s="3592"/>
      <c r="F124" s="3592"/>
      <c r="G124" s="3592"/>
      <c r="H124" s="3592"/>
      <c r="I124" s="3593"/>
      <c r="AA124" s="725"/>
    </row>
    <row r="125" spans="1:27" ht="18.75" customHeight="1">
      <c r="A125" s="3590" t="s">
        <v>1451</v>
      </c>
      <c r="B125" s="3590"/>
      <c r="C125" s="3590"/>
      <c r="D125" s="3596" t="e">
        <f>NUMBERSTRING(INT(D124*10000),2)&amp;"元整"</f>
        <v>#VALUE!</v>
      </c>
      <c r="E125" s="3598"/>
      <c r="F125" s="3598"/>
      <c r="G125" s="3598"/>
      <c r="H125" s="3598"/>
      <c r="I125" s="3597"/>
      <c r="AA125" s="725"/>
    </row>
    <row r="126" spans="1:27" ht="18.75" customHeight="1">
      <c r="A126" s="3602" t="str">
        <f>IF(项目基本情况!B9="房地产市场价值","",MID(E111,3,LEN(E111)-2))</f>
        <v/>
      </c>
      <c r="B126" s="3602"/>
      <c r="C126" s="3602"/>
      <c r="D126" s="3591" t="str">
        <f>H111</f>
        <v>——</v>
      </c>
      <c r="E126" s="3592"/>
      <c r="F126" s="3592"/>
      <c r="G126" s="3592"/>
      <c r="H126" s="3592"/>
      <c r="I126" s="3593"/>
      <c r="AA126" s="725"/>
    </row>
    <row r="127" spans="1:27" ht="18.75" customHeight="1">
      <c r="A127" s="3590" t="s">
        <v>1451</v>
      </c>
      <c r="B127" s="3590"/>
      <c r="C127" s="3590"/>
      <c r="D127" s="3596" t="e">
        <f>NUMBERSTRING(INT(D126*10000),2)&amp;"元整"</f>
        <v>#VALUE!</v>
      </c>
      <c r="E127" s="3598"/>
      <c r="F127" s="3598"/>
      <c r="G127" s="3598"/>
      <c r="H127" s="3598"/>
      <c r="I127" s="3597"/>
      <c r="AA127" s="725"/>
    </row>
    <row r="128" spans="1:27" ht="21.75" customHeight="1">
      <c r="A128" s="3599" t="s">
        <v>1452</v>
      </c>
      <c r="B128" s="3599"/>
      <c r="C128" s="3599"/>
      <c r="D128" s="3599"/>
      <c r="E128" s="3599"/>
      <c r="F128" s="3599"/>
      <c r="G128" s="3599"/>
      <c r="H128" s="3599"/>
      <c r="I128" s="359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贵州省毕节市七星关区市西街道天河社区预评估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U57" sqref="U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22102</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3650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2495</v>
      </c>
      <c r="D5" s="211" t="s">
        <v>1468</v>
      </c>
      <c r="E5" s="212" t="s">
        <v>1469</v>
      </c>
      <c r="F5" s="212" t="s">
        <v>1470</v>
      </c>
      <c r="G5" s="213"/>
    </row>
    <row r="6" spans="1:9" s="214" customFormat="1" ht="13.5" customHeight="1">
      <c r="A6" s="778" t="s">
        <v>1471</v>
      </c>
      <c r="B6" s="215" t="s">
        <v>1472</v>
      </c>
      <c r="C6" s="216">
        <f>'土地比较法-住宅、综合'!B2</f>
        <v>2127</v>
      </c>
      <c r="D6" s="217"/>
      <c r="E6" s="218"/>
      <c r="F6" s="218"/>
      <c r="G6" s="219"/>
    </row>
    <row r="7" spans="1:9" s="214" customFormat="1" ht="13.5" customHeight="1">
      <c r="A7" s="778" t="s">
        <v>1473</v>
      </c>
      <c r="B7" s="215" t="s">
        <v>1474</v>
      </c>
      <c r="C7" s="220">
        <f>ROUND(C6*F7,0)</f>
        <v>65</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303</v>
      </c>
      <c r="D8" s="222"/>
      <c r="E8" s="220"/>
      <c r="F8" s="221"/>
      <c r="G8" s="1856" t="s">
        <v>3427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3428</v>
      </c>
      <c r="H9" s="1137"/>
      <c r="I9" s="1858" t="s">
        <v>1478</v>
      </c>
    </row>
    <row r="10" spans="1:9" s="214" customFormat="1" ht="13.5" customHeight="1">
      <c r="A10" s="779" t="s">
        <v>356</v>
      </c>
      <c r="B10" s="224" t="s">
        <v>1479</v>
      </c>
      <c r="C10" s="225">
        <f ca="1">ROUND(D10*E10/10000,0)</f>
        <v>303</v>
      </c>
      <c r="D10" s="845">
        <f ca="1">IF(B1="",'数据-汇总表'!E6,IF(INDIRECT("'数据-取费表'!c"&amp;$G$1)="住宅",INDIRECT("'数据-取费表'!s"&amp;$G$1),INDIRECT("'数据-取费表'!k"&amp;$G$1)+INDIRECT("'数据-取费表'!s"&amp;$G$1)))</f>
        <v>60555.78</v>
      </c>
      <c r="E10" s="225">
        <f>'数据-取费表'!B28</f>
        <v>50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60555.78</v>
      </c>
      <c r="E19" s="211">
        <f>'数据-取费表'!B31</f>
        <v>200</v>
      </c>
      <c r="F19" s="231"/>
      <c r="G19" s="1856" t="s">
        <v>3429</v>
      </c>
    </row>
    <row r="20" spans="1:7" s="214" customFormat="1" ht="13.5" customHeight="1">
      <c r="A20" s="255" t="s">
        <v>1492</v>
      </c>
      <c r="B20" s="210" t="s">
        <v>1493</v>
      </c>
      <c r="C20" s="232">
        <f ca="1">ROUND((C5+C19)*F20,0)</f>
        <v>50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211</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209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2</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202</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ROUND((C5+C19+C20)*F27*'数据-取费表'!B21/'数据-取费表'!B20,0)</f>
        <v>202</v>
      </c>
      <c r="D28" s="235"/>
      <c r="E28" s="236"/>
      <c r="F28" s="246"/>
      <c r="G28" s="247"/>
    </row>
    <row r="29" spans="1:7" s="214" customFormat="1" ht="13.5" customHeight="1">
      <c r="A29" s="780"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3200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15277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13472</v>
      </c>
      <c r="D34" s="217"/>
      <c r="E34" s="220"/>
      <c r="F34" s="257">
        <f ca="1">IF('数据-取费表'!B24=0,1,IF(B1="",'数据-取费表'!N16,INDIRECT("'数据-取费表'!n"&amp;$G$1)))</f>
        <v>0.99</v>
      </c>
      <c r="G34" s="219" t="s">
        <v>1525</v>
      </c>
    </row>
    <row r="35" spans="1:7" ht="13.5" customHeight="1">
      <c r="A35" s="780" t="s">
        <v>351</v>
      </c>
      <c r="B35" s="215" t="s">
        <v>1526</v>
      </c>
      <c r="C35" s="220">
        <f ca="1">ROUND(C34*F35,0)</f>
        <v>404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1199</v>
      </c>
      <c r="D37" s="217">
        <f ca="1">D19</f>
        <v>60555.78</v>
      </c>
      <c r="E37" s="249">
        <f>'数据-取费表'!B35</f>
        <v>200</v>
      </c>
      <c r="F37" s="259"/>
      <c r="G37" s="261" t="s">
        <v>1531</v>
      </c>
    </row>
    <row r="38" spans="1:7" ht="13.5" customHeight="1">
      <c r="A38" s="780" t="s">
        <v>354</v>
      </c>
      <c r="B38" s="215" t="s">
        <v>1532</v>
      </c>
      <c r="C38" s="220">
        <f ca="1">ROUND(C34*F38,0)</f>
        <v>202</v>
      </c>
      <c r="D38" s="220"/>
      <c r="E38" s="220"/>
      <c r="F38" s="259">
        <f>'数据-取费表'!B36</f>
        <v>1.4999999999999999E-2</v>
      </c>
      <c r="G38" s="219" t="s">
        <v>1527</v>
      </c>
    </row>
    <row r="39" spans="1:7" s="214" customFormat="1" ht="13.5" customHeight="1">
      <c r="A39" s="255" t="s">
        <v>1533</v>
      </c>
      <c r="B39" s="210" t="s">
        <v>1534</v>
      </c>
      <c r="C39" s="232">
        <f ca="1">ROUND(C33*F20,0)</f>
        <v>306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641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628</v>
      </c>
      <c r="D42" s="238"/>
      <c r="E42" s="238"/>
      <c r="F42" s="239"/>
      <c r="G42" s="3669" t="s">
        <v>1543</v>
      </c>
    </row>
    <row r="43" spans="1:7" ht="13.5" customHeight="1">
      <c r="A43" s="780" t="s">
        <v>347</v>
      </c>
      <c r="B43" s="215" t="s">
        <v>1544</v>
      </c>
      <c r="C43" s="238">
        <f ca="1">ROUND(IF('数据-取费表'!B22&lt;=1,C39*F22*'数据-取费表'!B21/2,C39*(POWER((1+F22),'数据-取费表'!B21/2)-1)),0)</f>
        <v>13</v>
      </c>
      <c r="D43" s="238"/>
      <c r="E43" s="238"/>
      <c r="F43" s="239"/>
      <c r="G43" s="3670"/>
    </row>
    <row r="44" spans="1:7" ht="13.5" customHeight="1">
      <c r="A44" s="780" t="s">
        <v>348</v>
      </c>
      <c r="B44" s="215" t="s">
        <v>1545</v>
      </c>
      <c r="C44" s="238">
        <f ca="1">ROUND(IF('数据-取费表'!B22&lt;=1,C40*F22*'数据-取费表'!B21/2,C40*(POWER((1+F22),'数据-取费表'!B21/2)-1)),4)</f>
        <v>8.0000000000000004E-4</v>
      </c>
      <c r="D44" s="238"/>
      <c r="E44" s="238"/>
      <c r="F44" s="239"/>
      <c r="G44" s="3671"/>
    </row>
    <row r="45" spans="1:7" s="214" customFormat="1" ht="13.5" customHeight="1">
      <c r="A45" s="255" t="s">
        <v>1546</v>
      </c>
      <c r="B45" s="244" t="s">
        <v>1512</v>
      </c>
      <c r="C45" s="245">
        <f ca="1">C46</f>
        <v>1247</v>
      </c>
      <c r="D45" s="235">
        <f ca="1">C47</f>
        <v>1.6000000000000001E-3</v>
      </c>
      <c r="E45" s="236" t="s">
        <v>1538</v>
      </c>
      <c r="F45" s="246">
        <f ca="1">F27</f>
        <v>0.08</v>
      </c>
      <c r="G45" s="247" t="s">
        <v>1547</v>
      </c>
    </row>
    <row r="46" spans="1:7" s="214" customFormat="1" ht="13.5" customHeight="1">
      <c r="A46" s="780" t="s">
        <v>346</v>
      </c>
      <c r="B46" s="248" t="s">
        <v>1548</v>
      </c>
      <c r="C46" s="249">
        <f ca="1">ROUND((C33+C39)*F27,0)</f>
        <v>1247</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18902</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18902</v>
      </c>
      <c r="D51" s="232"/>
      <c r="E51" s="232"/>
      <c r="F51" s="264"/>
      <c r="G51" s="234" t="s">
        <v>1559</v>
      </c>
    </row>
    <row r="52" spans="1:7" s="208" customFormat="1" ht="16.5" thickBot="1">
      <c r="A52" s="265" t="s">
        <v>1560</v>
      </c>
      <c r="B52" s="266"/>
      <c r="C52" s="267">
        <f ca="1">C31+C51</f>
        <v>22102</v>
      </c>
      <c r="D52" s="266"/>
      <c r="E52" s="266"/>
      <c r="F52" s="266"/>
      <c r="G52" s="268"/>
    </row>
    <row r="55" spans="1:7" ht="15">
      <c r="B55" s="270" t="s">
        <v>1561</v>
      </c>
      <c r="C55" s="271"/>
    </row>
    <row r="56" spans="1:7">
      <c r="B56" s="273" t="s">
        <v>802</v>
      </c>
      <c r="C56" s="275">
        <f ca="1">1-C57</f>
        <v>0.14500000000000002</v>
      </c>
    </row>
    <row r="57" spans="1:7">
      <c r="B57" s="273" t="s">
        <v>803</v>
      </c>
      <c r="C57" s="274">
        <f ca="1">ROUND(C51/C52,3)</f>
        <v>0.85499999999999998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2">
        <f ca="1">ROUND(IF(D2="——",C52/10000,C52/10000-E2),4)</f>
        <v>21042.3897</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3475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3027789</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3027789</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3027789</v>
      </c>
      <c r="D10" s="845">
        <f ca="1">IF(B1="",'数据-汇总表'!E6,IF(INDIRECT("'数据-取费表'!c"&amp;$G$1)="住宅",INDIRECT("'数据-取费表'!s"&amp;$G$1),INDIRECT("'数据-取费表'!k"&amp;$G$1)+INDIRECT("'数据-取费表'!s"&amp;$G$1)))</f>
        <v>60555.78</v>
      </c>
      <c r="E10" s="225">
        <f>'数据-取费表'!B28</f>
        <v>50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12111156</v>
      </c>
      <c r="D19" s="849">
        <f ca="1">D9+D10</f>
        <v>60555.78</v>
      </c>
      <c r="E19" s="211">
        <f>'数据-取费表'!B31</f>
        <v>200</v>
      </c>
      <c r="F19" s="231"/>
      <c r="G19" s="1856"/>
    </row>
    <row r="20" spans="1:7" s="214" customFormat="1" ht="13.5" customHeight="1">
      <c r="A20" s="255" t="s">
        <v>1573</v>
      </c>
      <c r="B20" s="210" t="s">
        <v>1574</v>
      </c>
      <c r="C20" s="232">
        <f ca="1">ROUND((C5+C19)*F20,0)</f>
        <v>302779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1295170</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256521</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1026084</v>
      </c>
      <c r="D24" s="238"/>
      <c r="E24" s="238"/>
      <c r="F24" s="239"/>
      <c r="G24" s="240" t="s">
        <v>1585</v>
      </c>
    </row>
    <row r="25" spans="1:7" s="214" customFormat="1" ht="24">
      <c r="A25" s="780" t="s">
        <v>1475</v>
      </c>
      <c r="B25" s="215" t="s">
        <v>1586</v>
      </c>
      <c r="C25" s="1128">
        <f ca="1">ROUND(IF('数据-取费表'!B22&lt;=1,C20*F22*'数据-取费表'!B22/2,C20*(POWER((1+F22),'数据-取费表'!B22/2)-1)),0)</f>
        <v>12565</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1235338</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ROUND((C5+C19+C20)*F27,0)</f>
        <v>1235338</v>
      </c>
      <c r="D28" s="235"/>
      <c r="E28" s="236"/>
      <c r="F28" s="246"/>
      <c r="G28" s="247"/>
    </row>
    <row r="29" spans="1:7" s="214" customFormat="1" ht="13.5" customHeight="1">
      <c r="A29" s="780" t="s">
        <v>347</v>
      </c>
      <c r="B29" s="248" t="s">
        <v>1516</v>
      </c>
      <c r="C29" s="238">
        <f ca="1">ROUND(C21*F27,4)</f>
        <v>1.6000000000000001E-3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19444154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154312394</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136077740</v>
      </c>
      <c r="D34" s="217"/>
      <c r="E34" s="220"/>
      <c r="F34" s="257"/>
      <c r="G34" s="219"/>
    </row>
    <row r="35" spans="1:7" ht="13.5" customHeight="1">
      <c r="A35" s="780" t="s">
        <v>351</v>
      </c>
      <c r="B35" s="215" t="s">
        <v>1526</v>
      </c>
      <c r="C35" s="220">
        <f ca="1">ROUND(C34*F35,0)</f>
        <v>4082332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12111156</v>
      </c>
      <c r="D37" s="217">
        <f ca="1">D19</f>
        <v>60555.78</v>
      </c>
      <c r="E37" s="249">
        <f>'数据-取费表'!B35</f>
        <v>200</v>
      </c>
      <c r="F37" s="259"/>
      <c r="G37" s="261"/>
    </row>
    <row r="38" spans="1:7" ht="13.5" customHeight="1">
      <c r="A38" s="780" t="s">
        <v>354</v>
      </c>
      <c r="B38" s="215" t="s">
        <v>1532</v>
      </c>
      <c r="C38" s="220">
        <f ca="1">ROUND(C34*F38,0)</f>
        <v>2041166</v>
      </c>
      <c r="D38" s="220"/>
      <c r="E38" s="220"/>
      <c r="F38" s="259">
        <f>'数据-取费表'!B36</f>
        <v>1.4999999999999999E-2</v>
      </c>
      <c r="G38" s="219" t="s">
        <v>1527</v>
      </c>
    </row>
    <row r="39" spans="1:7" s="214" customFormat="1" ht="13.5" customHeight="1">
      <c r="A39" s="255" t="s">
        <v>1533</v>
      </c>
      <c r="B39" s="210" t="s">
        <v>1534</v>
      </c>
      <c r="C39" s="232">
        <f ca="1">ROUND(C33*F20,0)</f>
        <v>3086248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6532043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6403964</v>
      </c>
      <c r="D42" s="238"/>
      <c r="E42" s="238"/>
      <c r="F42" s="239"/>
      <c r="G42" s="3669" t="s">
        <v>1590</v>
      </c>
    </row>
    <row r="43" spans="1:7" ht="13.5" customHeight="1">
      <c r="A43" s="780" t="s">
        <v>347</v>
      </c>
      <c r="B43" s="215" t="s">
        <v>1544</v>
      </c>
      <c r="C43" s="238">
        <f ca="1">ROUND(IF('数据-取费表'!B22&lt;=1,C39*F22*'数据-取费表'!B20/2,C39*(POWER((1+F22),'数据-取费表'!B20/2)-1)),0)</f>
        <v>128079</v>
      </c>
      <c r="D43" s="238"/>
      <c r="E43" s="238"/>
      <c r="F43" s="239"/>
      <c r="G43" s="3670"/>
    </row>
    <row r="44" spans="1:7" ht="13.5" customHeight="1">
      <c r="A44" s="780" t="s">
        <v>348</v>
      </c>
      <c r="B44" s="215" t="s">
        <v>1545</v>
      </c>
      <c r="C44" s="238">
        <f ca="1">ROUND(IF('数据-取费表'!B22&lt;=1,C40*F22*'数据-取费表'!B20/2,C40*(POWER((1+F22),'数据-取费表'!B20/2)-1)),4)</f>
        <v>8.0000000000000004E-4</v>
      </c>
      <c r="D44" s="238"/>
      <c r="E44" s="238"/>
      <c r="F44" s="239"/>
      <c r="G44" s="3671"/>
    </row>
    <row r="45" spans="1:7" s="214" customFormat="1" ht="13.5" customHeight="1">
      <c r="A45" s="255" t="s">
        <v>1546</v>
      </c>
      <c r="B45" s="244" t="s">
        <v>1512</v>
      </c>
      <c r="C45" s="245">
        <f ca="1">C46</f>
        <v>12591891</v>
      </c>
      <c r="D45" s="235">
        <f ca="1">C47</f>
        <v>1.6000000000000001E-3</v>
      </c>
      <c r="E45" s="236" t="s">
        <v>1538</v>
      </c>
      <c r="F45" s="246">
        <f ca="1">F27</f>
        <v>0.08</v>
      </c>
      <c r="G45" s="247" t="s">
        <v>1547</v>
      </c>
    </row>
    <row r="46" spans="1:7" s="214" customFormat="1" ht="13.5" customHeight="1">
      <c r="A46" s="780" t="s">
        <v>346</v>
      </c>
      <c r="B46" s="248" t="s">
        <v>1548</v>
      </c>
      <c r="C46" s="249">
        <f ca="1">ROUND((C33+C39)*F27,0)</f>
        <v>12591891</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190979743</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190979743</v>
      </c>
      <c r="D51" s="232"/>
      <c r="E51" s="232"/>
      <c r="F51" s="264"/>
      <c r="G51" s="234" t="s">
        <v>1559</v>
      </c>
    </row>
    <row r="52" spans="1:7" s="208" customFormat="1" ht="16.5" thickBot="1">
      <c r="A52" s="265" t="s">
        <v>1560</v>
      </c>
      <c r="B52" s="266"/>
      <c r="C52" s="267">
        <f ca="1">C31+C51</f>
        <v>210423897</v>
      </c>
      <c r="D52" s="266"/>
      <c r="E52" s="266"/>
      <c r="F52" s="266"/>
      <c r="G52" s="268"/>
    </row>
    <row r="55" spans="1:7" ht="15">
      <c r="B55" s="270" t="s">
        <v>1561</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45" sqref="N45"/>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8</v>
      </c>
    </row>
    <row r="2" spans="1:33" ht="18" customHeight="1">
      <c r="A2" s="201" t="s">
        <v>1461</v>
      </c>
      <c r="B2" s="204">
        <f ca="1">C32</f>
        <v>15347</v>
      </c>
      <c r="C2" s="276" t="s">
        <v>1594</v>
      </c>
      <c r="D2" s="276"/>
      <c r="E2" s="2804"/>
      <c r="F2" s="2804"/>
      <c r="G2" s="2804"/>
      <c r="H2" s="2804"/>
      <c r="I2" s="2804"/>
      <c r="J2" s="2804"/>
      <c r="K2" s="2804"/>
    </row>
    <row r="3" spans="1:33" ht="18" customHeight="1" thickBot="1">
      <c r="A3" s="203" t="s">
        <v>1463</v>
      </c>
      <c r="B3" s="204">
        <f ca="1">ROUND(B2*10000/IF(C1="",'数据-汇总表'!E3,INDIRECT("'数据-取费表'!K"&amp;$K$1)),0)</f>
        <v>2534</v>
      </c>
      <c r="C3" s="276" t="s">
        <v>1595</v>
      </c>
      <c r="D3" s="276"/>
      <c r="E3" s="2804"/>
      <c r="F3" s="2804"/>
      <c r="G3" s="2804"/>
      <c r="H3" s="2804"/>
      <c r="I3" s="2804"/>
      <c r="J3" s="2804"/>
      <c r="K3" s="2804"/>
    </row>
    <row r="4" spans="1:33" s="785" customFormat="1" ht="16.5" customHeight="1">
      <c r="A4" s="782" t="s">
        <v>1596</v>
      </c>
      <c r="B4" s="783"/>
      <c r="C4" s="824">
        <f ca="1">SUM(C8:K8)</f>
        <v>16891</v>
      </c>
      <c r="D4" s="783"/>
      <c r="E4" s="783"/>
      <c r="F4" s="783"/>
      <c r="G4" s="783"/>
      <c r="H4" s="783"/>
      <c r="I4" s="783"/>
      <c r="J4" s="783"/>
      <c r="K4" s="784"/>
    </row>
    <row r="5" spans="1:33" s="789" customFormat="1" ht="15">
      <c r="A5" s="786" t="s">
        <v>1597</v>
      </c>
      <c r="B5" s="787" t="s">
        <v>1598</v>
      </c>
      <c r="C5" s="1860" t="s">
        <v>673</v>
      </c>
      <c r="D5" s="1860" t="s">
        <v>3430</v>
      </c>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'收益法-商业'!B3</f>
        <v>10837</v>
      </c>
      <c r="D6" s="791">
        <f ca="1">'收益法-车库'!B3</f>
        <v>75</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15311.71</v>
      </c>
      <c r="D7" s="277">
        <f>SUMIF('数据-汇总表'!$C19:$C33,假设开发法!D5,'数据-汇总表'!$E19:$E33)</f>
        <v>39883.730000000003</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f ca="1">'收益法-商业'!B2</f>
        <v>16593</v>
      </c>
      <c r="D8" s="825">
        <f ca="1">'收益法-车库'!B2</f>
        <v>298</v>
      </c>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136</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1612</v>
      </c>
      <c r="C12" s="21">
        <f ca="1">ROUND(C11*F12,0)</f>
        <v>4</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12</v>
      </c>
      <c r="D14" s="846">
        <f ca="1">IF(C1="",'数据-汇总表'!E3,INDIRECT("'数据-取费表'!K"&amp;$K$1)+INDIRECT("'数据-取费表'!S"&amp;$K$1))</f>
        <v>60555.78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2</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154</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60555.78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t="s">
        <v>3780</v>
      </c>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303</v>
      </c>
      <c r="D20" s="846">
        <f ca="1">IF(C1="",'数据-汇总表'!E6,IF(INDIRECT("'数据-取费表'!c"&amp;$K$1)="住宅",INDIRECT("'数据-取费表'!s"&amp;$K$1),INDIRECT("'数据-取费表'!k"&amp;$K$1)+INDIRECT("'数据-取费表'!s"&amp;$K$1)))</f>
        <v>60555.78</v>
      </c>
      <c r="E20" s="21">
        <f>'数据-取费表'!B28</f>
        <v>50</v>
      </c>
      <c r="F20" s="804"/>
      <c r="G20" s="12"/>
      <c r="H20" s="809"/>
      <c r="I20" s="809"/>
      <c r="J20" s="809"/>
      <c r="K20" s="810"/>
    </row>
    <row r="21" spans="1:33" s="803" customFormat="1" ht="13.5" customHeight="1">
      <c r="A21" s="790" t="s">
        <v>357</v>
      </c>
      <c r="B21" s="813" t="s">
        <v>1627</v>
      </c>
      <c r="C21" s="814">
        <f ca="1">C16+C17+C18</f>
        <v>154</v>
      </c>
      <c r="D21" s="815"/>
      <c r="E21" s="281"/>
      <c r="F21" s="281"/>
      <c r="G21" s="131" t="s">
        <v>1628</v>
      </c>
      <c r="H21" s="807"/>
      <c r="I21" s="807"/>
      <c r="J21" s="807"/>
      <c r="K21" s="808"/>
    </row>
    <row r="22" spans="1:33" s="803" customFormat="1" ht="13.5" customHeight="1">
      <c r="A22" s="790" t="s">
        <v>1600</v>
      </c>
      <c r="B22" s="813" t="s">
        <v>1629</v>
      </c>
      <c r="C22" s="814">
        <f ca="1">ROUND(C21*F22,0)</f>
        <v>3</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3</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8.0000000000000004E-4</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8.0000000000000004E-4</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13</v>
      </c>
      <c r="D28" s="280">
        <f ca="1">C29</f>
        <v>8.0000000000000004E-4</v>
      </c>
      <c r="E28" s="282" t="s">
        <v>12</v>
      </c>
      <c r="F28" s="288">
        <f ca="1">IF(C1="",'数据-取费表'!Q16,INDIRECT("'数据-取费表'!q"&amp;$K$1))</f>
        <v>0.08</v>
      </c>
      <c r="G28" s="817"/>
      <c r="H28" s="818"/>
      <c r="I28" s="818"/>
      <c r="J28" s="818"/>
      <c r="K28" s="819"/>
    </row>
    <row r="29" spans="1:33" s="291" customFormat="1" ht="13.5" customHeight="1">
      <c r="A29" s="800" t="s">
        <v>358</v>
      </c>
      <c r="B29" s="822" t="s">
        <v>1642</v>
      </c>
      <c r="C29" s="284">
        <f ca="1">ROUND((1+C24)*F28*'数据-取费表'!B24/'数据-取费表'!B20,4)</f>
        <v>8.0000000000000004E-4</v>
      </c>
      <c r="D29" s="284"/>
      <c r="E29" s="285"/>
      <c r="F29" s="290"/>
      <c r="G29" s="131" t="s">
        <v>1643</v>
      </c>
      <c r="H29" s="807"/>
      <c r="I29" s="807"/>
      <c r="J29" s="807"/>
      <c r="K29" s="808"/>
    </row>
    <row r="30" spans="1:33" s="291" customFormat="1" ht="13.5" customHeight="1">
      <c r="A30" s="800" t="s">
        <v>359</v>
      </c>
      <c r="B30" s="822" t="s">
        <v>1644</v>
      </c>
      <c r="C30" s="292">
        <f ca="1">ROUND((C21+C22+C23)*F28,0)</f>
        <v>13</v>
      </c>
      <c r="D30" s="284"/>
      <c r="E30" s="285"/>
      <c r="F30" s="290"/>
      <c r="G30" s="131"/>
      <c r="H30" s="807"/>
      <c r="I30" s="807"/>
      <c r="J30" s="807"/>
      <c r="K30" s="808"/>
    </row>
    <row r="31" spans="1:33" s="803" customFormat="1" ht="13.5" customHeight="1" thickBot="1">
      <c r="A31" s="1866" t="s">
        <v>1645</v>
      </c>
      <c r="B31" s="833" t="s">
        <v>1646</v>
      </c>
      <c r="C31" s="834">
        <f ca="1">ROUND(C4*F31/(1+'数据-取费表'!C42),0)</f>
        <v>901</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15347</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0: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3430</v>
      </c>
      <c r="D1" s="1362" t="s">
        <v>43</v>
      </c>
      <c r="E1" s="1363" t="s">
        <v>678</v>
      </c>
      <c r="F1" s="1062">
        <f ca="1">J53</f>
        <v>35.25</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298</v>
      </c>
      <c r="C2" s="1387" t="s">
        <v>805</v>
      </c>
      <c r="D2" s="1387"/>
      <c r="E2" s="1388"/>
      <c r="F2" s="1389"/>
      <c r="G2" s="2704"/>
      <c r="H2" s="2693"/>
      <c r="I2" s="2693"/>
      <c r="J2" s="2693"/>
      <c r="K2" s="2694"/>
      <c r="L2" s="2693"/>
      <c r="M2" s="2693"/>
    </row>
    <row r="3" spans="1:37" ht="18" customHeight="1" thickBot="1">
      <c r="A3" s="1390" t="s">
        <v>806</v>
      </c>
      <c r="B3" s="1391">
        <f ca="1">IF(ISERROR(B2*10000/F43),0,ROUND(B2*10000/F43,0))</f>
        <v>75</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262</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262</v>
      </c>
      <c r="D6" s="155" t="s">
        <v>2107</v>
      </c>
      <c r="E6" s="302" t="s">
        <v>696</v>
      </c>
      <c r="F6" s="303">
        <f ca="1">INDIRECT("'数据-取费表'!u"&amp;$G$1)</f>
        <v>0.2</v>
      </c>
      <c r="G6" s="1384"/>
      <c r="H6" s="1069" t="s">
        <v>398</v>
      </c>
      <c r="I6" s="3672" t="s">
        <v>694</v>
      </c>
      <c r="J6" s="301">
        <f ca="1">ROUND(M6*M8*M7*(1-M9)/10000,0)</f>
        <v>0</v>
      </c>
      <c r="K6" s="155" t="s">
        <v>2106</v>
      </c>
      <c r="L6" s="302" t="s">
        <v>696</v>
      </c>
      <c r="M6" s="303">
        <f ca="1">INDIRECT("'数据-取费表'!z"&amp;$G$1)</f>
        <v>0</v>
      </c>
    </row>
    <row r="7" spans="1:37" ht="18" customHeight="1">
      <c r="A7" s="1073"/>
      <c r="B7" s="3673"/>
      <c r="C7" s="1075"/>
      <c r="D7" s="307"/>
      <c r="E7" s="3456" t="s">
        <v>697</v>
      </c>
      <c r="F7" s="303">
        <f ca="1">IF(INDIRECT("'数据-取费表'!ah"&amp;$G$1)="",INDIRECT("'数据-取费表'!k"&amp;$G$1),INDIRECT("'数据-取费表'!ah"&amp;$G$1))</f>
        <v>39883.730000000003</v>
      </c>
      <c r="G7" s="1384"/>
      <c r="H7" s="304"/>
      <c r="I7" s="3673"/>
      <c r="J7" s="306"/>
      <c r="K7" s="307"/>
      <c r="L7" s="302" t="s">
        <v>697</v>
      </c>
      <c r="M7" s="303">
        <f ca="1">F7</f>
        <v>39883.730000000003</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3434</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14813</v>
      </c>
      <c r="D13" s="3448" t="s">
        <v>705</v>
      </c>
      <c r="E13" s="3448"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10939</v>
      </c>
      <c r="D14" s="3452" t="s">
        <v>708</v>
      </c>
      <c r="E14" s="3450"/>
      <c r="F14" s="319"/>
      <c r="G14" s="1384"/>
      <c r="H14" s="982" t="s">
        <v>398</v>
      </c>
      <c r="I14" s="302" t="s">
        <v>709</v>
      </c>
      <c r="J14" s="21">
        <f ca="1">C29</f>
        <v>14813</v>
      </c>
      <c r="K14" s="3455"/>
      <c r="L14" s="807"/>
      <c r="M14" s="808"/>
    </row>
    <row r="15" spans="1:37" s="1397" customFormat="1" ht="18" customHeight="1" thickBot="1">
      <c r="A15" s="982" t="s">
        <v>399</v>
      </c>
      <c r="B15" s="302" t="s">
        <v>710</v>
      </c>
      <c r="C15" s="21">
        <f ca="1">ROUND(C14*F15,0)</f>
        <v>328</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187</v>
      </c>
      <c r="K16" s="1087" t="s">
        <v>715</v>
      </c>
      <c r="L16" s="3453"/>
      <c r="M16" s="1072"/>
    </row>
    <row r="17" spans="1:37" s="1397" customFormat="1" ht="18" customHeight="1">
      <c r="A17" s="982" t="s">
        <v>681</v>
      </c>
      <c r="B17" s="302" t="s">
        <v>716</v>
      </c>
      <c r="C17" s="21">
        <f ca="1">ROUND(F17*(F43+INDIRECT("'数据-取费表'!S"&amp;$G$1))/10000,0)</f>
        <v>875</v>
      </c>
      <c r="D17" s="302" t="s">
        <v>717</v>
      </c>
      <c r="E17" s="302" t="s">
        <v>718</v>
      </c>
      <c r="F17" s="23">
        <f>'数据-取费表'!B35</f>
        <v>200</v>
      </c>
      <c r="G17" s="1396"/>
      <c r="H17" s="982" t="s">
        <v>398</v>
      </c>
      <c r="I17" s="302" t="s">
        <v>719</v>
      </c>
      <c r="J17" s="2316">
        <f ca="1">ROUND(IF(AND(项目基本情况!B11="自然人",项目基本情况!B10="北京市"),J6*M17/(1+'数据-取费表'!C42),J18+J19+J20),2)</f>
        <v>39.11</v>
      </c>
      <c r="K17" s="3452" t="s">
        <v>720</v>
      </c>
      <c r="L17" s="345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v>
      </c>
      <c r="D18" s="302" t="s">
        <v>711</v>
      </c>
      <c r="E18" s="302" t="s">
        <v>712</v>
      </c>
      <c r="F18" s="322">
        <f>'数据-取费表'!B36</f>
        <v>1.4999999999999999E-2</v>
      </c>
      <c r="G18" s="1396"/>
      <c r="H18" s="982" t="s">
        <v>397</v>
      </c>
      <c r="I18" s="302" t="s">
        <v>723</v>
      </c>
      <c r="J18" s="21">
        <f ca="1">ROUND(J6*M18/(1+'数据-取费表'!C42),2)</f>
        <v>0</v>
      </c>
      <c r="K18" s="3451"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12306</v>
      </c>
      <c r="D19" s="131" t="s">
        <v>726</v>
      </c>
      <c r="E19" s="3458"/>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246</v>
      </c>
      <c r="D20" s="2427" t="s">
        <v>729</v>
      </c>
      <c r="E20" s="302" t="s">
        <v>712</v>
      </c>
      <c r="F20" s="322">
        <f>'数据-取费表'!B37</f>
        <v>0.02</v>
      </c>
      <c r="G20" s="1396"/>
      <c r="H20" s="982" t="s">
        <v>680</v>
      </c>
      <c r="I20" s="155" t="s">
        <v>730</v>
      </c>
      <c r="J20" s="22">
        <f ca="1">ROUND(M20*M21/10000,2)</f>
        <v>39.11</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21729.02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8"/>
      <c r="F22" s="23"/>
      <c r="G22" s="1384"/>
      <c r="H22" s="982" t="s">
        <v>402</v>
      </c>
      <c r="I22" s="302" t="s">
        <v>738</v>
      </c>
      <c r="J22" s="21">
        <f ca="1">ROUND(J14*M22,2)</f>
        <v>148.13</v>
      </c>
      <c r="K22" s="3451"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521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1"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8"/>
      <c r="F25" s="23"/>
      <c r="G25" s="1384"/>
      <c r="H25" s="1079" t="s">
        <v>394</v>
      </c>
      <c r="I25" s="1094" t="s">
        <v>752</v>
      </c>
      <c r="J25" s="310">
        <f ca="1">J5-J16</f>
        <v>-187</v>
      </c>
      <c r="K25" s="1095" t="s">
        <v>753</v>
      </c>
      <c r="L25" s="1096"/>
      <c r="M25" s="1097"/>
    </row>
    <row r="26" spans="1:37">
      <c r="A26" s="982" t="s">
        <v>397</v>
      </c>
      <c r="B26" s="302" t="s">
        <v>754</v>
      </c>
      <c r="C26" s="21">
        <f ca="1">ROUND((C19+C20)*F26,0)</f>
        <v>628</v>
      </c>
      <c r="D26" s="2427"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14813</v>
      </c>
      <c r="D29" s="1092"/>
      <c r="E29" s="1090"/>
      <c r="F29" s="1093"/>
      <c r="G29" s="1396"/>
      <c r="H29" s="334" t="s">
        <v>396</v>
      </c>
      <c r="I29" s="335" t="s">
        <v>768</v>
      </c>
      <c r="J29" s="336">
        <f ca="1">ROUND(J26/(1+F40)^F41,0)</f>
        <v>0</v>
      </c>
      <c r="K29" s="337" t="s">
        <v>769</v>
      </c>
      <c r="L29" s="338"/>
      <c r="M29" s="339">
        <f ca="1">INDIRECT("'数据-取费表'!k"&amp;$G$1)</f>
        <v>39883.730000000003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249</v>
      </c>
      <c r="D30" s="1087" t="s">
        <v>715</v>
      </c>
      <c r="E30" s="3453"/>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83.02</v>
      </c>
      <c r="D31" s="3452" t="s">
        <v>720</v>
      </c>
      <c r="E31" s="3451" t="s">
        <v>770</v>
      </c>
      <c r="F31" s="2315"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13.97</v>
      </c>
      <c r="D32" s="3451"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29.94</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39.11</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21729.02</v>
      </c>
      <c r="G35" s="1384"/>
      <c r="H35" s="2695"/>
      <c r="I35" s="1398"/>
      <c r="J35" s="1399"/>
      <c r="K35" s="2699"/>
      <c r="L35" s="2698"/>
      <c r="M35" s="2698"/>
    </row>
    <row r="36" spans="1:18" ht="18" customHeight="1">
      <c r="A36" s="1102" t="s">
        <v>402</v>
      </c>
      <c r="B36" s="302" t="s">
        <v>738</v>
      </c>
      <c r="C36" s="21">
        <f ca="1">ROUND(C29*F36,2)</f>
        <v>148.13</v>
      </c>
      <c r="D36" s="3451"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14.81</v>
      </c>
      <c r="D37" s="3451" t="s">
        <v>743</v>
      </c>
      <c r="E37" s="302" t="s">
        <v>712</v>
      </c>
      <c r="F37" s="330">
        <f ca="1">INDIRECT("'数据-取费表'!Al"&amp;$G$1)</f>
        <v>1E-3</v>
      </c>
      <c r="G37" s="1384"/>
      <c r="H37" s="2698"/>
      <c r="I37" s="1398"/>
      <c r="J37" s="1399"/>
      <c r="K37" s="2543"/>
      <c r="L37" s="2698"/>
      <c r="M37" s="2698"/>
    </row>
    <row r="38" spans="1:18" ht="18" customHeight="1" thickBot="1">
      <c r="A38" s="1089" t="s">
        <v>683</v>
      </c>
      <c r="B38" s="1090" t="s">
        <v>728</v>
      </c>
      <c r="C38" s="1091">
        <f ca="1">ROUND(C5*F38,2)</f>
        <v>2.62</v>
      </c>
      <c r="D38" s="1092" t="s">
        <v>748</v>
      </c>
      <c r="E38" s="1090" t="s">
        <v>712</v>
      </c>
      <c r="F38" s="1086">
        <f ca="1">INDIRECT("'数据-取费表'!Am"&amp;$G$1)</f>
        <v>0.01</v>
      </c>
      <c r="G38" s="1384"/>
      <c r="H38" s="2698"/>
      <c r="I38" s="1398"/>
      <c r="J38" s="1399"/>
      <c r="K38" s="2702"/>
      <c r="L38" s="2698"/>
      <c r="M38" s="2698"/>
    </row>
    <row r="39" spans="1:18" ht="24.6" customHeight="1" thickTop="1">
      <c r="A39" s="1079" t="s">
        <v>394</v>
      </c>
      <c r="B39" s="1094" t="s">
        <v>752</v>
      </c>
      <c r="C39" s="310">
        <f ca="1">C5-C30</f>
        <v>13</v>
      </c>
      <c r="D39" s="1095" t="s">
        <v>753</v>
      </c>
      <c r="E39" s="1096"/>
      <c r="F39" s="1097"/>
      <c r="G39" s="1384"/>
      <c r="H39" s="2698"/>
      <c r="I39" s="1398"/>
      <c r="J39" s="1399"/>
      <c r="K39" s="2702"/>
      <c r="L39" s="2698"/>
      <c r="M39" s="2698"/>
    </row>
    <row r="40" spans="1:18" ht="18" customHeight="1">
      <c r="A40" s="299" t="s">
        <v>395</v>
      </c>
      <c r="B40" s="300" t="s">
        <v>774</v>
      </c>
      <c r="C40" s="301">
        <f ca="1">ROUND(C39*(1-((1+F42)/(1+F40))^F41)/(F40-F42),0)</f>
        <v>298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35.25</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75</v>
      </c>
      <c r="D43" s="337" t="s">
        <v>777</v>
      </c>
      <c r="E43" s="338" t="s">
        <v>778</v>
      </c>
      <c r="F43" s="339">
        <f ca="1">INDIRECT("'数据-取费表'!k"&amp;$G$1)</f>
        <v>39883.730000000003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-3614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298</v>
      </c>
      <c r="R47" s="1420" t="s">
        <v>818</v>
      </c>
    </row>
    <row r="48" spans="1:18" s="1384" customFormat="1" ht="28.5" thickBot="1">
      <c r="A48" s="1110" t="s">
        <v>438</v>
      </c>
      <c r="B48" s="300" t="s">
        <v>692</v>
      </c>
      <c r="C48" s="3457">
        <f ca="1">C49+C53+C55</f>
        <v>0</v>
      </c>
      <c r="D48" s="1112"/>
      <c r="E48" s="1113"/>
      <c r="F48" s="962"/>
      <c r="G48" s="722"/>
      <c r="H48" s="723"/>
      <c r="I48" s="1421" t="s">
        <v>819</v>
      </c>
      <c r="J48" s="1422" t="s">
        <v>3433</v>
      </c>
      <c r="K48" s="1423" t="s">
        <v>820</v>
      </c>
      <c r="L48" s="1424">
        <f ca="1">INDIRECT("'数据-取费表'!f"&amp;$G$1)</f>
        <v>35.25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v>2022</v>
      </c>
      <c r="K49" s="1423" t="s">
        <v>824</v>
      </c>
      <c r="L49" s="1427"/>
      <c r="O49" s="1428" t="s">
        <v>405</v>
      </c>
      <c r="P49" s="1419" t="s">
        <v>825</v>
      </c>
      <c r="Q49" s="1420">
        <f ca="1">C29</f>
        <v>14813</v>
      </c>
      <c r="R49" s="1420" t="s">
        <v>818</v>
      </c>
    </row>
    <row r="50" spans="1:18" s="1384" customFormat="1" ht="13.5" thickBot="1">
      <c r="A50" s="976"/>
      <c r="B50" s="979"/>
      <c r="C50" s="1118"/>
      <c r="D50" s="953"/>
      <c r="E50" s="1056" t="s">
        <v>697</v>
      </c>
      <c r="F50" s="1057">
        <f ca="1">F7</f>
        <v>39883.730000000003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-21058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35.25</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35.25</v>
      </c>
      <c r="K53" s="3675" t="s">
        <v>837</v>
      </c>
      <c r="L53" s="3676"/>
      <c r="O53" s="1418" t="s">
        <v>409</v>
      </c>
      <c r="P53" s="1419" t="s">
        <v>838</v>
      </c>
      <c r="Q53" s="1420">
        <f ca="1">Q47+Q48</f>
        <v>298</v>
      </c>
      <c r="R53" s="1420" t="s">
        <v>410</v>
      </c>
    </row>
    <row r="54" spans="1:18" s="1384" customFormat="1" ht="13.5" thickBot="1">
      <c r="A54" s="1153"/>
      <c r="B54" s="1367" t="s">
        <v>679</v>
      </c>
      <c r="C54" s="959"/>
      <c r="D54" s="1366"/>
      <c r="E54" s="345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14813</v>
      </c>
      <c r="D56" s="1447"/>
      <c r="E56" s="1448"/>
      <c r="F56" s="1440"/>
      <c r="I56" s="1449" t="s">
        <v>842</v>
      </c>
      <c r="J56" s="1450" t="s">
        <v>3410</v>
      </c>
      <c r="K56" s="1421" t="s">
        <v>843</v>
      </c>
      <c r="L56" s="1424" t="str">
        <f ca="1">IF(L48&lt;J51,"——",L48-J53)</f>
        <v>——</v>
      </c>
      <c r="O56" s="1418" t="s">
        <v>403</v>
      </c>
      <c r="P56" s="1419" t="s">
        <v>817</v>
      </c>
      <c r="Q56" s="1420">
        <f ca="1">C40+J29</f>
        <v>298</v>
      </c>
      <c r="R56" s="1420" t="s">
        <v>818</v>
      </c>
    </row>
    <row r="57" spans="1:18" s="1384" customFormat="1" ht="24.75" thickBot="1">
      <c r="A57" s="1451"/>
      <c r="B57" s="950" t="s">
        <v>767</v>
      </c>
      <c r="C57" s="238">
        <f ca="1">C29</f>
        <v>14813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39</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39.11</v>
      </c>
      <c r="D62" s="965" t="s">
        <v>786</v>
      </c>
      <c r="E62" s="950" t="s">
        <v>732</v>
      </c>
      <c r="F62" s="325">
        <f t="shared" si="0"/>
        <v>18</v>
      </c>
      <c r="I62" s="1462" t="s">
        <v>858</v>
      </c>
      <c r="J62" s="1463" t="s">
        <v>859</v>
      </c>
      <c r="K62" s="1463" t="s">
        <v>860</v>
      </c>
      <c r="L62" s="1463" t="s">
        <v>861</v>
      </c>
      <c r="M62" s="1464" t="s">
        <v>862</v>
      </c>
      <c r="O62" s="1418" t="s">
        <v>409</v>
      </c>
      <c r="P62" s="1419" t="s">
        <v>863</v>
      </c>
      <c r="Q62" s="1420">
        <f ca="1">Q56+Q57</f>
        <v>298</v>
      </c>
      <c r="R62" s="1420" t="s">
        <v>410</v>
      </c>
    </row>
    <row r="63" spans="1:18" s="1384" customFormat="1" ht="13.5" thickBot="1">
      <c r="A63" s="326"/>
      <c r="B63" s="956"/>
      <c r="C63" s="26"/>
      <c r="D63" s="966"/>
      <c r="E63" s="950" t="s">
        <v>736</v>
      </c>
      <c r="F63" s="303">
        <f t="shared" ca="1" si="0"/>
        <v>21729.02</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148.13</v>
      </c>
      <c r="D64" s="964" t="s">
        <v>771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14.81</v>
      </c>
      <c r="D65" s="964" t="s">
        <v>743</v>
      </c>
      <c r="E65" s="950" t="s">
        <v>712</v>
      </c>
      <c r="F65" s="330">
        <f t="shared" ca="1" si="0"/>
        <v>1E-3</v>
      </c>
      <c r="I65" s="1462" t="s">
        <v>867</v>
      </c>
      <c r="J65" s="1463">
        <v>40</v>
      </c>
      <c r="K65" s="1463">
        <v>30</v>
      </c>
      <c r="L65" s="1463">
        <v>50</v>
      </c>
      <c r="M65" s="1465">
        <v>0.02</v>
      </c>
      <c r="O65" s="1418" t="s">
        <v>403</v>
      </c>
      <c r="P65" s="1419" t="s">
        <v>868</v>
      </c>
      <c r="Q65" s="1420">
        <f ca="1">C40+J29</f>
        <v>298</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-202</v>
      </c>
      <c r="D67" s="963" t="s">
        <v>753</v>
      </c>
      <c r="E67" s="968"/>
      <c r="F67" s="969"/>
      <c r="O67" s="1428" t="s">
        <v>405</v>
      </c>
      <c r="P67" s="1419" t="s">
        <v>850</v>
      </c>
      <c r="Q67" s="1466">
        <f ca="1">L51</f>
        <v>-21058</v>
      </c>
      <c r="R67" s="1420" t="s">
        <v>870</v>
      </c>
    </row>
    <row r="68" spans="1:18" s="1384" customFormat="1" ht="16.5" thickBot="1">
      <c r="A68" s="947" t="s">
        <v>395</v>
      </c>
      <c r="B68" s="948" t="s">
        <v>774</v>
      </c>
      <c r="C68" s="301">
        <f ca="1">ROUND(C67*(1-((1+F70)/(1+F68))^F69)/(F68-F70),0)</f>
        <v>-3316</v>
      </c>
      <c r="D68" s="965" t="s">
        <v>758</v>
      </c>
      <c r="E68" s="950" t="s">
        <v>759</v>
      </c>
      <c r="F68" s="312">
        <f ca="1">F40</f>
        <v>0.05</v>
      </c>
      <c r="O68" s="1428" t="s">
        <v>406</v>
      </c>
      <c r="P68" s="1467" t="s">
        <v>871</v>
      </c>
      <c r="Q68" s="1420">
        <f ca="1">ROUND(Q69-Q70*Q71,0)</f>
        <v>-1024</v>
      </c>
      <c r="R68" s="1420" t="s">
        <v>414</v>
      </c>
    </row>
    <row r="69" spans="1:18" s="1384" customFormat="1" ht="13.5" thickBot="1">
      <c r="A69" s="951"/>
      <c r="B69" s="952"/>
      <c r="C69" s="306"/>
      <c r="D69" s="970" t="s">
        <v>762</v>
      </c>
      <c r="E69" s="950" t="s">
        <v>763</v>
      </c>
      <c r="F69" s="333">
        <f ca="1">F41</f>
        <v>35.25</v>
      </c>
      <c r="O69" s="1428" t="s">
        <v>411</v>
      </c>
      <c r="P69" s="1467" t="s">
        <v>872</v>
      </c>
      <c r="Q69" s="1420">
        <f ca="1">C39</f>
        <v>13</v>
      </c>
      <c r="R69" s="1420" t="s">
        <v>818</v>
      </c>
    </row>
    <row r="70" spans="1:18" s="1384" customFormat="1" ht="13.5" thickBot="1">
      <c r="A70" s="954"/>
      <c r="B70" s="955"/>
      <c r="C70" s="310"/>
      <c r="D70" s="966"/>
      <c r="E70" s="950" t="s">
        <v>766</v>
      </c>
      <c r="F70" s="1054"/>
      <c r="O70" s="1428" t="s">
        <v>412</v>
      </c>
      <c r="P70" s="1467" t="s">
        <v>873</v>
      </c>
      <c r="Q70" s="1420">
        <f ca="1">C13</f>
        <v>14813</v>
      </c>
      <c r="R70" s="1420" t="s">
        <v>818</v>
      </c>
    </row>
    <row r="71" spans="1:18" s="1384" customFormat="1" ht="13.5" thickBot="1">
      <c r="A71" s="971" t="s">
        <v>396</v>
      </c>
      <c r="B71" s="972" t="s">
        <v>776</v>
      </c>
      <c r="C71" s="336">
        <f ca="1">ROUND(C68*10000/F71,0)</f>
        <v>-831</v>
      </c>
      <c r="D71" s="973" t="s">
        <v>777</v>
      </c>
      <c r="E71" s="974" t="s">
        <v>778</v>
      </c>
      <c r="F71" s="339">
        <f ca="1">F43</f>
        <v>39883.730000000003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1037</v>
      </c>
      <c r="D75" s="1384"/>
      <c r="E75" s="1384"/>
      <c r="F75" s="1384"/>
      <c r="K75" s="1402"/>
      <c r="L75" s="1384"/>
      <c r="O75" s="1418" t="s">
        <v>409</v>
      </c>
      <c r="P75" s="1419" t="s">
        <v>838</v>
      </c>
      <c r="Q75" s="1420">
        <f ca="1">Q65+Q66</f>
        <v>298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-78.769000000000005</v>
      </c>
    </row>
    <row r="80" spans="1:18">
      <c r="B80" s="340" t="s">
        <v>800</v>
      </c>
      <c r="C80" s="274">
        <f ca="1">ROUND(C75/C39,3)</f>
        <v>79.769000000000005</v>
      </c>
    </row>
    <row r="81" spans="2:3">
      <c r="B81" s="270" t="s">
        <v>801</v>
      </c>
      <c r="C81" s="238"/>
    </row>
    <row r="82" spans="2:3">
      <c r="B82" s="273" t="s">
        <v>802</v>
      </c>
      <c r="C82" s="275">
        <f ca="1">1-C83</f>
        <v>-48.707999999999998</v>
      </c>
    </row>
    <row r="83" spans="2:3">
      <c r="B83" s="273" t="s">
        <v>803</v>
      </c>
      <c r="C83" s="274">
        <f ca="1">ROUND(C13/C40,3)</f>
        <v>49.707999999999998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35.25</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16593</v>
      </c>
      <c r="C2" s="1387" t="s">
        <v>805</v>
      </c>
      <c r="D2" s="1387"/>
      <c r="E2" s="1388"/>
      <c r="F2" s="1389"/>
      <c r="G2" s="2704"/>
      <c r="H2" s="2693"/>
      <c r="I2" s="2693"/>
      <c r="J2" s="2693"/>
      <c r="K2" s="2694"/>
      <c r="L2" s="2693"/>
      <c r="M2" s="2693"/>
    </row>
    <row r="3" spans="1:37" ht="18" customHeight="1" thickBot="1">
      <c r="A3" s="1390" t="s">
        <v>806</v>
      </c>
      <c r="B3" s="1391">
        <f ca="1">IF(ISERROR(B2*10000/F43),0,ROUND(B2*10000/F43,0))</f>
        <v>10837</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957</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956</v>
      </c>
      <c r="D6" s="155" t="s">
        <v>2107</v>
      </c>
      <c r="E6" s="302" t="s">
        <v>696</v>
      </c>
      <c r="F6" s="303">
        <f ca="1">INDIRECT("'数据-取费表'!u"&amp;$G$1)</f>
        <v>1.9</v>
      </c>
      <c r="G6" s="1384"/>
      <c r="H6" s="1069" t="s">
        <v>398</v>
      </c>
      <c r="I6" s="3672" t="s">
        <v>694</v>
      </c>
      <c r="J6" s="301">
        <f ca="1">ROUND(M6*M8*M7*(1-M9)/10000,0)</f>
        <v>0</v>
      </c>
      <c r="K6" s="155" t="s">
        <v>2106</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15311.71</v>
      </c>
      <c r="G7" s="1384"/>
      <c r="H7" s="304"/>
      <c r="I7" s="3673"/>
      <c r="J7" s="306"/>
      <c r="K7" s="307"/>
      <c r="L7" s="302" t="s">
        <v>697</v>
      </c>
      <c r="M7" s="303">
        <f ca="1">F7</f>
        <v>15311.71</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2115</v>
      </c>
      <c r="E10" s="313" t="s">
        <v>701</v>
      </c>
      <c r="F10" s="1116" t="s">
        <v>3431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4116</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2669</v>
      </c>
      <c r="D14" s="1345" t="s">
        <v>708</v>
      </c>
      <c r="E14" s="1342"/>
      <c r="F14" s="319"/>
      <c r="G14" s="1384"/>
      <c r="H14" s="982" t="s">
        <v>398</v>
      </c>
      <c r="I14" s="302" t="s">
        <v>709</v>
      </c>
      <c r="J14" s="21">
        <f ca="1">C29</f>
        <v>4116</v>
      </c>
      <c r="K14" s="12"/>
      <c r="L14" s="807"/>
      <c r="M14" s="808"/>
    </row>
    <row r="15" spans="1:37" s="1397" customFormat="1" ht="18" customHeight="1" thickBot="1">
      <c r="A15" s="982" t="s">
        <v>399</v>
      </c>
      <c r="B15" s="302" t="s">
        <v>710</v>
      </c>
      <c r="C15" s="21">
        <f ca="1">ROUND(C14*F15,0)</f>
        <v>80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56</v>
      </c>
      <c r="K16" s="1087" t="s">
        <v>715</v>
      </c>
      <c r="L16" s="1088"/>
      <c r="M16" s="1072"/>
    </row>
    <row r="17" spans="1:37" s="1397" customFormat="1" ht="18" customHeight="1">
      <c r="A17" s="982" t="s">
        <v>681</v>
      </c>
      <c r="B17" s="302" t="s">
        <v>716</v>
      </c>
      <c r="C17" s="21">
        <f ca="1">ROUND(F17*(F43+INDIRECT("'数据-取费表'!S"&amp;$G$1))/10000,0)</f>
        <v>336</v>
      </c>
      <c r="D17" s="302" t="s">
        <v>717</v>
      </c>
      <c r="E17" s="302" t="s">
        <v>718</v>
      </c>
      <c r="F17" s="23">
        <f>'数据-取费表'!B35</f>
        <v>200</v>
      </c>
      <c r="G17" s="1396"/>
      <c r="H17" s="982" t="s">
        <v>398</v>
      </c>
      <c r="I17" s="302" t="s">
        <v>719</v>
      </c>
      <c r="J17" s="2316">
        <f ca="1">ROUND(IF(AND(项目基本情况!B11="自然人",项目基本情况!B10="北京市"),J6*M17/(1+'数据-取费表'!C42),J18+J19+J20),2)</f>
        <v>15.02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3125</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63</v>
      </c>
      <c r="D20" s="323" t="s">
        <v>729</v>
      </c>
      <c r="E20" s="302" t="s">
        <v>712</v>
      </c>
      <c r="F20" s="322">
        <f>'数据-取费表'!B37</f>
        <v>0.02</v>
      </c>
      <c r="G20" s="1396"/>
      <c r="H20" s="982" t="s">
        <v>680</v>
      </c>
      <c r="I20" s="155" t="s">
        <v>730</v>
      </c>
      <c r="J20" s="22">
        <f ca="1">ROUND(M20*M21/10000,2)</f>
        <v>15.02</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8341.9599999999991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41.16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-56</v>
      </c>
      <c r="K25" s="1095" t="s">
        <v>753</v>
      </c>
      <c r="L25" s="1096"/>
      <c r="M25" s="1097"/>
    </row>
    <row r="26" spans="1:37">
      <c r="A26" s="982" t="s">
        <v>397</v>
      </c>
      <c r="B26" s="302" t="s">
        <v>754</v>
      </c>
      <c r="C26" s="21">
        <f ca="1">ROUND((C19+C20)*F26,0)</f>
        <v>478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4116</v>
      </c>
      <c r="D29" s="1092"/>
      <c r="E29" s="1090"/>
      <c r="F29" s="1093"/>
      <c r="G29" s="1396"/>
      <c r="H29" s="334" t="s">
        <v>396</v>
      </c>
      <c r="I29" s="335" t="s">
        <v>768</v>
      </c>
      <c r="J29" s="336">
        <f ca="1">ROUND(J26/(1+F40)^F41,0)</f>
        <v>0</v>
      </c>
      <c r="K29" s="337" t="s">
        <v>769</v>
      </c>
      <c r="L29" s="338"/>
      <c r="M29" s="339">
        <f ca="1">INDIRECT("'数据-取费表'!k"&amp;$G$1)</f>
        <v>15311.71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175.27</v>
      </c>
      <c r="D31" s="1345" t="s">
        <v>720</v>
      </c>
      <c r="E31" s="1344" t="s">
        <v>770</v>
      </c>
      <c r="F31" s="2315"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50.99</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109.26</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15.02</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8341.9599999999991</v>
      </c>
      <c r="G35" s="1384"/>
      <c r="H35" s="2695"/>
      <c r="I35" s="1398"/>
      <c r="J35" s="1399"/>
      <c r="K35" s="2699"/>
      <c r="L35" s="2698"/>
      <c r="M35" s="2698"/>
    </row>
    <row r="36" spans="1:18" ht="18" customHeight="1">
      <c r="A36" s="1102" t="s">
        <v>402</v>
      </c>
      <c r="B36" s="302" t="s">
        <v>738</v>
      </c>
      <c r="C36" s="21">
        <f ca="1">ROUND(C29*F36,2)</f>
        <v>41.16</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4.12</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9.57</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727</v>
      </c>
      <c r="D39" s="1095" t="s">
        <v>773</v>
      </c>
      <c r="E39" s="1096"/>
      <c r="F39" s="1097"/>
      <c r="G39" s="1384"/>
      <c r="H39" s="2698"/>
      <c r="I39" s="1398"/>
      <c r="J39" s="1399"/>
      <c r="K39" s="2702"/>
      <c r="L39" s="2698"/>
      <c r="M39" s="2698"/>
    </row>
    <row r="40" spans="1:18" ht="18" customHeight="1">
      <c r="A40" s="299" t="s">
        <v>395</v>
      </c>
      <c r="B40" s="300" t="s">
        <v>774</v>
      </c>
      <c r="C40" s="301">
        <f ca="1">ROUND(C39*(1-((1+F42)/(1+F40))^F41)/(F40-F42),0)</f>
        <v>16593</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35.25</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ROUND(C40*10000/F43,0)</f>
        <v>10837</v>
      </c>
      <c r="D43" s="337" t="s">
        <v>777</v>
      </c>
      <c r="E43" s="338" t="s">
        <v>778</v>
      </c>
      <c r="F43" s="339">
        <f ca="1">INDIRECT("'数据-取费表'!k"&amp;$G$1)</f>
        <v>15311.71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-17519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3432</v>
      </c>
      <c r="K47" s="1416" t="s">
        <v>816</v>
      </c>
      <c r="L47" s="1417">
        <f ca="1">INDIRECT("'数据-取费表'!d"&amp;$G$1)</f>
        <v>40</v>
      </c>
      <c r="M47" s="1380" t="str">
        <f>IF(ISNUMBER(FIND("住宅",C1)),"住宅","非住宅")</f>
        <v>非住宅</v>
      </c>
      <c r="O47" s="1418" t="s">
        <v>403</v>
      </c>
      <c r="P47" s="1419" t="s">
        <v>817</v>
      </c>
      <c r="Q47" s="1420">
        <f ca="1">C40+J29</f>
        <v>16593</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35.25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2022</v>
      </c>
      <c r="K49" s="1423" t="s">
        <v>824</v>
      </c>
      <c r="L49" s="1427"/>
      <c r="O49" s="1428" t="s">
        <v>405</v>
      </c>
      <c r="P49" s="1419" t="s">
        <v>825</v>
      </c>
      <c r="Q49" s="1420">
        <f ca="1">C29</f>
        <v>4116</v>
      </c>
      <c r="R49" s="1420" t="s">
        <v>818</v>
      </c>
    </row>
    <row r="50" spans="1:18" s="1384" customFormat="1" ht="13.5" thickBot="1">
      <c r="A50" s="976"/>
      <c r="B50" s="979"/>
      <c r="C50" s="1118"/>
      <c r="D50" s="953"/>
      <c r="E50" s="1056" t="s">
        <v>697</v>
      </c>
      <c r="F50" s="1057">
        <f ca="1">F7</f>
        <v>15311.71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8284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35.25</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35.25</v>
      </c>
      <c r="K53" s="3675" t="s">
        <v>837</v>
      </c>
      <c r="L53" s="3676"/>
      <c r="O53" s="1418" t="s">
        <v>409</v>
      </c>
      <c r="P53" s="1419" t="s">
        <v>838</v>
      </c>
      <c r="Q53" s="1420">
        <f ca="1">Q47+Q48</f>
        <v>16593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4116</v>
      </c>
      <c r="D56" s="1447"/>
      <c r="E56" s="1448"/>
      <c r="F56" s="1440"/>
      <c r="I56" s="1449" t="s">
        <v>842</v>
      </c>
      <c r="J56" s="1450" t="s">
        <v>3410</v>
      </c>
      <c r="K56" s="1421" t="s">
        <v>843</v>
      </c>
      <c r="L56" s="1424" t="str">
        <f ca="1">IF(L48&lt;J51,"——",L48-J53)</f>
        <v>——</v>
      </c>
      <c r="O56" s="1418" t="s">
        <v>403</v>
      </c>
      <c r="P56" s="1419" t="s">
        <v>817</v>
      </c>
      <c r="Q56" s="1420">
        <f ca="1">C40+J29</f>
        <v>16593</v>
      </c>
      <c r="R56" s="1420" t="s">
        <v>818</v>
      </c>
    </row>
    <row r="57" spans="1:18" s="1384" customFormat="1" ht="24.75" thickBot="1">
      <c r="A57" s="1451"/>
      <c r="B57" s="950" t="s">
        <v>767</v>
      </c>
      <c r="C57" s="238">
        <f ca="1">C29</f>
        <v>4116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15</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15.02</v>
      </c>
      <c r="D62" s="965" t="s">
        <v>786</v>
      </c>
      <c r="E62" s="950" t="s">
        <v>787</v>
      </c>
      <c r="F62" s="325">
        <f t="shared" si="0"/>
        <v>18</v>
      </c>
      <c r="I62" s="1462" t="s">
        <v>858</v>
      </c>
      <c r="J62" s="1463" t="s">
        <v>859</v>
      </c>
      <c r="K62" s="1463" t="s">
        <v>860</v>
      </c>
      <c r="L62" s="1463" t="s">
        <v>861</v>
      </c>
      <c r="M62" s="1464" t="s">
        <v>862</v>
      </c>
      <c r="O62" s="1418" t="s">
        <v>409</v>
      </c>
      <c r="P62" s="1419" t="s">
        <v>863</v>
      </c>
      <c r="Q62" s="1420">
        <f ca="1">Q56+Q57</f>
        <v>16593</v>
      </c>
      <c r="R62" s="1420" t="s">
        <v>410</v>
      </c>
    </row>
    <row r="63" spans="1:18" s="1384" customFormat="1" ht="13.5" thickBot="1">
      <c r="A63" s="326"/>
      <c r="B63" s="956"/>
      <c r="C63" s="26"/>
      <c r="D63" s="966"/>
      <c r="E63" s="950" t="s">
        <v>788</v>
      </c>
      <c r="F63" s="303">
        <f t="shared" ca="1" si="0"/>
        <v>8341.9599999999991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41.16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4.12</v>
      </c>
      <c r="D65" s="964" t="s">
        <v>743</v>
      </c>
      <c r="E65" s="950" t="s">
        <v>744</v>
      </c>
      <c r="F65" s="330">
        <f t="shared" ca="1" si="0"/>
        <v>1E-3</v>
      </c>
      <c r="I65" s="1462" t="s">
        <v>867</v>
      </c>
      <c r="J65" s="1463">
        <v>40</v>
      </c>
      <c r="K65" s="1463">
        <v>30</v>
      </c>
      <c r="L65" s="1463">
        <v>50</v>
      </c>
      <c r="M65" s="1465">
        <v>0.02</v>
      </c>
      <c r="O65" s="1418" t="s">
        <v>403</v>
      </c>
      <c r="P65" s="1419" t="s">
        <v>868</v>
      </c>
      <c r="Q65" s="1420">
        <f ca="1">C40+J29</f>
        <v>16593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-60</v>
      </c>
      <c r="D67" s="963" t="s">
        <v>753</v>
      </c>
      <c r="E67" s="968"/>
      <c r="F67" s="969"/>
      <c r="O67" s="1428" t="s">
        <v>405</v>
      </c>
      <c r="P67" s="1419" t="s">
        <v>850</v>
      </c>
      <c r="Q67" s="1466">
        <f ca="1">L51</f>
        <v>8284</v>
      </c>
      <c r="R67" s="1420" t="s">
        <v>870</v>
      </c>
    </row>
    <row r="68" spans="1:18" s="1384" customFormat="1" ht="16.5" thickBot="1">
      <c r="A68" s="947" t="s">
        <v>395</v>
      </c>
      <c r="B68" s="948" t="s">
        <v>774</v>
      </c>
      <c r="C68" s="301">
        <f ca="1">ROUND(C67*(1-((1+F70)/(1+F68))^F69)/(F68-F70),0)</f>
        <v>-926</v>
      </c>
      <c r="D68" s="965" t="s">
        <v>758</v>
      </c>
      <c r="E68" s="950" t="s">
        <v>759</v>
      </c>
      <c r="F68" s="312">
        <f ca="1">F40</f>
        <v>5.5E-2</v>
      </c>
      <c r="O68" s="1428" t="s">
        <v>406</v>
      </c>
      <c r="P68" s="1467" t="s">
        <v>871</v>
      </c>
      <c r="Q68" s="1420">
        <f ca="1">ROUND(Q69-Q70*Q71,0)</f>
        <v>439</v>
      </c>
      <c r="R68" s="1420" t="s">
        <v>414</v>
      </c>
    </row>
    <row r="69" spans="1:18" s="1384" customFormat="1" ht="13.5" thickBot="1">
      <c r="A69" s="951"/>
      <c r="B69" s="952"/>
      <c r="C69" s="306"/>
      <c r="D69" s="970" t="s">
        <v>762</v>
      </c>
      <c r="E69" s="950" t="s">
        <v>763</v>
      </c>
      <c r="F69" s="333">
        <f ca="1">F41</f>
        <v>35.25</v>
      </c>
      <c r="O69" s="1428" t="s">
        <v>411</v>
      </c>
      <c r="P69" s="1467" t="s">
        <v>872</v>
      </c>
      <c r="Q69" s="1420">
        <f ca="1">C39</f>
        <v>727</v>
      </c>
      <c r="R69" s="1420" t="s">
        <v>818</v>
      </c>
    </row>
    <row r="70" spans="1:18" s="1384" customFormat="1" ht="13.5" thickBot="1">
      <c r="A70" s="954"/>
      <c r="B70" s="955"/>
      <c r="C70" s="310"/>
      <c r="D70" s="966"/>
      <c r="E70" s="950" t="s">
        <v>766</v>
      </c>
      <c r="F70" s="1054"/>
      <c r="O70" s="1428" t="s">
        <v>412</v>
      </c>
      <c r="P70" s="1467" t="s">
        <v>873</v>
      </c>
      <c r="Q70" s="1420">
        <f ca="1">C13</f>
        <v>4116</v>
      </c>
      <c r="R70" s="1420" t="s">
        <v>818</v>
      </c>
    </row>
    <row r="71" spans="1:18" s="1384" customFormat="1" ht="13.5" thickBot="1">
      <c r="A71" s="971" t="s">
        <v>396</v>
      </c>
      <c r="B71" s="972" t="s">
        <v>776</v>
      </c>
      <c r="C71" s="336">
        <f ca="1">ROUND(C68*10000/F71,0)</f>
        <v>-605</v>
      </c>
      <c r="D71" s="973" t="s">
        <v>777</v>
      </c>
      <c r="E71" s="974" t="s">
        <v>778</v>
      </c>
      <c r="F71" s="339">
        <f ca="1">F43</f>
        <v>15311.71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288</v>
      </c>
      <c r="D75" s="1384"/>
      <c r="E75" s="1384"/>
      <c r="F75" s="1384"/>
      <c r="K75" s="1402"/>
      <c r="L75" s="1384"/>
      <c r="O75" s="1418" t="s">
        <v>409</v>
      </c>
      <c r="P75" s="1419" t="s">
        <v>838</v>
      </c>
      <c r="Q75" s="1420">
        <f ca="1">Q65+Q66</f>
        <v>16593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0.60399999999999998</v>
      </c>
    </row>
    <row r="80" spans="1:18">
      <c r="B80" s="340" t="s">
        <v>800</v>
      </c>
      <c r="C80" s="274">
        <f ca="1">ROUND(C75/C39,3)</f>
        <v>0.39600000000000002</v>
      </c>
    </row>
    <row r="81" spans="2:3">
      <c r="B81" s="270" t="s">
        <v>801</v>
      </c>
      <c r="C81" s="238"/>
    </row>
    <row r="82" spans="2:3">
      <c r="B82" s="273" t="s">
        <v>802</v>
      </c>
      <c r="C82" s="275">
        <f ca="1">1-C83</f>
        <v>0.752</v>
      </c>
    </row>
    <row r="83" spans="2:3">
      <c r="B83" s="273" t="s">
        <v>803</v>
      </c>
      <c r="C83" s="274">
        <f ca="1">ROUND(C13/C40,3)</f>
        <v>0.248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0</v>
      </c>
      <c r="D6" s="155" t="s">
        <v>2104</v>
      </c>
      <c r="E6" s="302" t="s">
        <v>696</v>
      </c>
      <c r="F6" s="303">
        <f ca="1">INDIRECT("'数据-取费表'!u"&amp;$G$1)</f>
        <v>0</v>
      </c>
      <c r="G6" s="1384"/>
      <c r="H6" s="1069" t="s">
        <v>398</v>
      </c>
      <c r="I6" s="3672" t="s">
        <v>694</v>
      </c>
      <c r="J6" s="301">
        <f ca="1">ROUND(M6*M8*M7*(1-M9),0)</f>
        <v>0</v>
      </c>
      <c r="K6" s="1376" t="s">
        <v>2105</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t="e">
        <f ca="1">ROUND((C68-C40)/10000,4)</f>
        <v>#DIV/0!</v>
      </c>
      <c r="D45" s="3430"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75" t="s">
        <v>837</v>
      </c>
      <c r="L53" s="367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3364</v>
      </c>
      <c r="E2" s="3442"/>
      <c r="F2" s="2844"/>
      <c r="G2" s="2845"/>
      <c r="H2" s="2846"/>
      <c r="I2" s="2847"/>
      <c r="J2" s="3677" t="s">
        <v>2318</v>
      </c>
      <c r="K2" s="3678"/>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79" t="s">
        <v>2328</v>
      </c>
      <c r="K3" s="3680"/>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79" t="s">
        <v>2330</v>
      </c>
      <c r="K4" s="3680"/>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81" t="s">
        <v>2334</v>
      </c>
      <c r="B6" s="3682"/>
      <c r="C6" s="3683"/>
      <c r="D6" s="2868"/>
      <c r="E6" s="2869"/>
      <c r="F6" s="2870"/>
      <c r="G6" s="2871"/>
      <c r="H6" s="2846"/>
      <c r="I6" s="2847"/>
      <c r="J6" s="3684">
        <v>1</v>
      </c>
      <c r="K6" s="3685"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84"/>
      <c r="K7" s="3686"/>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88" t="s">
        <v>2348</v>
      </c>
      <c r="C8" s="3689"/>
      <c r="D8" s="2887" t="s">
        <v>2349</v>
      </c>
      <c r="E8" s="2888" t="s">
        <v>2350</v>
      </c>
      <c r="F8" s="2889" t="s">
        <v>2351</v>
      </c>
      <c r="G8" s="2890"/>
      <c r="H8" s="2846"/>
      <c r="I8" s="2847"/>
      <c r="J8" s="3684"/>
      <c r="K8" s="3686"/>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88" t="s">
        <v>2354</v>
      </c>
      <c r="C9" s="3689"/>
      <c r="D9" s="2887">
        <f>ROUND(D6*E9,0)</f>
        <v>0</v>
      </c>
      <c r="E9" s="2891"/>
      <c r="F9" s="2892" t="s">
        <v>2355</v>
      </c>
      <c r="G9" s="2871"/>
      <c r="H9" s="2846"/>
      <c r="I9" s="2847"/>
      <c r="J9" s="3684"/>
      <c r="K9" s="3686"/>
      <c r="L9" s="2881" t="s">
        <v>2356</v>
      </c>
      <c r="M9" s="2882"/>
      <c r="N9" s="2858"/>
      <c r="O9" s="2883"/>
      <c r="P9" s="2883"/>
      <c r="Q9" s="2884">
        <v>365</v>
      </c>
      <c r="R9" s="2885">
        <f t="shared" si="0"/>
        <v>0</v>
      </c>
      <c r="S9" s="2839"/>
      <c r="T9" s="2839"/>
      <c r="U9" s="2839"/>
      <c r="V9" s="2847"/>
    </row>
    <row r="10" spans="1:22" s="2851" customFormat="1" ht="13.15" customHeight="1">
      <c r="A10" s="2886">
        <v>2</v>
      </c>
      <c r="B10" s="3688" t="s">
        <v>2357</v>
      </c>
      <c r="C10" s="3689"/>
      <c r="D10" s="2887">
        <f>ROUND(D6*E10,0)</f>
        <v>0</v>
      </c>
      <c r="E10" s="2891"/>
      <c r="F10" s="2892" t="s">
        <v>2358</v>
      </c>
      <c r="G10" s="2871"/>
      <c r="H10" s="2846"/>
      <c r="I10" s="2847"/>
      <c r="J10" s="3684"/>
      <c r="K10" s="3686"/>
      <c r="L10" s="2881" t="s">
        <v>2359</v>
      </c>
      <c r="M10" s="2882"/>
      <c r="N10" s="2858"/>
      <c r="O10" s="2883"/>
      <c r="P10" s="2883"/>
      <c r="Q10" s="2884">
        <v>365</v>
      </c>
      <c r="R10" s="2885">
        <f t="shared" si="0"/>
        <v>0</v>
      </c>
      <c r="S10" s="2839"/>
      <c r="T10" s="2839"/>
      <c r="U10" s="2839"/>
      <c r="V10" s="2847"/>
    </row>
    <row r="11" spans="1:22" s="2851" customFormat="1" ht="13.15" customHeight="1">
      <c r="A11" s="2886">
        <v>3</v>
      </c>
      <c r="B11" s="3688" t="s">
        <v>2360</v>
      </c>
      <c r="C11" s="3689"/>
      <c r="D11" s="2887">
        <f>D12+D14+D15+D16</f>
        <v>0</v>
      </c>
      <c r="E11" s="2893" t="e">
        <f>D11/D6</f>
        <v>#DIV/0!</v>
      </c>
      <c r="F11" s="2889"/>
      <c r="G11" s="2890"/>
      <c r="H11" s="2846"/>
      <c r="I11" s="2847"/>
      <c r="J11" s="3684"/>
      <c r="K11" s="3686"/>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90" t="s">
        <v>2363</v>
      </c>
      <c r="C12" s="3691"/>
      <c r="D12" s="2895">
        <f>ROUND(D13*1.2%*(1-30%),0)</f>
        <v>0</v>
      </c>
      <c r="E12" s="2896">
        <v>1.2E-2</v>
      </c>
      <c r="F12" s="2889" t="s">
        <v>2364</v>
      </c>
      <c r="G12" s="2890"/>
      <c r="H12" s="2846"/>
      <c r="I12" s="2847"/>
      <c r="J12" s="3684"/>
      <c r="K12" s="3686"/>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84"/>
      <c r="K13" s="3686"/>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90" t="s">
        <v>2369</v>
      </c>
      <c r="C14" s="3691"/>
      <c r="D14" s="2895">
        <f>ROUND(E14*B5/10000,0)</f>
        <v>0</v>
      </c>
      <c r="E14" s="2884"/>
      <c r="F14" s="2889" t="s">
        <v>2370</v>
      </c>
      <c r="G14" s="2890"/>
      <c r="H14" s="2846"/>
      <c r="I14" s="2847"/>
      <c r="J14" s="3684"/>
      <c r="K14" s="3687"/>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90" t="s">
        <v>2373</v>
      </c>
      <c r="C15" s="3691"/>
      <c r="D15" s="2895">
        <f>ROUND(D6*E15,0)</f>
        <v>0</v>
      </c>
      <c r="E15" s="2896">
        <v>5.5E-2</v>
      </c>
      <c r="F15" s="2889" t="s">
        <v>2374</v>
      </c>
      <c r="G15" s="2871"/>
      <c r="H15" s="2846"/>
      <c r="I15" s="2847"/>
      <c r="J15" s="3684">
        <v>2</v>
      </c>
      <c r="K15" s="3685"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90" t="s">
        <v>2382</v>
      </c>
      <c r="C16" s="3691"/>
      <c r="D16" s="2906">
        <f>D6*E16</f>
        <v>0</v>
      </c>
      <c r="E16" s="2907"/>
      <c r="F16" s="2892" t="s">
        <v>2383</v>
      </c>
      <c r="G16" s="2871"/>
      <c r="H16" s="2846"/>
      <c r="I16" s="2847"/>
      <c r="J16" s="3684"/>
      <c r="K16" s="3686"/>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92" t="s">
        <v>2385</v>
      </c>
      <c r="C17" s="3693"/>
      <c r="D17" s="2909">
        <f>ROUND(D6*E17,0)</f>
        <v>0</v>
      </c>
      <c r="E17" s="2910"/>
      <c r="F17" s="2911" t="s">
        <v>2386</v>
      </c>
      <c r="G17" s="2871"/>
      <c r="H17" s="2846"/>
      <c r="I17" s="2847"/>
      <c r="J17" s="3684"/>
      <c r="K17" s="3686"/>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84"/>
      <c r="K18" s="3686"/>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84"/>
      <c r="K19" s="3687"/>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84">
        <v>3</v>
      </c>
      <c r="K20" s="3685"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84"/>
      <c r="K21" s="3686"/>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84"/>
      <c r="K22" s="3686"/>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84"/>
      <c r="K23" s="3686"/>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84"/>
      <c r="K24" s="3687"/>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94">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9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77" t="s">
        <v>2318</v>
      </c>
      <c r="K32" s="3678"/>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79" t="s">
        <v>2328</v>
      </c>
      <c r="K33" s="3680"/>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79" t="s">
        <v>2330</v>
      </c>
      <c r="K34" s="368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84">
        <v>1</v>
      </c>
      <c r="K36" s="3685"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84"/>
      <c r="K37" s="3686"/>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84"/>
      <c r="K38" s="3686"/>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84"/>
      <c r="K39" s="3686"/>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84"/>
      <c r="K40" s="3687"/>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94">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9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16891</v>
      </c>
      <c r="C2" s="1872" t="s">
        <v>1650</v>
      </c>
      <c r="D2" s="1873" t="s">
        <v>1651</v>
      </c>
      <c r="E2" s="2606">
        <f>SUM(E6:E13)</f>
        <v>60555.78</v>
      </c>
      <c r="F2" s="2705"/>
      <c r="G2" s="1489"/>
      <c r="H2" s="1489"/>
      <c r="I2" s="1489"/>
      <c r="J2" s="1489"/>
      <c r="K2" s="1489"/>
      <c r="L2" s="1489"/>
      <c r="M2" s="1489"/>
      <c r="N2" s="1489"/>
      <c r="O2" s="1489"/>
      <c r="P2" s="1489"/>
      <c r="Q2" s="1489"/>
      <c r="R2" s="1489"/>
      <c r="S2" s="1489"/>
    </row>
    <row r="3" spans="1:22" ht="15.75">
      <c r="A3" s="1870" t="s">
        <v>686</v>
      </c>
      <c r="B3" s="2600">
        <f ca="1">ROUND(B2*10000/E2,0)</f>
        <v>2789</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696" t="s">
        <v>1653</v>
      </c>
      <c r="C5" s="3697"/>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收益法-商业</v>
      </c>
      <c r="B6" s="2601">
        <f ca="1">IF(F6="是",'数据-取费表'!AO6,0)</f>
        <v>16593</v>
      </c>
      <c r="C6" s="1872" t="s">
        <v>1650</v>
      </c>
      <c r="D6" s="2707"/>
      <c r="E6" s="2605">
        <f>IF(OR(A6=0,F6="否"),0,'数据-取费表'!K6+'数据-取费表'!S6)</f>
        <v>16798.719999999998</v>
      </c>
      <c r="F6" s="1876" t="s">
        <v>1656</v>
      </c>
      <c r="G6" s="1489"/>
      <c r="H6" s="1489"/>
      <c r="I6" s="1489"/>
      <c r="J6" s="1489"/>
      <c r="K6" s="1489"/>
      <c r="L6" s="1489"/>
      <c r="M6" s="1489"/>
      <c r="N6" s="1489"/>
      <c r="O6" s="1489"/>
      <c r="P6" s="1489"/>
      <c r="Q6" s="1489"/>
      <c r="R6" s="1489"/>
      <c r="S6" s="1489"/>
    </row>
    <row r="7" spans="1:22">
      <c r="A7" s="2603" t="str">
        <f>'数据-取费表'!AN7</f>
        <v>收益法-车库</v>
      </c>
      <c r="B7" s="2601">
        <f ca="1">IF(F7="是",'数据-取费表'!AO7,0)</f>
        <v>298</v>
      </c>
      <c r="C7" s="1872" t="s">
        <v>1650</v>
      </c>
      <c r="D7" s="2707"/>
      <c r="E7" s="2605">
        <f>IF(OR(A7=0,F7="否"),0,'数据-取费表'!K7+'数据-取费表'!S7)</f>
        <v>43757.060000000005</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60555.78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16" t="s">
        <v>1666</v>
      </c>
      <c r="D4" s="3717"/>
      <c r="E4" s="3718" t="s">
        <v>1667</v>
      </c>
      <c r="F4" s="3719"/>
      <c r="G4" s="3716" t="s">
        <v>1668</v>
      </c>
      <c r="H4" s="3717"/>
      <c r="I4" s="3716" t="s">
        <v>1669</v>
      </c>
      <c r="J4" s="3717"/>
      <c r="K4" s="1889" t="s">
        <v>1670</v>
      </c>
      <c r="L4" s="2713"/>
      <c r="M4" s="2714"/>
      <c r="N4" s="2714"/>
      <c r="O4" s="2714"/>
      <c r="P4" s="3720" t="s">
        <v>1671</v>
      </c>
      <c r="Q4" s="3721"/>
      <c r="R4" s="3703" t="s">
        <v>1667</v>
      </c>
      <c r="S4" s="3704"/>
      <c r="T4" s="3703" t="s">
        <v>1668</v>
      </c>
      <c r="U4" s="3704"/>
      <c r="V4" s="3728" t="s">
        <v>1669</v>
      </c>
      <c r="W4" s="3728"/>
      <c r="X4" s="1355"/>
      <c r="Y4" s="3703" t="s">
        <v>1671</v>
      </c>
      <c r="Z4" s="3704"/>
      <c r="AA4" s="3698" t="s">
        <v>1667</v>
      </c>
      <c r="AB4" s="3698" t="s">
        <v>1668</v>
      </c>
      <c r="AC4" s="3698" t="s">
        <v>1669</v>
      </c>
    </row>
    <row r="5" spans="1:29" ht="15">
      <c r="A5" s="358"/>
      <c r="B5" s="359"/>
      <c r="C5" s="3709" t="s">
        <v>1672</v>
      </c>
      <c r="D5" s="3710"/>
      <c r="E5" s="3707" t="s">
        <v>1673</v>
      </c>
      <c r="F5" s="3708"/>
      <c r="G5" s="3709" t="s">
        <v>1674</v>
      </c>
      <c r="H5" s="3710"/>
      <c r="I5" s="3709" t="s">
        <v>1675</v>
      </c>
      <c r="J5" s="3710"/>
      <c r="K5" s="1890"/>
      <c r="L5" s="2713"/>
      <c r="M5" s="2714"/>
      <c r="N5" s="2714"/>
      <c r="O5" s="2714"/>
      <c r="P5" s="3722"/>
      <c r="Q5" s="3723"/>
      <c r="R5" s="3705"/>
      <c r="S5" s="3706"/>
      <c r="T5" s="3705"/>
      <c r="U5" s="3706"/>
      <c r="V5" s="3728"/>
      <c r="W5" s="3728"/>
      <c r="X5" s="1355"/>
      <c r="Y5" s="3705"/>
      <c r="Z5" s="3706"/>
      <c r="AA5" s="3699"/>
      <c r="AB5" s="3699"/>
      <c r="AC5" s="3699"/>
    </row>
    <row r="6" spans="1:29" ht="15.75" thickBot="1">
      <c r="A6" s="360"/>
      <c r="B6" s="361"/>
      <c r="C6" s="3711" t="s">
        <v>1676</v>
      </c>
      <c r="D6" s="3712"/>
      <c r="E6" s="3713" t="s">
        <v>1676</v>
      </c>
      <c r="F6" s="3714"/>
      <c r="G6" s="3711" t="s">
        <v>1676</v>
      </c>
      <c r="H6" s="3712"/>
      <c r="I6" s="3711" t="s">
        <v>1676</v>
      </c>
      <c r="J6" s="3712"/>
      <c r="K6" s="1890" t="s">
        <v>1677</v>
      </c>
      <c r="L6" s="2713"/>
      <c r="M6" s="2714"/>
      <c r="N6" s="2714"/>
      <c r="O6" s="2714"/>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44977</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1" t="s">
        <v>1679</v>
      </c>
      <c r="Q7" s="3729"/>
      <c r="R7" s="701" t="s">
        <v>20</v>
      </c>
      <c r="S7" s="702">
        <f t="shared" ref="S7:S15" si="0">F7</f>
        <v>0</v>
      </c>
      <c r="T7" s="701" t="s">
        <v>20</v>
      </c>
      <c r="U7" s="702">
        <f t="shared" ref="U7:U15" si="1">H7</f>
        <v>0</v>
      </c>
      <c r="V7" s="701" t="s">
        <v>20</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1" t="s">
        <v>1682</v>
      </c>
      <c r="Q8" s="3702"/>
      <c r="R8" s="701" t="s">
        <v>20</v>
      </c>
      <c r="S8" s="702">
        <f t="shared" si="0"/>
        <v>100</v>
      </c>
      <c r="T8" s="701" t="s">
        <v>20</v>
      </c>
      <c r="U8" s="702">
        <f t="shared" si="1"/>
        <v>100</v>
      </c>
      <c r="V8" s="701" t="s">
        <v>20</v>
      </c>
      <c r="W8" s="702">
        <f t="shared" si="2"/>
        <v>100</v>
      </c>
      <c r="X8" s="703"/>
      <c r="Y8" s="3701" t="s">
        <v>1682</v>
      </c>
      <c r="Z8" s="370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15" t="s">
        <v>1685</v>
      </c>
      <c r="Q9" s="1343" t="str">
        <f t="shared" ref="Q9:Q15" si="6">B9</f>
        <v>用途</v>
      </c>
      <c r="R9" s="701" t="s">
        <v>14</v>
      </c>
      <c r="S9" s="702">
        <f t="shared" si="0"/>
        <v>100</v>
      </c>
      <c r="T9" s="701" t="s">
        <v>14</v>
      </c>
      <c r="U9" s="702">
        <f t="shared" si="1"/>
        <v>100</v>
      </c>
      <c r="V9" s="701" t="s">
        <v>14</v>
      </c>
      <c r="W9" s="702">
        <f t="shared" si="2"/>
        <v>100</v>
      </c>
      <c r="X9" s="703"/>
      <c r="Y9" s="3645"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5"/>
      <c r="Q11" s="1343" t="str">
        <f t="shared" si="6"/>
        <v>容积率</v>
      </c>
      <c r="R11" s="701" t="s">
        <v>18</v>
      </c>
      <c r="S11" s="702" t="e">
        <f t="shared" si="0"/>
        <v>#N/A</v>
      </c>
      <c r="T11" s="701" t="s">
        <v>18</v>
      </c>
      <c r="U11" s="702" t="e">
        <f t="shared" si="1"/>
        <v>#N/A</v>
      </c>
      <c r="V11" s="701" t="s">
        <v>18</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15"/>
      <c r="Q12" s="1343">
        <f t="shared" si="6"/>
        <v>111</v>
      </c>
      <c r="R12" s="701" t="s">
        <v>18</v>
      </c>
      <c r="S12" s="702">
        <f t="shared" si="0"/>
        <v>100</v>
      </c>
      <c r="T12" s="701" t="s">
        <v>18</v>
      </c>
      <c r="U12" s="702">
        <f t="shared" si="1"/>
        <v>100</v>
      </c>
      <c r="V12" s="701" t="s">
        <v>18</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15"/>
      <c r="Q13" s="1343">
        <f t="shared" si="6"/>
        <v>111</v>
      </c>
      <c r="R13" s="701" t="s">
        <v>18</v>
      </c>
      <c r="S13" s="702">
        <f t="shared" si="0"/>
        <v>100</v>
      </c>
      <c r="T13" s="701" t="s">
        <v>18</v>
      </c>
      <c r="U13" s="702">
        <f t="shared" si="1"/>
        <v>100</v>
      </c>
      <c r="V13" s="701" t="s">
        <v>18</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15"/>
      <c r="Q14" s="1343">
        <f t="shared" si="6"/>
        <v>111</v>
      </c>
      <c r="R14" s="701" t="s">
        <v>18</v>
      </c>
      <c r="S14" s="702">
        <f t="shared" si="0"/>
        <v>100</v>
      </c>
      <c r="T14" s="701" t="s">
        <v>18</v>
      </c>
      <c r="U14" s="702">
        <f t="shared" si="1"/>
        <v>100</v>
      </c>
      <c r="V14" s="701" t="s">
        <v>18</v>
      </c>
      <c r="W14" s="702">
        <f t="shared" si="2"/>
        <v>100</v>
      </c>
      <c r="X14" s="703"/>
      <c r="Y14" s="3645"/>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2" t="s">
        <v>1690</v>
      </c>
      <c r="Q15" s="1352" t="str">
        <f t="shared" si="6"/>
        <v>居住社区成熟度</v>
      </c>
      <c r="R15" s="705" t="s">
        <v>18</v>
      </c>
      <c r="S15" s="706">
        <f t="shared" si="0"/>
        <v>100</v>
      </c>
      <c r="T15" s="705" t="s">
        <v>18</v>
      </c>
      <c r="U15" s="706">
        <f t="shared" si="1"/>
        <v>100</v>
      </c>
      <c r="V15" s="705" t="s">
        <v>18</v>
      </c>
      <c r="W15" s="706">
        <f t="shared" si="2"/>
        <v>100</v>
      </c>
      <c r="X15" s="1355"/>
      <c r="Y15" s="373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43"/>
      <c r="Q16" s="1352"/>
      <c r="R16" s="705"/>
      <c r="S16" s="706"/>
      <c r="T16" s="705"/>
      <c r="U16" s="706"/>
      <c r="V16" s="705"/>
      <c r="W16" s="706"/>
      <c r="X16" s="1355"/>
      <c r="Y16" s="3736"/>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3"/>
      <c r="Q17" s="1352" t="str">
        <f>B17</f>
        <v>交通便捷度</v>
      </c>
      <c r="R17" s="705" t="s">
        <v>18</v>
      </c>
      <c r="S17" s="706">
        <f>F17</f>
        <v>100</v>
      </c>
      <c r="T17" s="705" t="s">
        <v>18</v>
      </c>
      <c r="U17" s="706">
        <f>H17</f>
        <v>100</v>
      </c>
      <c r="V17" s="705" t="s">
        <v>18</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43"/>
      <c r="Q18" s="1352"/>
      <c r="R18" s="705"/>
      <c r="S18" s="706"/>
      <c r="T18" s="705"/>
      <c r="U18" s="706"/>
      <c r="V18" s="705"/>
      <c r="W18" s="706"/>
      <c r="X18" s="1355"/>
      <c r="Y18" s="3736"/>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3"/>
      <c r="Q19" s="1352" t="str">
        <f>B19</f>
        <v>公共配套设施</v>
      </c>
      <c r="R19" s="705" t="s">
        <v>18</v>
      </c>
      <c r="S19" s="706">
        <f>F19</f>
        <v>100</v>
      </c>
      <c r="T19" s="705" t="s">
        <v>18</v>
      </c>
      <c r="U19" s="706">
        <f>H19</f>
        <v>100</v>
      </c>
      <c r="V19" s="705" t="s">
        <v>18</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43"/>
      <c r="Q20" s="1352"/>
      <c r="R20" s="705"/>
      <c r="S20" s="706"/>
      <c r="T20" s="705"/>
      <c r="U20" s="706"/>
      <c r="V20" s="705"/>
      <c r="W20" s="706"/>
      <c r="X20" s="1355"/>
      <c r="Y20" s="3736"/>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43"/>
      <c r="Q22" s="1352"/>
      <c r="R22" s="705"/>
      <c r="S22" s="706"/>
      <c r="T22" s="705"/>
      <c r="U22" s="706"/>
      <c r="V22" s="705"/>
      <c r="W22" s="706"/>
      <c r="X22" s="1355"/>
      <c r="Y22" s="3736"/>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3"/>
      <c r="Q23" s="1352" t="str">
        <f>B23</f>
        <v>自然及人文环境</v>
      </c>
      <c r="R23" s="705" t="s">
        <v>18</v>
      </c>
      <c r="S23" s="706">
        <f>F23</f>
        <v>100</v>
      </c>
      <c r="T23" s="705" t="s">
        <v>18</v>
      </c>
      <c r="U23" s="706">
        <f>H23</f>
        <v>100</v>
      </c>
      <c r="V23" s="705" t="s">
        <v>18</v>
      </c>
      <c r="W23" s="706">
        <f>J23</f>
        <v>100</v>
      </c>
      <c r="X23" s="1355"/>
      <c r="Y23" s="373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43"/>
      <c r="Q24" s="1352"/>
      <c r="R24" s="705"/>
      <c r="S24" s="706"/>
      <c r="T24" s="705"/>
      <c r="U24" s="706"/>
      <c r="V24" s="705"/>
      <c r="W24" s="706"/>
      <c r="X24" s="1355"/>
      <c r="Y24" s="373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4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43"/>
      <c r="Q26" s="1352" t="str">
        <f t="shared" si="11"/>
        <v>朝向</v>
      </c>
      <c r="R26" s="705" t="s">
        <v>18</v>
      </c>
      <c r="S26" s="706">
        <f t="shared" si="12"/>
        <v>100</v>
      </c>
      <c r="T26" s="705" t="s">
        <v>18</v>
      </c>
      <c r="U26" s="706">
        <f t="shared" si="13"/>
        <v>100</v>
      </c>
      <c r="V26" s="705" t="s">
        <v>18</v>
      </c>
      <c r="W26" s="706">
        <f t="shared" si="14"/>
        <v>100</v>
      </c>
      <c r="X26" s="1355"/>
      <c r="Y26" s="373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43"/>
      <c r="Q27" s="1343">
        <f t="shared" si="11"/>
        <v>111</v>
      </c>
      <c r="R27" s="701" t="s">
        <v>18</v>
      </c>
      <c r="S27" s="702">
        <f t="shared" si="12"/>
        <v>100</v>
      </c>
      <c r="T27" s="701" t="s">
        <v>18</v>
      </c>
      <c r="U27" s="702">
        <f t="shared" si="13"/>
        <v>100</v>
      </c>
      <c r="V27" s="701" t="s">
        <v>18</v>
      </c>
      <c r="W27" s="702">
        <f t="shared" si="14"/>
        <v>100</v>
      </c>
      <c r="X27" s="703"/>
      <c r="Y27" s="373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43"/>
      <c r="Q28" s="1352">
        <f t="shared" si="11"/>
        <v>111</v>
      </c>
      <c r="R28" s="705" t="s">
        <v>18</v>
      </c>
      <c r="S28" s="706">
        <f t="shared" si="12"/>
        <v>100</v>
      </c>
      <c r="T28" s="705" t="s">
        <v>18</v>
      </c>
      <c r="U28" s="706">
        <f t="shared" si="13"/>
        <v>100</v>
      </c>
      <c r="V28" s="705" t="s">
        <v>18</v>
      </c>
      <c r="W28" s="706">
        <f t="shared" si="14"/>
        <v>100</v>
      </c>
      <c r="X28" s="1355"/>
      <c r="Y28" s="373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43"/>
      <c r="Q29" s="1352">
        <f t="shared" si="11"/>
        <v>111</v>
      </c>
      <c r="R29" s="705" t="s">
        <v>18</v>
      </c>
      <c r="S29" s="706">
        <f t="shared" si="12"/>
        <v>100</v>
      </c>
      <c r="T29" s="705" t="s">
        <v>18</v>
      </c>
      <c r="U29" s="706">
        <f t="shared" si="13"/>
        <v>100</v>
      </c>
      <c r="V29" s="705" t="s">
        <v>18</v>
      </c>
      <c r="W29" s="706">
        <f t="shared" si="14"/>
        <v>100</v>
      </c>
      <c r="X29" s="1355"/>
      <c r="Y29" s="373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43"/>
      <c r="Q30" s="1352">
        <f t="shared" si="11"/>
        <v>111</v>
      </c>
      <c r="R30" s="705" t="s">
        <v>18</v>
      </c>
      <c r="S30" s="706">
        <f t="shared" si="12"/>
        <v>100</v>
      </c>
      <c r="T30" s="705" t="s">
        <v>18</v>
      </c>
      <c r="U30" s="706">
        <f t="shared" si="13"/>
        <v>100</v>
      </c>
      <c r="V30" s="705" t="s">
        <v>18</v>
      </c>
      <c r="W30" s="706">
        <f t="shared" si="14"/>
        <v>100</v>
      </c>
      <c r="X30" s="1355"/>
      <c r="Y30" s="373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43"/>
      <c r="Q31" s="1352">
        <f t="shared" si="11"/>
        <v>111</v>
      </c>
      <c r="R31" s="705" t="s">
        <v>18</v>
      </c>
      <c r="S31" s="706">
        <f t="shared" si="12"/>
        <v>100</v>
      </c>
      <c r="T31" s="705" t="s">
        <v>18</v>
      </c>
      <c r="U31" s="706">
        <f t="shared" si="13"/>
        <v>100</v>
      </c>
      <c r="V31" s="705" t="s">
        <v>18</v>
      </c>
      <c r="W31" s="706">
        <f t="shared" si="14"/>
        <v>100</v>
      </c>
      <c r="X31" s="1355"/>
      <c r="Y31" s="373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37" t="s">
        <v>1695</v>
      </c>
      <c r="Q32" s="1352" t="str">
        <f t="shared" si="11"/>
        <v>建筑类型</v>
      </c>
      <c r="R32" s="705" t="s">
        <v>18</v>
      </c>
      <c r="S32" s="706">
        <f t="shared" si="12"/>
        <v>100</v>
      </c>
      <c r="T32" s="705" t="s">
        <v>18</v>
      </c>
      <c r="U32" s="706">
        <f t="shared" si="13"/>
        <v>100</v>
      </c>
      <c r="V32" s="705" t="s">
        <v>18</v>
      </c>
      <c r="W32" s="706">
        <f t="shared" si="14"/>
        <v>100</v>
      </c>
      <c r="X32" s="1355"/>
      <c r="Y32" s="374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38"/>
      <c r="Q33" s="707" t="str">
        <f t="shared" si="11"/>
        <v>项目建筑规模</v>
      </c>
      <c r="R33" s="708" t="s">
        <v>18</v>
      </c>
      <c r="S33" s="709" t="e">
        <f t="shared" si="12"/>
        <v>#N/A</v>
      </c>
      <c r="T33" s="708" t="s">
        <v>18</v>
      </c>
      <c r="U33" s="709" t="e">
        <f t="shared" si="13"/>
        <v>#N/A</v>
      </c>
      <c r="V33" s="708" t="s">
        <v>18</v>
      </c>
      <c r="W33" s="709" t="e">
        <f t="shared" si="14"/>
        <v>#N/A</v>
      </c>
      <c r="X33" s="710"/>
      <c r="Y33" s="374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38"/>
      <c r="Q34" s="1352" t="str">
        <f t="shared" si="11"/>
        <v>建筑结构</v>
      </c>
      <c r="R34" s="705" t="s">
        <v>18</v>
      </c>
      <c r="S34" s="706">
        <f t="shared" si="12"/>
        <v>100</v>
      </c>
      <c r="T34" s="705" t="s">
        <v>18</v>
      </c>
      <c r="U34" s="706">
        <f t="shared" si="13"/>
        <v>100</v>
      </c>
      <c r="V34" s="705" t="s">
        <v>18</v>
      </c>
      <c r="W34" s="706">
        <f t="shared" si="14"/>
        <v>100</v>
      </c>
      <c r="X34" s="1355"/>
      <c r="Y34" s="374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38"/>
      <c r="Q35" s="1352" t="str">
        <f t="shared" si="11"/>
        <v>建筑品质</v>
      </c>
      <c r="R35" s="705" t="s">
        <v>18</v>
      </c>
      <c r="S35" s="706">
        <f t="shared" si="12"/>
        <v>100</v>
      </c>
      <c r="T35" s="705" t="s">
        <v>18</v>
      </c>
      <c r="U35" s="706">
        <f t="shared" si="13"/>
        <v>100</v>
      </c>
      <c r="V35" s="705" t="s">
        <v>18</v>
      </c>
      <c r="W35" s="706">
        <f t="shared" si="14"/>
        <v>100</v>
      </c>
      <c r="X35" s="1355"/>
      <c r="Y35" s="374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38"/>
      <c r="Q36" s="1352" t="str">
        <f t="shared" si="11"/>
        <v>公共部分装修</v>
      </c>
      <c r="R36" s="705" t="s">
        <v>18</v>
      </c>
      <c r="S36" s="706">
        <f t="shared" si="12"/>
        <v>100</v>
      </c>
      <c r="T36" s="705" t="s">
        <v>18</v>
      </c>
      <c r="U36" s="706">
        <f t="shared" si="13"/>
        <v>100</v>
      </c>
      <c r="V36" s="705" t="s">
        <v>18</v>
      </c>
      <c r="W36" s="706">
        <f t="shared" si="14"/>
        <v>100</v>
      </c>
      <c r="X36" s="1355"/>
      <c r="Y36" s="374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8"/>
      <c r="Q37" s="1343" t="str">
        <f t="shared" si="11"/>
        <v>成新度</v>
      </c>
      <c r="R37" s="701" t="s">
        <v>18</v>
      </c>
      <c r="S37" s="702" t="e">
        <f t="shared" si="12"/>
        <v>#N/A</v>
      </c>
      <c r="T37" s="701" t="s">
        <v>18</v>
      </c>
      <c r="U37" s="702" t="e">
        <f t="shared" si="13"/>
        <v>#N/A</v>
      </c>
      <c r="V37" s="701" t="s">
        <v>18</v>
      </c>
      <c r="W37" s="702" t="e">
        <f t="shared" si="14"/>
        <v>#N/A</v>
      </c>
      <c r="X37" s="703"/>
      <c r="Y37" s="374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8" t="s">
        <v>1695</v>
      </c>
      <c r="Q38" s="1352" t="str">
        <f t="shared" si="11"/>
        <v>物业管理</v>
      </c>
      <c r="R38" s="705" t="s">
        <v>18</v>
      </c>
      <c r="S38" s="706">
        <f t="shared" si="12"/>
        <v>100</v>
      </c>
      <c r="T38" s="705" t="s">
        <v>18</v>
      </c>
      <c r="U38" s="706">
        <f t="shared" si="13"/>
        <v>100</v>
      </c>
      <c r="V38" s="705" t="s">
        <v>18</v>
      </c>
      <c r="W38" s="706">
        <f t="shared" si="14"/>
        <v>100</v>
      </c>
      <c r="X38" s="1355"/>
      <c r="Y38" s="374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8"/>
      <c r="Q39" s="1352" t="str">
        <f t="shared" si="11"/>
        <v>市政基础设施</v>
      </c>
      <c r="R39" s="705" t="s">
        <v>18</v>
      </c>
      <c r="S39" s="706">
        <f t="shared" si="12"/>
        <v>100</v>
      </c>
      <c r="T39" s="705" t="s">
        <v>18</v>
      </c>
      <c r="U39" s="706">
        <f t="shared" si="13"/>
        <v>100</v>
      </c>
      <c r="V39" s="705" t="s">
        <v>18</v>
      </c>
      <c r="W39" s="706">
        <f t="shared" si="14"/>
        <v>100</v>
      </c>
      <c r="X39" s="1355"/>
      <c r="Y39" s="374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8"/>
      <c r="Q40" s="1352" t="str">
        <f t="shared" si="11"/>
        <v>房型</v>
      </c>
      <c r="R40" s="705" t="s">
        <v>18</v>
      </c>
      <c r="S40" s="706">
        <f t="shared" si="12"/>
        <v>100</v>
      </c>
      <c r="T40" s="705" t="s">
        <v>18</v>
      </c>
      <c r="U40" s="706">
        <f t="shared" si="13"/>
        <v>100</v>
      </c>
      <c r="V40" s="705" t="s">
        <v>18</v>
      </c>
      <c r="W40" s="706">
        <f t="shared" si="14"/>
        <v>100</v>
      </c>
      <c r="X40" s="1355"/>
      <c r="Y40" s="374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8"/>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8"/>
      <c r="Q42" s="1352" t="str">
        <f t="shared" si="11"/>
        <v>内部装修</v>
      </c>
      <c r="R42" s="705" t="s">
        <v>18</v>
      </c>
      <c r="S42" s="706">
        <f t="shared" si="12"/>
        <v>100</v>
      </c>
      <c r="T42" s="705" t="s">
        <v>18</v>
      </c>
      <c r="U42" s="706">
        <f t="shared" si="13"/>
        <v>100</v>
      </c>
      <c r="V42" s="705" t="s">
        <v>18</v>
      </c>
      <c r="W42" s="706">
        <f t="shared" si="14"/>
        <v>100</v>
      </c>
      <c r="X42" s="1355"/>
      <c r="Y42" s="374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8"/>
      <c r="Q43" s="1352" t="str">
        <f t="shared" si="11"/>
        <v>内部装修维护情况</v>
      </c>
      <c r="R43" s="705" t="s">
        <v>18</v>
      </c>
      <c r="S43" s="706">
        <f t="shared" si="12"/>
        <v>100</v>
      </c>
      <c r="T43" s="705" t="s">
        <v>18</v>
      </c>
      <c r="U43" s="706">
        <f t="shared" si="13"/>
        <v>100</v>
      </c>
      <c r="V43" s="705" t="s">
        <v>18</v>
      </c>
      <c r="W43" s="706">
        <f t="shared" si="14"/>
        <v>100</v>
      </c>
      <c r="X43" s="1355"/>
      <c r="Y43" s="374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8"/>
      <c r="Q44" s="1343">
        <f t="shared" si="11"/>
        <v>111</v>
      </c>
      <c r="R44" s="701" t="s">
        <v>18</v>
      </c>
      <c r="S44" s="702">
        <f t="shared" si="12"/>
        <v>100</v>
      </c>
      <c r="T44" s="701" t="s">
        <v>18</v>
      </c>
      <c r="U44" s="702">
        <f t="shared" si="13"/>
        <v>100</v>
      </c>
      <c r="V44" s="701" t="s">
        <v>18</v>
      </c>
      <c r="W44" s="702">
        <f t="shared" si="14"/>
        <v>100</v>
      </c>
      <c r="X44" s="703"/>
      <c r="Y44" s="374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8"/>
      <c r="Q45" s="1352">
        <f t="shared" si="11"/>
        <v>111</v>
      </c>
      <c r="R45" s="705" t="s">
        <v>18</v>
      </c>
      <c r="S45" s="706">
        <f t="shared" si="12"/>
        <v>100</v>
      </c>
      <c r="T45" s="705" t="s">
        <v>18</v>
      </c>
      <c r="U45" s="706">
        <f t="shared" si="13"/>
        <v>100</v>
      </c>
      <c r="V45" s="705" t="s">
        <v>18</v>
      </c>
      <c r="W45" s="706">
        <f t="shared" si="14"/>
        <v>100</v>
      </c>
      <c r="X45" s="1355"/>
      <c r="Y45" s="374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9"/>
      <c r="Q46" s="1352">
        <f t="shared" si="11"/>
        <v>111</v>
      </c>
      <c r="R46" s="705" t="s">
        <v>17</v>
      </c>
      <c r="S46" s="706">
        <f t="shared" si="12"/>
        <v>100</v>
      </c>
      <c r="T46" s="705" t="s">
        <v>17</v>
      </c>
      <c r="U46" s="706">
        <f t="shared" si="13"/>
        <v>100</v>
      </c>
      <c r="V46" s="705" t="s">
        <v>17</v>
      </c>
      <c r="W46" s="706">
        <f t="shared" si="14"/>
        <v>100</v>
      </c>
      <c r="X46" s="1355"/>
      <c r="Y46" s="374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33" t="str">
        <f>A47</f>
        <v>成交单价（元/平方米）</v>
      </c>
      <c r="Q47" s="3733"/>
      <c r="R47" s="3734">
        <f>E47</f>
        <v>0</v>
      </c>
      <c r="S47" s="3734"/>
      <c r="T47" s="3734">
        <f>G47</f>
        <v>0</v>
      </c>
      <c r="U47" s="3734"/>
      <c r="V47" s="3734">
        <f>I47</f>
        <v>0</v>
      </c>
      <c r="W47" s="3734"/>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60555.78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16" t="s">
        <v>1769</v>
      </c>
      <c r="D4" s="3717"/>
      <c r="E4" s="3718" t="s">
        <v>1770</v>
      </c>
      <c r="F4" s="3719"/>
      <c r="G4" s="3716" t="s">
        <v>1771</v>
      </c>
      <c r="H4" s="3717"/>
      <c r="I4" s="3716" t="s">
        <v>1772</v>
      </c>
      <c r="J4" s="3717"/>
      <c r="K4" s="559" t="s">
        <v>1773</v>
      </c>
      <c r="L4" s="2713"/>
      <c r="M4" s="2714"/>
      <c r="N4" s="2714"/>
      <c r="O4" s="2714"/>
      <c r="P4" s="3720" t="s">
        <v>1774</v>
      </c>
      <c r="Q4" s="3721"/>
      <c r="R4" s="3703" t="s">
        <v>1770</v>
      </c>
      <c r="S4" s="3704"/>
      <c r="T4" s="3703" t="s">
        <v>1771</v>
      </c>
      <c r="U4" s="3704"/>
      <c r="V4" s="3728" t="s">
        <v>1772</v>
      </c>
      <c r="W4" s="3728"/>
      <c r="X4" s="1355"/>
      <c r="Y4" s="3703" t="s">
        <v>1774</v>
      </c>
      <c r="Z4" s="3704"/>
      <c r="AA4" s="3698" t="s">
        <v>1770</v>
      </c>
      <c r="AB4" s="3728" t="s">
        <v>1771</v>
      </c>
      <c r="AC4" s="3698" t="s">
        <v>1772</v>
      </c>
    </row>
    <row r="5" spans="1:29" ht="15">
      <c r="A5" s="358"/>
      <c r="B5" s="359"/>
      <c r="C5" s="3709" t="s">
        <v>1672</v>
      </c>
      <c r="D5" s="3710"/>
      <c r="E5" s="3707" t="s">
        <v>1673</v>
      </c>
      <c r="F5" s="3708"/>
      <c r="G5" s="3709" t="s">
        <v>1674</v>
      </c>
      <c r="H5" s="3710"/>
      <c r="I5" s="3709" t="s">
        <v>1675</v>
      </c>
      <c r="J5" s="3710"/>
      <c r="K5" s="559"/>
      <c r="L5" s="2713"/>
      <c r="M5" s="2714"/>
      <c r="N5" s="2714"/>
      <c r="O5" s="2714"/>
      <c r="P5" s="3722"/>
      <c r="Q5" s="3723"/>
      <c r="R5" s="3705"/>
      <c r="S5" s="3706"/>
      <c r="T5" s="3705"/>
      <c r="U5" s="3706"/>
      <c r="V5" s="3728"/>
      <c r="W5" s="3728"/>
      <c r="X5" s="1355"/>
      <c r="Y5" s="3705"/>
      <c r="Z5" s="3706"/>
      <c r="AA5" s="3699"/>
      <c r="AB5" s="3728"/>
      <c r="AC5" s="3699"/>
    </row>
    <row r="6" spans="1:29" ht="15.75" thickBot="1">
      <c r="A6" s="360"/>
      <c r="B6" s="361"/>
      <c r="C6" s="3711" t="s">
        <v>1676</v>
      </c>
      <c r="D6" s="3712"/>
      <c r="E6" s="3713" t="s">
        <v>1676</v>
      </c>
      <c r="F6" s="3714"/>
      <c r="G6" s="3711" t="s">
        <v>1676</v>
      </c>
      <c r="H6" s="3712"/>
      <c r="I6" s="3711" t="s">
        <v>1676</v>
      </c>
      <c r="J6" s="3712"/>
      <c r="K6" s="559" t="s">
        <v>1677</v>
      </c>
      <c r="L6" s="2713"/>
      <c r="M6" s="2714"/>
      <c r="N6" s="2714"/>
      <c r="O6" s="2714"/>
      <c r="P6" s="3724"/>
      <c r="Q6" s="3725"/>
      <c r="R6" s="3705"/>
      <c r="S6" s="3706"/>
      <c r="T6" s="3726"/>
      <c r="U6" s="3727"/>
      <c r="V6" s="3728"/>
      <c r="W6" s="3728"/>
      <c r="X6" s="1355"/>
      <c r="Y6" s="3726"/>
      <c r="Z6" s="3727"/>
      <c r="AA6" s="3700"/>
      <c r="AB6" s="3728"/>
      <c r="AC6" s="3700"/>
    </row>
    <row r="7" spans="1:29" s="108" customFormat="1" ht="15.75" thickBot="1">
      <c r="A7" s="362" t="s">
        <v>1678</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1" t="s">
        <v>1679</v>
      </c>
      <c r="Q7" s="3729"/>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1" t="s">
        <v>1682</v>
      </c>
      <c r="Q8" s="3702"/>
      <c r="R8" s="701" t="s">
        <v>14</v>
      </c>
      <c r="S8" s="702">
        <f t="shared" si="0"/>
        <v>100</v>
      </c>
      <c r="T8" s="701" t="s">
        <v>14</v>
      </c>
      <c r="U8" s="702">
        <f t="shared" si="1"/>
        <v>100</v>
      </c>
      <c r="V8" s="701" t="s">
        <v>14</v>
      </c>
      <c r="W8" s="702">
        <f t="shared" si="2"/>
        <v>100</v>
      </c>
      <c r="X8" s="703"/>
      <c r="Y8" s="3701" t="s">
        <v>1682</v>
      </c>
      <c r="Z8" s="370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5" t="s">
        <v>1685</v>
      </c>
      <c r="Q9" s="1343" t="str">
        <f t="shared" ref="Q9:Q15" si="6">B9</f>
        <v>用途</v>
      </c>
      <c r="R9" s="701" t="s">
        <v>14</v>
      </c>
      <c r="S9" s="702">
        <f t="shared" si="0"/>
        <v>100</v>
      </c>
      <c r="T9" s="701" t="s">
        <v>14</v>
      </c>
      <c r="U9" s="702">
        <f t="shared" si="1"/>
        <v>100</v>
      </c>
      <c r="V9" s="701" t="s">
        <v>14</v>
      </c>
      <c r="W9" s="702">
        <f t="shared" si="2"/>
        <v>100</v>
      </c>
      <c r="X9" s="703"/>
      <c r="Y9" s="3645"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5"/>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5"/>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5"/>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5"/>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2" t="s">
        <v>1690</v>
      </c>
      <c r="Q15" s="1352" t="str">
        <f t="shared" si="6"/>
        <v>商业繁华度</v>
      </c>
      <c r="R15" s="705" t="s">
        <v>14</v>
      </c>
      <c r="S15" s="706">
        <f t="shared" si="0"/>
        <v>100</v>
      </c>
      <c r="T15" s="705" t="s">
        <v>14</v>
      </c>
      <c r="U15" s="706">
        <f t="shared" si="1"/>
        <v>100</v>
      </c>
      <c r="V15" s="705" t="s">
        <v>14</v>
      </c>
      <c r="W15" s="706">
        <f t="shared" si="2"/>
        <v>100</v>
      </c>
      <c r="X15" s="1355"/>
      <c r="Y15" s="3735"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3"/>
      <c r="Q16" s="1352"/>
      <c r="R16" s="705"/>
      <c r="S16" s="706"/>
      <c r="T16" s="705"/>
      <c r="U16" s="706"/>
      <c r="V16" s="705"/>
      <c r="W16" s="706"/>
      <c r="X16" s="1355"/>
      <c r="Y16" s="3736"/>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43"/>
      <c r="Q18" s="1352"/>
      <c r="R18" s="705"/>
      <c r="S18" s="706"/>
      <c r="T18" s="705"/>
      <c r="U18" s="706"/>
      <c r="V18" s="705"/>
      <c r="W18" s="706"/>
      <c r="X18" s="1355"/>
      <c r="Y18" s="3736"/>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43"/>
      <c r="Q20" s="1352"/>
      <c r="R20" s="705"/>
      <c r="S20" s="706"/>
      <c r="T20" s="705"/>
      <c r="U20" s="706"/>
      <c r="V20" s="705"/>
      <c r="W20" s="706"/>
      <c r="X20" s="1355"/>
      <c r="Y20" s="3736"/>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43"/>
      <c r="Q22" s="1352"/>
      <c r="R22" s="705"/>
      <c r="S22" s="706"/>
      <c r="T22" s="705"/>
      <c r="U22" s="706"/>
      <c r="V22" s="705"/>
      <c r="W22" s="706"/>
      <c r="X22" s="1355"/>
      <c r="Y22" s="3736"/>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3"/>
      <c r="Q23" s="1352" t="str">
        <f>B23</f>
        <v>自然及人文环境</v>
      </c>
      <c r="R23" s="705" t="s">
        <v>14</v>
      </c>
      <c r="S23" s="706">
        <f>F23</f>
        <v>100</v>
      </c>
      <c r="T23" s="705" t="s">
        <v>14</v>
      </c>
      <c r="U23" s="706">
        <f>H23</f>
        <v>100</v>
      </c>
      <c r="V23" s="705" t="s">
        <v>14</v>
      </c>
      <c r="W23" s="706">
        <f>J23</f>
        <v>100</v>
      </c>
      <c r="X23" s="1355"/>
      <c r="Y23" s="373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43"/>
      <c r="Q24" s="1352"/>
      <c r="R24" s="705"/>
      <c r="S24" s="706"/>
      <c r="T24" s="705"/>
      <c r="U24" s="706"/>
      <c r="V24" s="705"/>
      <c r="W24" s="706"/>
      <c r="X24" s="1355"/>
      <c r="Y24" s="373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3"/>
      <c r="Q25" s="1352" t="str">
        <f t="shared" ref="Q25:Q46" si="11">B25</f>
        <v>临街状况</v>
      </c>
      <c r="R25" s="705" t="s">
        <v>14</v>
      </c>
      <c r="S25" s="706">
        <f>F25</f>
        <v>100</v>
      </c>
      <c r="T25" s="705" t="s">
        <v>14</v>
      </c>
      <c r="U25" s="706">
        <f>H25</f>
        <v>100</v>
      </c>
      <c r="V25" s="705" t="s">
        <v>14</v>
      </c>
      <c r="W25" s="706">
        <f>J25</f>
        <v>100</v>
      </c>
      <c r="X25" s="1355"/>
      <c r="Y25" s="373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3"/>
      <c r="Q26" s="1352" t="str">
        <f t="shared" si="11"/>
        <v>平面位置/可视性</v>
      </c>
      <c r="R26" s="705" t="s">
        <v>14</v>
      </c>
      <c r="S26" s="706">
        <f>F26</f>
        <v>100</v>
      </c>
      <c r="T26" s="705" t="s">
        <v>14</v>
      </c>
      <c r="U26" s="706">
        <f>H26</f>
        <v>100</v>
      </c>
      <c r="V26" s="705" t="s">
        <v>14</v>
      </c>
      <c r="W26" s="706">
        <f>J26</f>
        <v>100</v>
      </c>
      <c r="X26" s="1355"/>
      <c r="Y26" s="373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43"/>
      <c r="Q27" s="1343" t="str">
        <f t="shared" si="11"/>
        <v>人流量</v>
      </c>
      <c r="R27" s="701" t="s">
        <v>14</v>
      </c>
      <c r="S27" s="702">
        <f>F27</f>
        <v>100</v>
      </c>
      <c r="T27" s="701" t="s">
        <v>14</v>
      </c>
      <c r="U27" s="702">
        <f>H27</f>
        <v>100</v>
      </c>
      <c r="V27" s="701" t="s">
        <v>14</v>
      </c>
      <c r="W27" s="702">
        <f>J27</f>
        <v>100</v>
      </c>
      <c r="X27" s="703"/>
      <c r="Y27" s="373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3"/>
      <c r="Q29" s="1352">
        <f t="shared" si="11"/>
        <v>111</v>
      </c>
      <c r="R29" s="705" t="s">
        <v>14</v>
      </c>
      <c r="S29" s="706">
        <f t="shared" si="12"/>
        <v>100</v>
      </c>
      <c r="T29" s="705" t="s">
        <v>14</v>
      </c>
      <c r="U29" s="706">
        <f t="shared" si="13"/>
        <v>100</v>
      </c>
      <c r="V29" s="705" t="s">
        <v>14</v>
      </c>
      <c r="W29" s="706">
        <f t="shared" si="14"/>
        <v>100</v>
      </c>
      <c r="X29" s="1355"/>
      <c r="Y29" s="373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37" t="s">
        <v>1695</v>
      </c>
      <c r="Q32" s="1352" t="str">
        <f t="shared" si="11"/>
        <v>商业类型</v>
      </c>
      <c r="R32" s="705" t="s">
        <v>14</v>
      </c>
      <c r="S32" s="706">
        <f t="shared" si="12"/>
        <v>100</v>
      </c>
      <c r="T32" s="705" t="s">
        <v>14</v>
      </c>
      <c r="U32" s="706">
        <f t="shared" si="13"/>
        <v>100</v>
      </c>
      <c r="V32" s="705" t="s">
        <v>14</v>
      </c>
      <c r="W32" s="706">
        <f t="shared" si="14"/>
        <v>100</v>
      </c>
      <c r="X32" s="1355"/>
      <c r="Y32" s="374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8"/>
      <c r="Q33" s="707" t="str">
        <f t="shared" si="11"/>
        <v>项目建筑规模</v>
      </c>
      <c r="R33" s="708" t="s">
        <v>14</v>
      </c>
      <c r="S33" s="709" t="e">
        <f t="shared" si="12"/>
        <v>#N/A</v>
      </c>
      <c r="T33" s="708" t="s">
        <v>14</v>
      </c>
      <c r="U33" s="709" t="e">
        <f t="shared" si="13"/>
        <v>#N/A</v>
      </c>
      <c r="V33" s="708" t="s">
        <v>14</v>
      </c>
      <c r="W33" s="709" t="e">
        <f t="shared" si="14"/>
        <v>#N/A</v>
      </c>
      <c r="X33" s="710"/>
      <c r="Y33" s="374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38"/>
      <c r="Q34" s="1352" t="str">
        <f t="shared" si="11"/>
        <v>建筑结构</v>
      </c>
      <c r="R34" s="705" t="s">
        <v>14</v>
      </c>
      <c r="S34" s="706">
        <f t="shared" si="12"/>
        <v>100</v>
      </c>
      <c r="T34" s="705" t="s">
        <v>14</v>
      </c>
      <c r="U34" s="706">
        <f t="shared" si="13"/>
        <v>100</v>
      </c>
      <c r="V34" s="705" t="s">
        <v>14</v>
      </c>
      <c r="W34" s="706">
        <f t="shared" si="14"/>
        <v>100</v>
      </c>
      <c r="X34" s="1355"/>
      <c r="Y34" s="374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38"/>
      <c r="Q35" s="1352" t="str">
        <f t="shared" si="11"/>
        <v>公共部分装修</v>
      </c>
      <c r="R35" s="705" t="s">
        <v>14</v>
      </c>
      <c r="S35" s="706">
        <f t="shared" si="12"/>
        <v>100</v>
      </c>
      <c r="T35" s="705" t="s">
        <v>14</v>
      </c>
      <c r="U35" s="706">
        <f t="shared" si="13"/>
        <v>100</v>
      </c>
      <c r="V35" s="705" t="s">
        <v>14</v>
      </c>
      <c r="W35" s="706">
        <f t="shared" si="14"/>
        <v>100</v>
      </c>
      <c r="X35" s="1355"/>
      <c r="Y35" s="374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8"/>
      <c r="Q36" s="1352" t="str">
        <f t="shared" si="11"/>
        <v>成新度</v>
      </c>
      <c r="R36" s="705" t="s">
        <v>14</v>
      </c>
      <c r="S36" s="706" t="e">
        <f t="shared" si="12"/>
        <v>#N/A</v>
      </c>
      <c r="T36" s="705" t="s">
        <v>14</v>
      </c>
      <c r="U36" s="706" t="e">
        <f t="shared" si="13"/>
        <v>#N/A</v>
      </c>
      <c r="V36" s="705" t="s">
        <v>14</v>
      </c>
      <c r="W36" s="706" t="e">
        <f t="shared" si="14"/>
        <v>#N/A</v>
      </c>
      <c r="X36" s="1355"/>
      <c r="Y36" s="374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38"/>
      <c r="Q37" s="1343"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38" t="s">
        <v>1695</v>
      </c>
      <c r="Q38" s="1352" t="str">
        <f t="shared" si="11"/>
        <v>业态</v>
      </c>
      <c r="R38" s="705" t="s">
        <v>14</v>
      </c>
      <c r="S38" s="706">
        <f t="shared" si="12"/>
        <v>100</v>
      </c>
      <c r="T38" s="705" t="s">
        <v>14</v>
      </c>
      <c r="U38" s="706">
        <f t="shared" si="13"/>
        <v>100</v>
      </c>
      <c r="V38" s="705" t="s">
        <v>14</v>
      </c>
      <c r="W38" s="706">
        <f t="shared" si="14"/>
        <v>100</v>
      </c>
      <c r="X38" s="1355"/>
      <c r="Y38" s="374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38"/>
      <c r="Q39" s="1352" t="str">
        <f t="shared" si="11"/>
        <v>层高</v>
      </c>
      <c r="R39" s="705" t="s">
        <v>14</v>
      </c>
      <c r="S39" s="706">
        <f t="shared" si="12"/>
        <v>100</v>
      </c>
      <c r="T39" s="705" t="s">
        <v>14</v>
      </c>
      <c r="U39" s="706">
        <f t="shared" si="13"/>
        <v>100</v>
      </c>
      <c r="V39" s="705" t="s">
        <v>14</v>
      </c>
      <c r="W39" s="706">
        <f t="shared" si="14"/>
        <v>100</v>
      </c>
      <c r="X39" s="1355"/>
      <c r="Y39" s="374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8"/>
      <c r="Q40" s="1352" t="str">
        <f t="shared" si="11"/>
        <v>单套建筑面积</v>
      </c>
      <c r="R40" s="705" t="s">
        <v>14</v>
      </c>
      <c r="S40" s="706">
        <f t="shared" si="12"/>
        <v>100</v>
      </c>
      <c r="T40" s="705" t="s">
        <v>14</v>
      </c>
      <c r="U40" s="706">
        <f t="shared" si="13"/>
        <v>100</v>
      </c>
      <c r="V40" s="705" t="s">
        <v>14</v>
      </c>
      <c r="W40" s="706">
        <f t="shared" si="14"/>
        <v>100</v>
      </c>
      <c r="X40" s="1355"/>
      <c r="Y40" s="374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8"/>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38"/>
      <c r="Q42" s="1352" t="str">
        <f t="shared" si="11"/>
        <v>内部装修</v>
      </c>
      <c r="R42" s="705" t="s">
        <v>14</v>
      </c>
      <c r="S42" s="706">
        <f t="shared" si="12"/>
        <v>100</v>
      </c>
      <c r="T42" s="705" t="s">
        <v>14</v>
      </c>
      <c r="U42" s="706">
        <f t="shared" si="13"/>
        <v>100</v>
      </c>
      <c r="V42" s="705" t="s">
        <v>14</v>
      </c>
      <c r="W42" s="706">
        <f t="shared" si="14"/>
        <v>100</v>
      </c>
      <c r="X42" s="1355"/>
      <c r="Y42" s="374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38"/>
      <c r="Q43" s="1352" t="str">
        <f t="shared" si="11"/>
        <v>内部装修维护情况</v>
      </c>
      <c r="R43" s="705" t="s">
        <v>14</v>
      </c>
      <c r="S43" s="706">
        <f t="shared" si="12"/>
        <v>100</v>
      </c>
      <c r="T43" s="705" t="s">
        <v>14</v>
      </c>
      <c r="U43" s="706">
        <f t="shared" si="13"/>
        <v>100</v>
      </c>
      <c r="V43" s="705" t="s">
        <v>14</v>
      </c>
      <c r="W43" s="706">
        <f t="shared" si="14"/>
        <v>100</v>
      </c>
      <c r="X43" s="1355"/>
      <c r="Y43" s="374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8"/>
      <c r="Q44" s="1343">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8"/>
      <c r="Q45" s="1352">
        <f t="shared" si="11"/>
        <v>111</v>
      </c>
      <c r="R45" s="705" t="s">
        <v>14</v>
      </c>
      <c r="S45" s="706">
        <f t="shared" si="12"/>
        <v>100</v>
      </c>
      <c r="T45" s="705" t="s">
        <v>14</v>
      </c>
      <c r="U45" s="706">
        <f t="shared" si="13"/>
        <v>100</v>
      </c>
      <c r="V45" s="705" t="s">
        <v>14</v>
      </c>
      <c r="W45" s="706">
        <f t="shared" si="14"/>
        <v>100</v>
      </c>
      <c r="X45" s="1355"/>
      <c r="Y45" s="374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33" t="str">
        <f>A47</f>
        <v>成交单价（元/平方米）</v>
      </c>
      <c r="Q47" s="3733"/>
      <c r="R47" s="3728">
        <f>E47</f>
        <v>0</v>
      </c>
      <c r="S47" s="3728"/>
      <c r="T47" s="3728">
        <f>G47</f>
        <v>0</v>
      </c>
      <c r="U47" s="3728"/>
      <c r="V47" s="3728">
        <f>I47</f>
        <v>0</v>
      </c>
      <c r="W47" s="3728"/>
      <c r="X47" s="690"/>
      <c r="Y47" s="712"/>
      <c r="Z47" s="690"/>
      <c r="AA47" s="690"/>
      <c r="AB47" s="690"/>
      <c r="AC47" s="690"/>
    </row>
    <row r="48" spans="1:29" ht="15.75" thickBot="1">
      <c r="A48" s="437" t="s">
        <v>1792</v>
      </c>
      <c r="B48" s="438"/>
      <c r="C48" s="1160" t="e">
        <f>R49</f>
        <v>#DIV/0!</v>
      </c>
      <c r="D48" s="2317" t="s">
        <v>2136</v>
      </c>
      <c r="E48" s="1161" t="e">
        <f>R48</f>
        <v>#DIV/0!</v>
      </c>
      <c r="F48" s="2318"/>
      <c r="G48" s="1160" t="e">
        <f>T48</f>
        <v>#DIV/0!</v>
      </c>
      <c r="H48" s="2318"/>
      <c r="I48" s="1161" t="e">
        <f>V48</f>
        <v>#DIV/0!</v>
      </c>
      <c r="J48" s="2318"/>
      <c r="K48" s="2320">
        <f>F48+H48+J48</f>
        <v>0</v>
      </c>
      <c r="L48" s="2722"/>
      <c r="M48" s="2723"/>
      <c r="N48" s="2714"/>
      <c r="O48" s="2723"/>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受贵公司委托，我公司对贵州省毕节市七星关区市西街道天河社区进行了预评估。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估价对象为贵州省毕节市七星关区市西街道天河社区房地产，为所有。根据《国有土地使用证》[]，估价对象（分摊）出让国有建设用地使用权面积为30070.98平方米，建筑面积为60555.78平方米。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毕节市七星关区市西街道天河社区房地产,属开发建设的，该项目尚在开发建设中。根据《国有土地使用证》[]，估价对象（分摊）出让国有建设用地使用权面积为30070.98平方米，规划建筑面积为60555.78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2023年2月20日（评估专业人员实地查勘之日）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60555.78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16" t="s">
        <v>1769</v>
      </c>
      <c r="D4" s="3717"/>
      <c r="E4" s="3718" t="s">
        <v>1770</v>
      </c>
      <c r="F4" s="3719"/>
      <c r="G4" s="3716" t="s">
        <v>1771</v>
      </c>
      <c r="H4" s="3717"/>
      <c r="I4" s="3716" t="s">
        <v>1772</v>
      </c>
      <c r="J4" s="3717"/>
      <c r="K4" s="559" t="s">
        <v>1773</v>
      </c>
      <c r="L4" s="2713"/>
      <c r="M4" s="2714"/>
      <c r="N4" s="2714"/>
      <c r="O4" s="2714"/>
      <c r="P4" s="3750" t="s">
        <v>1774</v>
      </c>
      <c r="Q4" s="3751"/>
      <c r="R4" s="3745" t="s">
        <v>1770</v>
      </c>
      <c r="S4" s="3746"/>
      <c r="T4" s="3745" t="s">
        <v>1771</v>
      </c>
      <c r="U4" s="3746"/>
      <c r="V4" s="3754" t="s">
        <v>1772</v>
      </c>
      <c r="W4" s="3754"/>
      <c r="X4" s="1958"/>
      <c r="Y4" s="3745" t="s">
        <v>1774</v>
      </c>
      <c r="Z4" s="3746"/>
      <c r="AA4" s="3744" t="s">
        <v>1770</v>
      </c>
      <c r="AB4" s="3744" t="s">
        <v>1771</v>
      </c>
      <c r="AC4" s="3747" t="s">
        <v>1772</v>
      </c>
    </row>
    <row r="5" spans="1:29" ht="15">
      <c r="A5" s="358"/>
      <c r="B5" s="359"/>
      <c r="C5" s="3709" t="s">
        <v>1672</v>
      </c>
      <c r="D5" s="3710"/>
      <c r="E5" s="3707" t="s">
        <v>1673</v>
      </c>
      <c r="F5" s="3708"/>
      <c r="G5" s="3709" t="s">
        <v>1674</v>
      </c>
      <c r="H5" s="3710"/>
      <c r="I5" s="3709" t="s">
        <v>1675</v>
      </c>
      <c r="J5" s="3710"/>
      <c r="K5" s="559"/>
      <c r="L5" s="2713"/>
      <c r="M5" s="2714"/>
      <c r="N5" s="2714"/>
      <c r="O5" s="2714"/>
      <c r="P5" s="3752"/>
      <c r="Q5" s="3723"/>
      <c r="R5" s="3705"/>
      <c r="S5" s="3706"/>
      <c r="T5" s="3705"/>
      <c r="U5" s="3706"/>
      <c r="V5" s="3728"/>
      <c r="W5" s="3728"/>
      <c r="X5" s="1355"/>
      <c r="Y5" s="3705"/>
      <c r="Z5" s="3706"/>
      <c r="AA5" s="3699"/>
      <c r="AB5" s="3699"/>
      <c r="AC5" s="3748"/>
    </row>
    <row r="6" spans="1:29" ht="15.75" thickBot="1">
      <c r="A6" s="360"/>
      <c r="B6" s="361"/>
      <c r="C6" s="3711" t="s">
        <v>1676</v>
      </c>
      <c r="D6" s="3712"/>
      <c r="E6" s="3713" t="s">
        <v>1676</v>
      </c>
      <c r="F6" s="3714"/>
      <c r="G6" s="3711" t="s">
        <v>1676</v>
      </c>
      <c r="H6" s="3712"/>
      <c r="I6" s="3711" t="s">
        <v>1676</v>
      </c>
      <c r="J6" s="3712"/>
      <c r="K6" s="559" t="s">
        <v>1677</v>
      </c>
      <c r="L6" s="2713"/>
      <c r="M6" s="2714"/>
      <c r="N6" s="2714"/>
      <c r="O6" s="2714"/>
      <c r="P6" s="3753"/>
      <c r="Q6" s="3725"/>
      <c r="R6" s="3705"/>
      <c r="S6" s="3706"/>
      <c r="T6" s="3726"/>
      <c r="U6" s="3727"/>
      <c r="V6" s="3728"/>
      <c r="W6" s="3728"/>
      <c r="X6" s="1355"/>
      <c r="Y6" s="3726"/>
      <c r="Z6" s="3727"/>
      <c r="AA6" s="3700"/>
      <c r="AB6" s="3700"/>
      <c r="AC6" s="3749"/>
    </row>
    <row r="7" spans="1:29" s="108" customFormat="1" ht="15.75" thickBot="1">
      <c r="A7" s="362" t="s">
        <v>1678</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5" t="s">
        <v>1679</v>
      </c>
      <c r="Q7" s="3729"/>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5" t="s">
        <v>1682</v>
      </c>
      <c r="Q8" s="3702"/>
      <c r="R8" s="701" t="s">
        <v>14</v>
      </c>
      <c r="S8" s="702">
        <f t="shared" si="0"/>
        <v>100</v>
      </c>
      <c r="T8" s="701" t="s">
        <v>14</v>
      </c>
      <c r="U8" s="702">
        <f t="shared" si="1"/>
        <v>100</v>
      </c>
      <c r="V8" s="701" t="s">
        <v>14</v>
      </c>
      <c r="W8" s="702">
        <f t="shared" si="2"/>
        <v>100</v>
      </c>
      <c r="X8" s="703"/>
      <c r="Y8" s="3701" t="s">
        <v>1682</v>
      </c>
      <c r="Z8" s="370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5" t="s">
        <v>1685</v>
      </c>
      <c r="Q9" s="1343" t="str">
        <f t="shared" ref="Q9:Q15" si="6">B9</f>
        <v>用途</v>
      </c>
      <c r="R9" s="701" t="s">
        <v>14</v>
      </c>
      <c r="S9" s="702">
        <f t="shared" si="0"/>
        <v>100</v>
      </c>
      <c r="T9" s="701" t="s">
        <v>14</v>
      </c>
      <c r="U9" s="702">
        <f t="shared" si="1"/>
        <v>100</v>
      </c>
      <c r="V9" s="701" t="s">
        <v>14</v>
      </c>
      <c r="W9" s="702">
        <f t="shared" si="2"/>
        <v>100</v>
      </c>
      <c r="X9" s="703"/>
      <c r="Y9" s="3645"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5"/>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15"/>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15"/>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15"/>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2" t="s">
        <v>1690</v>
      </c>
      <c r="Q15" s="1352" t="str">
        <f t="shared" si="6"/>
        <v>办公集聚程度</v>
      </c>
      <c r="R15" s="705" t="s">
        <v>14</v>
      </c>
      <c r="S15" s="706">
        <f t="shared" si="0"/>
        <v>100</v>
      </c>
      <c r="T15" s="705" t="s">
        <v>14</v>
      </c>
      <c r="U15" s="706">
        <f t="shared" si="1"/>
        <v>100</v>
      </c>
      <c r="V15" s="705" t="s">
        <v>14</v>
      </c>
      <c r="W15" s="706">
        <f t="shared" si="2"/>
        <v>100</v>
      </c>
      <c r="X15" s="1355"/>
      <c r="Y15" s="373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43"/>
      <c r="Q16" s="1352"/>
      <c r="R16" s="705"/>
      <c r="S16" s="706"/>
      <c r="T16" s="705"/>
      <c r="U16" s="706"/>
      <c r="V16" s="705"/>
      <c r="W16" s="706"/>
      <c r="X16" s="1355"/>
      <c r="Y16" s="3736"/>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43"/>
      <c r="Q18" s="1352"/>
      <c r="R18" s="705"/>
      <c r="S18" s="706"/>
      <c r="T18" s="705"/>
      <c r="U18" s="706"/>
      <c r="V18" s="705"/>
      <c r="W18" s="706"/>
      <c r="X18" s="1355"/>
      <c r="Y18" s="3736"/>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43"/>
      <c r="Q20" s="1352"/>
      <c r="R20" s="705"/>
      <c r="S20" s="706"/>
      <c r="T20" s="705"/>
      <c r="U20" s="706"/>
      <c r="V20" s="705"/>
      <c r="W20" s="706"/>
      <c r="X20" s="1355"/>
      <c r="Y20" s="3736"/>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43"/>
      <c r="Q22" s="1352"/>
      <c r="R22" s="705"/>
      <c r="S22" s="706"/>
      <c r="T22" s="705"/>
      <c r="U22" s="706"/>
      <c r="V22" s="705"/>
      <c r="W22" s="706"/>
      <c r="X22" s="1355"/>
      <c r="Y22" s="3736"/>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3"/>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43"/>
      <c r="Q24" s="1352"/>
      <c r="R24" s="705"/>
      <c r="S24" s="706"/>
      <c r="T24" s="705"/>
      <c r="U24" s="706"/>
      <c r="V24" s="705"/>
      <c r="W24" s="706"/>
      <c r="X24" s="1355"/>
      <c r="Y24" s="373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43"/>
      <c r="Q25" s="1352" t="str">
        <f>B25</f>
        <v>毗邻道路的类型与等级</v>
      </c>
      <c r="R25" s="705" t="s">
        <v>14</v>
      </c>
      <c r="S25" s="706">
        <f>F25</f>
        <v>100</v>
      </c>
      <c r="T25" s="705" t="s">
        <v>14</v>
      </c>
      <c r="U25" s="706">
        <f>H25</f>
        <v>100</v>
      </c>
      <c r="V25" s="705" t="s">
        <v>14</v>
      </c>
      <c r="W25" s="706">
        <f>J25</f>
        <v>100</v>
      </c>
      <c r="X25" s="1355"/>
      <c r="Y25" s="373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43"/>
      <c r="Q26" s="1352"/>
      <c r="R26" s="705"/>
      <c r="S26" s="706"/>
      <c r="T26" s="705"/>
      <c r="U26" s="706"/>
      <c r="V26" s="705"/>
      <c r="W26" s="706"/>
      <c r="X26" s="1355"/>
      <c r="Y26" s="373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3"/>
      <c r="Q27" s="1352" t="str">
        <f t="shared" ref="Q27:Q47" si="11">B27</f>
        <v>楼层</v>
      </c>
      <c r="R27" s="705" t="s">
        <v>14</v>
      </c>
      <c r="S27" s="706">
        <f>F27</f>
        <v>100</v>
      </c>
      <c r="T27" s="705" t="s">
        <v>14</v>
      </c>
      <c r="U27" s="706">
        <f>H27</f>
        <v>100</v>
      </c>
      <c r="V27" s="705" t="s">
        <v>14</v>
      </c>
      <c r="W27" s="706">
        <f>J27</f>
        <v>100</v>
      </c>
      <c r="X27" s="1355"/>
      <c r="Y27" s="373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43"/>
      <c r="Q28" s="1343" t="str">
        <f t="shared" si="11"/>
        <v>朝向</v>
      </c>
      <c r="R28" s="701" t="s">
        <v>14</v>
      </c>
      <c r="S28" s="702">
        <f>F28</f>
        <v>100</v>
      </c>
      <c r="T28" s="701" t="s">
        <v>14</v>
      </c>
      <c r="U28" s="702">
        <f>H28</f>
        <v>100</v>
      </c>
      <c r="V28" s="701" t="s">
        <v>14</v>
      </c>
      <c r="W28" s="702">
        <f>J28</f>
        <v>100</v>
      </c>
      <c r="X28" s="703"/>
      <c r="Y28" s="373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43"/>
      <c r="Q29" s="1352">
        <f t="shared" si="11"/>
        <v>111</v>
      </c>
      <c r="R29" s="705" t="s">
        <v>14</v>
      </c>
      <c r="S29" s="706">
        <f t="shared" ref="S29:S47" si="12">F29</f>
        <v>100</v>
      </c>
      <c r="T29" s="705" t="s">
        <v>14</v>
      </c>
      <c r="U29" s="706">
        <f t="shared" ref="U29:U47" si="13">H29</f>
        <v>100</v>
      </c>
      <c r="V29" s="705" t="s">
        <v>14</v>
      </c>
      <c r="W29" s="706">
        <f t="shared" ref="W29:W47" si="14">J29</f>
        <v>100</v>
      </c>
      <c r="X29" s="1355"/>
      <c r="Y29" s="373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43"/>
      <c r="Q32" s="1352">
        <f t="shared" si="11"/>
        <v>111</v>
      </c>
      <c r="R32" s="705" t="s">
        <v>14</v>
      </c>
      <c r="S32" s="706">
        <f t="shared" si="12"/>
        <v>100</v>
      </c>
      <c r="T32" s="705" t="s">
        <v>14</v>
      </c>
      <c r="U32" s="706">
        <f t="shared" si="13"/>
        <v>100</v>
      </c>
      <c r="V32" s="705" t="s">
        <v>14</v>
      </c>
      <c r="W32" s="706">
        <f t="shared" si="14"/>
        <v>100</v>
      </c>
      <c r="X32" s="1355"/>
      <c r="Y32" s="373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37" t="s">
        <v>1695</v>
      </c>
      <c r="Q33" s="1352" t="str">
        <f t="shared" si="11"/>
        <v>建筑类型</v>
      </c>
      <c r="R33" s="705" t="s">
        <v>14</v>
      </c>
      <c r="S33" s="706">
        <f t="shared" si="12"/>
        <v>100</v>
      </c>
      <c r="T33" s="705" t="s">
        <v>14</v>
      </c>
      <c r="U33" s="706">
        <f t="shared" si="13"/>
        <v>100</v>
      </c>
      <c r="V33" s="705" t="s">
        <v>14</v>
      </c>
      <c r="W33" s="706">
        <f t="shared" si="14"/>
        <v>100</v>
      </c>
      <c r="X33" s="1355"/>
      <c r="Y33" s="374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8"/>
      <c r="Q34" s="707" t="str">
        <f t="shared" si="11"/>
        <v>项目建筑规模</v>
      </c>
      <c r="R34" s="708" t="s">
        <v>14</v>
      </c>
      <c r="S34" s="709" t="e">
        <f t="shared" si="12"/>
        <v>#N/A</v>
      </c>
      <c r="T34" s="708" t="s">
        <v>14</v>
      </c>
      <c r="U34" s="709" t="e">
        <f t="shared" si="13"/>
        <v>#N/A</v>
      </c>
      <c r="V34" s="708" t="s">
        <v>14</v>
      </c>
      <c r="W34" s="709" t="e">
        <f t="shared" si="14"/>
        <v>#N/A</v>
      </c>
      <c r="X34" s="710"/>
      <c r="Y34" s="374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8"/>
      <c r="Q35" s="1352" t="str">
        <f t="shared" si="11"/>
        <v>建筑结构</v>
      </c>
      <c r="R35" s="705" t="s">
        <v>14</v>
      </c>
      <c r="S35" s="706">
        <f t="shared" si="12"/>
        <v>100</v>
      </c>
      <c r="T35" s="705" t="s">
        <v>14</v>
      </c>
      <c r="U35" s="706">
        <f t="shared" si="13"/>
        <v>100</v>
      </c>
      <c r="V35" s="705" t="s">
        <v>14</v>
      </c>
      <c r="W35" s="706">
        <f t="shared" si="14"/>
        <v>100</v>
      </c>
      <c r="X35" s="1355"/>
      <c r="Y35" s="374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8"/>
      <c r="Q36" s="1352" t="str">
        <f t="shared" si="11"/>
        <v>公共部分装修</v>
      </c>
      <c r="R36" s="705" t="s">
        <v>14</v>
      </c>
      <c r="S36" s="706">
        <f t="shared" si="12"/>
        <v>100</v>
      </c>
      <c r="T36" s="705" t="s">
        <v>14</v>
      </c>
      <c r="U36" s="706">
        <f t="shared" si="13"/>
        <v>100</v>
      </c>
      <c r="V36" s="705" t="s">
        <v>14</v>
      </c>
      <c r="W36" s="706">
        <f t="shared" si="14"/>
        <v>100</v>
      </c>
      <c r="X36" s="1355"/>
      <c r="Y36" s="374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8"/>
      <c r="Q37" s="1352" t="str">
        <f t="shared" si="11"/>
        <v>成新度</v>
      </c>
      <c r="R37" s="705" t="s">
        <v>14</v>
      </c>
      <c r="S37" s="706" t="e">
        <f t="shared" si="12"/>
        <v>#N/A</v>
      </c>
      <c r="T37" s="705" t="s">
        <v>14</v>
      </c>
      <c r="U37" s="706" t="e">
        <f t="shared" si="13"/>
        <v>#N/A</v>
      </c>
      <c r="V37" s="705" t="s">
        <v>14</v>
      </c>
      <c r="W37" s="706" t="e">
        <f t="shared" si="14"/>
        <v>#N/A</v>
      </c>
      <c r="X37" s="1355"/>
      <c r="Y37" s="374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8"/>
      <c r="Q38" s="1343" t="str">
        <f t="shared" si="11"/>
        <v>写字楼等级</v>
      </c>
      <c r="R38" s="701" t="s">
        <v>14</v>
      </c>
      <c r="S38" s="702">
        <f t="shared" si="12"/>
        <v>100</v>
      </c>
      <c r="T38" s="701" t="s">
        <v>14</v>
      </c>
      <c r="U38" s="702">
        <f t="shared" si="13"/>
        <v>100</v>
      </c>
      <c r="V38" s="701" t="s">
        <v>14</v>
      </c>
      <c r="W38" s="702">
        <f t="shared" si="14"/>
        <v>100</v>
      </c>
      <c r="X38" s="703"/>
      <c r="Y38" s="374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8" t="s">
        <v>1695</v>
      </c>
      <c r="Q39" s="1352" t="str">
        <f t="shared" si="11"/>
        <v>物业管理</v>
      </c>
      <c r="R39" s="705" t="s">
        <v>14</v>
      </c>
      <c r="S39" s="706">
        <f t="shared" si="12"/>
        <v>100</v>
      </c>
      <c r="T39" s="705" t="s">
        <v>14</v>
      </c>
      <c r="U39" s="706">
        <f t="shared" si="13"/>
        <v>100</v>
      </c>
      <c r="V39" s="705" t="s">
        <v>14</v>
      </c>
      <c r="W39" s="706">
        <f t="shared" si="14"/>
        <v>100</v>
      </c>
      <c r="X39" s="1355"/>
      <c r="Y39" s="374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8"/>
      <c r="Q40" s="1352" t="str">
        <f t="shared" si="11"/>
        <v>市政基础设施</v>
      </c>
      <c r="R40" s="705" t="s">
        <v>14</v>
      </c>
      <c r="S40" s="706">
        <f t="shared" si="12"/>
        <v>100</v>
      </c>
      <c r="T40" s="705" t="s">
        <v>14</v>
      </c>
      <c r="U40" s="706">
        <f t="shared" si="13"/>
        <v>100</v>
      </c>
      <c r="V40" s="705" t="s">
        <v>14</v>
      </c>
      <c r="W40" s="706">
        <f t="shared" si="14"/>
        <v>100</v>
      </c>
      <c r="X40" s="1355"/>
      <c r="Y40" s="374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8"/>
      <c r="Q41" s="1352" t="str">
        <f t="shared" si="11"/>
        <v>层高</v>
      </c>
      <c r="R41" s="705" t="s">
        <v>14</v>
      </c>
      <c r="S41" s="706">
        <f t="shared" si="12"/>
        <v>100</v>
      </c>
      <c r="T41" s="705" t="s">
        <v>14</v>
      </c>
      <c r="U41" s="706">
        <f t="shared" si="13"/>
        <v>100</v>
      </c>
      <c r="V41" s="705" t="s">
        <v>14</v>
      </c>
      <c r="W41" s="706">
        <f t="shared" si="14"/>
        <v>100</v>
      </c>
      <c r="X41" s="1355"/>
      <c r="Y41" s="374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8"/>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8"/>
      <c r="Q43" s="1352" t="str">
        <f t="shared" si="11"/>
        <v>内部装修</v>
      </c>
      <c r="R43" s="705" t="s">
        <v>14</v>
      </c>
      <c r="S43" s="706">
        <f t="shared" si="12"/>
        <v>100</v>
      </c>
      <c r="T43" s="705" t="s">
        <v>14</v>
      </c>
      <c r="U43" s="706">
        <f t="shared" si="13"/>
        <v>100</v>
      </c>
      <c r="V43" s="705" t="s">
        <v>14</v>
      </c>
      <c r="W43" s="706">
        <f t="shared" si="14"/>
        <v>100</v>
      </c>
      <c r="X43" s="1355"/>
      <c r="Y43" s="374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38"/>
      <c r="Q44" s="1352" t="str">
        <f t="shared" si="11"/>
        <v>内部装修维护情况</v>
      </c>
      <c r="R44" s="705" t="s">
        <v>14</v>
      </c>
      <c r="S44" s="706">
        <f t="shared" si="12"/>
        <v>100</v>
      </c>
      <c r="T44" s="705" t="s">
        <v>14</v>
      </c>
      <c r="U44" s="706">
        <f t="shared" si="13"/>
        <v>100</v>
      </c>
      <c r="V44" s="705" t="s">
        <v>14</v>
      </c>
      <c r="W44" s="706">
        <f t="shared" si="14"/>
        <v>100</v>
      </c>
      <c r="X44" s="1355"/>
      <c r="Y44" s="374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8"/>
      <c r="Q45" s="1343">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9"/>
      <c r="Q47" s="1352">
        <f t="shared" si="11"/>
        <v>111</v>
      </c>
      <c r="R47" s="705" t="s">
        <v>14</v>
      </c>
      <c r="S47" s="706">
        <f t="shared" si="12"/>
        <v>100</v>
      </c>
      <c r="T47" s="705" t="s">
        <v>14</v>
      </c>
      <c r="U47" s="706">
        <f t="shared" si="13"/>
        <v>100</v>
      </c>
      <c r="V47" s="705" t="s">
        <v>14</v>
      </c>
      <c r="W47" s="706">
        <f t="shared" si="14"/>
        <v>100</v>
      </c>
      <c r="X47" s="1355"/>
      <c r="Y47" s="374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715" t="str">
        <f>A48</f>
        <v>成交单价（元/平方米）</v>
      </c>
      <c r="Q48" s="3733"/>
      <c r="R48" s="3734">
        <f>E48</f>
        <v>0</v>
      </c>
      <c r="S48" s="3734"/>
      <c r="T48" s="3734">
        <f>G48</f>
        <v>0</v>
      </c>
      <c r="U48" s="3734"/>
      <c r="V48" s="3734">
        <f>I48</f>
        <v>0</v>
      </c>
      <c r="W48" s="3734"/>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15" t="str">
        <f>A49</f>
        <v>比较价值（元/平方米）</v>
      </c>
      <c r="Q49" s="3733"/>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60555.78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913"/>
      <c r="M4" s="914"/>
      <c r="N4" s="914"/>
      <c r="O4" s="914"/>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29" ht="15">
      <c r="A5" s="358"/>
      <c r="B5" s="359"/>
      <c r="C5" s="3709" t="s">
        <v>1672</v>
      </c>
      <c r="D5" s="3710"/>
      <c r="E5" s="3707" t="s">
        <v>1673</v>
      </c>
      <c r="F5" s="3708"/>
      <c r="G5" s="3709" t="s">
        <v>1674</v>
      </c>
      <c r="H5" s="3710"/>
      <c r="I5" s="3709" t="s">
        <v>1675</v>
      </c>
      <c r="J5" s="3710"/>
      <c r="K5" s="559"/>
      <c r="L5" s="913"/>
      <c r="M5" s="914"/>
      <c r="N5" s="914"/>
      <c r="O5" s="914"/>
      <c r="P5" s="3722"/>
      <c r="Q5" s="3723"/>
      <c r="R5" s="3705"/>
      <c r="S5" s="3706"/>
      <c r="T5" s="3705"/>
      <c r="U5" s="3706"/>
      <c r="V5" s="3728"/>
      <c r="W5" s="3728"/>
      <c r="X5" s="1355"/>
      <c r="Y5" s="3705"/>
      <c r="Z5" s="3706"/>
      <c r="AA5" s="3699"/>
      <c r="AB5" s="3699"/>
      <c r="AC5" s="3699"/>
    </row>
    <row r="6" spans="1:29" ht="15.75" thickBot="1">
      <c r="A6" s="360"/>
      <c r="B6" s="361"/>
      <c r="C6" s="3711" t="s">
        <v>1676</v>
      </c>
      <c r="D6" s="3712"/>
      <c r="E6" s="3713" t="s">
        <v>1676</v>
      </c>
      <c r="F6" s="3714"/>
      <c r="G6" s="3711" t="s">
        <v>1676</v>
      </c>
      <c r="H6" s="3712"/>
      <c r="I6" s="3711" t="s">
        <v>1676</v>
      </c>
      <c r="J6" s="3712"/>
      <c r="K6" s="559" t="s">
        <v>1677</v>
      </c>
      <c r="L6" s="913"/>
      <c r="M6" s="914"/>
      <c r="N6" s="914"/>
      <c r="O6" s="914"/>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1679</v>
      </c>
      <c r="Q7" s="3729"/>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1682</v>
      </c>
      <c r="Q8" s="3702"/>
      <c r="R8" s="701" t="s">
        <v>14</v>
      </c>
      <c r="S8" s="702">
        <f t="shared" si="0"/>
        <v>100</v>
      </c>
      <c r="T8" s="701" t="s">
        <v>14</v>
      </c>
      <c r="U8" s="702">
        <f t="shared" si="1"/>
        <v>100</v>
      </c>
      <c r="V8" s="701" t="s">
        <v>14</v>
      </c>
      <c r="W8" s="702">
        <f t="shared" si="2"/>
        <v>100</v>
      </c>
      <c r="X8" s="703"/>
      <c r="Y8" s="3701" t="s">
        <v>1682</v>
      </c>
      <c r="Z8" s="370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3" t="s">
        <v>1685</v>
      </c>
      <c r="Q9" s="1343" t="str">
        <f t="shared" ref="Q9:Q15" si="6">B9</f>
        <v>用途</v>
      </c>
      <c r="R9" s="701" t="s">
        <v>14</v>
      </c>
      <c r="S9" s="702">
        <f t="shared" si="0"/>
        <v>100</v>
      </c>
      <c r="T9" s="701" t="s">
        <v>14</v>
      </c>
      <c r="U9" s="702">
        <f t="shared" si="1"/>
        <v>100</v>
      </c>
      <c r="V9" s="701" t="s">
        <v>14</v>
      </c>
      <c r="W9" s="702">
        <f t="shared" si="2"/>
        <v>100</v>
      </c>
      <c r="X9" s="703"/>
      <c r="Y9" s="3645"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3"/>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3"/>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3"/>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3"/>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3"/>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5" t="s">
        <v>1690</v>
      </c>
      <c r="Q15" s="1352" t="str">
        <f t="shared" si="6"/>
        <v>产业集聚程度</v>
      </c>
      <c r="R15" s="705" t="s">
        <v>14</v>
      </c>
      <c r="S15" s="706">
        <f t="shared" si="0"/>
        <v>100</v>
      </c>
      <c r="T15" s="705" t="s">
        <v>14</v>
      </c>
      <c r="U15" s="706">
        <f t="shared" si="1"/>
        <v>100</v>
      </c>
      <c r="V15" s="705" t="s">
        <v>14</v>
      </c>
      <c r="W15" s="706">
        <f t="shared" si="2"/>
        <v>100</v>
      </c>
      <c r="X15" s="1355"/>
      <c r="Y15" s="373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6"/>
      <c r="Q16" s="1352"/>
      <c r="R16" s="705"/>
      <c r="S16" s="706"/>
      <c r="T16" s="705"/>
      <c r="U16" s="706"/>
      <c r="V16" s="705"/>
      <c r="W16" s="706"/>
      <c r="X16" s="1355"/>
      <c r="Y16" s="373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6"/>
      <c r="Q18" s="1352"/>
      <c r="R18" s="705"/>
      <c r="S18" s="706"/>
      <c r="T18" s="705"/>
      <c r="U18" s="706"/>
      <c r="V18" s="705"/>
      <c r="W18" s="706"/>
      <c r="X18" s="1355"/>
      <c r="Y18" s="373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6"/>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6"/>
      <c r="Q20" s="1352"/>
      <c r="R20" s="705"/>
      <c r="S20" s="706"/>
      <c r="T20" s="705"/>
      <c r="U20" s="706"/>
      <c r="V20" s="705"/>
      <c r="W20" s="706"/>
      <c r="X20" s="1355"/>
      <c r="Y20" s="373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6"/>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6"/>
      <c r="Q22" s="1352"/>
      <c r="R22" s="705"/>
      <c r="S22" s="706"/>
      <c r="T22" s="705"/>
      <c r="U22" s="706"/>
      <c r="V22" s="705"/>
      <c r="W22" s="706"/>
      <c r="X22" s="1355"/>
      <c r="Y22" s="373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6"/>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6"/>
      <c r="Q24" s="1352"/>
      <c r="R24" s="705"/>
      <c r="S24" s="706"/>
      <c r="T24" s="705"/>
      <c r="U24" s="706"/>
      <c r="V24" s="705"/>
      <c r="W24" s="706"/>
      <c r="X24" s="1355"/>
      <c r="Y24" s="373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6"/>
      <c r="Q25" s="1352">
        <f>B25</f>
        <v>111</v>
      </c>
      <c r="R25" s="705" t="s">
        <v>14</v>
      </c>
      <c r="S25" s="706">
        <f>F25</f>
        <v>100</v>
      </c>
      <c r="T25" s="705" t="s">
        <v>14</v>
      </c>
      <c r="U25" s="706">
        <f>H25</f>
        <v>100</v>
      </c>
      <c r="V25" s="705" t="s">
        <v>14</v>
      </c>
      <c r="W25" s="706">
        <f>J25</f>
        <v>100</v>
      </c>
      <c r="X25" s="1355"/>
      <c r="Y25" s="373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6"/>
      <c r="Q26" s="1352">
        <f t="shared" ref="Q26:Q40" si="11">B26</f>
        <v>111</v>
      </c>
      <c r="R26" s="705" t="s">
        <v>14</v>
      </c>
      <c r="S26" s="706">
        <f>F26</f>
        <v>100</v>
      </c>
      <c r="T26" s="705" t="s">
        <v>14</v>
      </c>
      <c r="U26" s="706">
        <f>H26</f>
        <v>100</v>
      </c>
      <c r="V26" s="705" t="s">
        <v>14</v>
      </c>
      <c r="W26" s="706">
        <f>J26</f>
        <v>100</v>
      </c>
      <c r="X26" s="1355"/>
      <c r="Y26" s="373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6"/>
      <c r="Q27" s="1343">
        <f t="shared" si="11"/>
        <v>111</v>
      </c>
      <c r="R27" s="701" t="s">
        <v>14</v>
      </c>
      <c r="S27" s="702">
        <f>F27</f>
        <v>100</v>
      </c>
      <c r="T27" s="701" t="s">
        <v>14</v>
      </c>
      <c r="U27" s="702">
        <f>H27</f>
        <v>100</v>
      </c>
      <c r="V27" s="701" t="s">
        <v>14</v>
      </c>
      <c r="W27" s="702">
        <f>J27</f>
        <v>100</v>
      </c>
      <c r="X27" s="703"/>
      <c r="Y27" s="373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6"/>
      <c r="Q28" s="1352">
        <f t="shared" si="11"/>
        <v>111</v>
      </c>
      <c r="R28" s="705" t="s">
        <v>14</v>
      </c>
      <c r="S28" s="706">
        <f t="shared" ref="S28:S40" si="12">F28</f>
        <v>100</v>
      </c>
      <c r="T28" s="705" t="s">
        <v>14</v>
      </c>
      <c r="U28" s="706">
        <f t="shared" ref="U28:U40" si="13">H28</f>
        <v>100</v>
      </c>
      <c r="V28" s="705" t="s">
        <v>14</v>
      </c>
      <c r="W28" s="706">
        <f t="shared" ref="W28:W40" si="14">J28</f>
        <v>100</v>
      </c>
      <c r="X28" s="1355"/>
      <c r="Y28" s="373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1695</v>
      </c>
      <c r="Q29" s="1352" t="str">
        <f t="shared" si="11"/>
        <v>建筑类型</v>
      </c>
      <c r="R29" s="705" t="s">
        <v>14</v>
      </c>
      <c r="S29" s="706">
        <f t="shared" si="12"/>
        <v>100</v>
      </c>
      <c r="T29" s="705" t="s">
        <v>14</v>
      </c>
      <c r="U29" s="706">
        <f t="shared" si="13"/>
        <v>100</v>
      </c>
      <c r="V29" s="705" t="s">
        <v>14</v>
      </c>
      <c r="W29" s="706">
        <f t="shared" si="14"/>
        <v>100</v>
      </c>
      <c r="X29" s="1355"/>
      <c r="Y29" s="374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0"/>
      <c r="Q30" s="707" t="str">
        <f t="shared" si="11"/>
        <v>项目建筑规模</v>
      </c>
      <c r="R30" s="708" t="s">
        <v>14</v>
      </c>
      <c r="S30" s="709" t="e">
        <f t="shared" si="12"/>
        <v>#N/A</v>
      </c>
      <c r="T30" s="708" t="s">
        <v>14</v>
      </c>
      <c r="U30" s="709" t="e">
        <f t="shared" si="13"/>
        <v>#N/A</v>
      </c>
      <c r="V30" s="708" t="s">
        <v>14</v>
      </c>
      <c r="W30" s="709" t="e">
        <f t="shared" si="14"/>
        <v>#N/A</v>
      </c>
      <c r="X30" s="710"/>
      <c r="Y30" s="374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0"/>
      <c r="Q31" s="1352" t="str">
        <f t="shared" si="11"/>
        <v>建筑结构</v>
      </c>
      <c r="R31" s="705" t="s">
        <v>14</v>
      </c>
      <c r="S31" s="706">
        <f t="shared" si="12"/>
        <v>100</v>
      </c>
      <c r="T31" s="705" t="s">
        <v>14</v>
      </c>
      <c r="U31" s="706">
        <f t="shared" si="13"/>
        <v>100</v>
      </c>
      <c r="V31" s="705" t="s">
        <v>14</v>
      </c>
      <c r="W31" s="706">
        <f t="shared" si="14"/>
        <v>100</v>
      </c>
      <c r="X31" s="1355"/>
      <c r="Y31" s="374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0"/>
      <c r="Q32" s="1352" t="str">
        <f t="shared" si="11"/>
        <v>公共部分装修</v>
      </c>
      <c r="R32" s="705" t="s">
        <v>14</v>
      </c>
      <c r="S32" s="706">
        <f t="shared" si="12"/>
        <v>100</v>
      </c>
      <c r="T32" s="705" t="s">
        <v>14</v>
      </c>
      <c r="U32" s="706">
        <f t="shared" si="13"/>
        <v>100</v>
      </c>
      <c r="V32" s="705" t="s">
        <v>14</v>
      </c>
      <c r="W32" s="706">
        <f t="shared" si="14"/>
        <v>100</v>
      </c>
      <c r="X32" s="1355"/>
      <c r="Y32" s="374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0"/>
      <c r="Q33" s="1352" t="str">
        <f t="shared" si="11"/>
        <v>成新度</v>
      </c>
      <c r="R33" s="705" t="s">
        <v>14</v>
      </c>
      <c r="S33" s="706" t="e">
        <f t="shared" si="12"/>
        <v>#N/A</v>
      </c>
      <c r="T33" s="705" t="s">
        <v>14</v>
      </c>
      <c r="U33" s="706" t="e">
        <f t="shared" si="13"/>
        <v>#N/A</v>
      </c>
      <c r="V33" s="705" t="s">
        <v>14</v>
      </c>
      <c r="W33" s="706" t="e">
        <f t="shared" si="14"/>
        <v>#N/A</v>
      </c>
      <c r="X33" s="1355"/>
      <c r="Y33" s="374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0"/>
      <c r="Q34" s="1343"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0" t="s">
        <v>1695</v>
      </c>
      <c r="Q35" s="1352" t="str">
        <f t="shared" si="11"/>
        <v>市政基础设施</v>
      </c>
      <c r="R35" s="705" t="s">
        <v>14</v>
      </c>
      <c r="S35" s="706">
        <f t="shared" si="12"/>
        <v>100</v>
      </c>
      <c r="T35" s="705" t="s">
        <v>14</v>
      </c>
      <c r="U35" s="706">
        <f t="shared" si="13"/>
        <v>100</v>
      </c>
      <c r="V35" s="705" t="s">
        <v>14</v>
      </c>
      <c r="W35" s="706">
        <f t="shared" si="14"/>
        <v>100</v>
      </c>
      <c r="X35" s="1355"/>
      <c r="Y35" s="374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0"/>
      <c r="Q36" s="1352" t="str">
        <f t="shared" si="11"/>
        <v>内部装修</v>
      </c>
      <c r="R36" s="705" t="s">
        <v>14</v>
      </c>
      <c r="S36" s="706">
        <f t="shared" si="12"/>
        <v>100</v>
      </c>
      <c r="T36" s="705" t="s">
        <v>14</v>
      </c>
      <c r="U36" s="706">
        <f t="shared" si="13"/>
        <v>100</v>
      </c>
      <c r="V36" s="705" t="s">
        <v>14</v>
      </c>
      <c r="W36" s="706">
        <f t="shared" si="14"/>
        <v>100</v>
      </c>
      <c r="X36" s="1355"/>
      <c r="Y36" s="374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0"/>
      <c r="Q37" s="1352" t="str">
        <f t="shared" si="11"/>
        <v>内部装修状况</v>
      </c>
      <c r="R37" s="705" t="s">
        <v>14</v>
      </c>
      <c r="S37" s="706">
        <f t="shared" si="12"/>
        <v>100</v>
      </c>
      <c r="T37" s="705" t="s">
        <v>14</v>
      </c>
      <c r="U37" s="706">
        <f t="shared" si="13"/>
        <v>100</v>
      </c>
      <c r="V37" s="705" t="s">
        <v>14</v>
      </c>
      <c r="W37" s="706">
        <f t="shared" si="14"/>
        <v>100</v>
      </c>
      <c r="X37" s="1355"/>
      <c r="Y37" s="374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52">
        <f t="shared" si="11"/>
        <v>111</v>
      </c>
      <c r="R39" s="705" t="s">
        <v>14</v>
      </c>
      <c r="S39" s="706">
        <f t="shared" si="12"/>
        <v>100</v>
      </c>
      <c r="T39" s="705" t="s">
        <v>14</v>
      </c>
      <c r="U39" s="706">
        <f t="shared" si="13"/>
        <v>100</v>
      </c>
      <c r="V39" s="705" t="s">
        <v>14</v>
      </c>
      <c r="W39" s="706">
        <f t="shared" si="14"/>
        <v>100</v>
      </c>
      <c r="X39" s="1355"/>
      <c r="Y39" s="374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1"/>
      <c r="Q40" s="1352">
        <f t="shared" si="11"/>
        <v>111</v>
      </c>
      <c r="R40" s="705" t="s">
        <v>14</v>
      </c>
      <c r="S40" s="706">
        <f t="shared" si="12"/>
        <v>100</v>
      </c>
      <c r="T40" s="705" t="s">
        <v>14</v>
      </c>
      <c r="U40" s="706">
        <f t="shared" si="13"/>
        <v>100</v>
      </c>
      <c r="V40" s="705" t="s">
        <v>14</v>
      </c>
      <c r="W40" s="706">
        <f t="shared" si="14"/>
        <v>100</v>
      </c>
      <c r="X40" s="1355"/>
      <c r="Y40" s="374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33" t="str">
        <f>A41</f>
        <v>成交单价（元/平方米）</v>
      </c>
      <c r="Q41" s="3733"/>
      <c r="R41" s="3734">
        <f>E41</f>
        <v>0</v>
      </c>
      <c r="S41" s="3734"/>
      <c r="T41" s="3734">
        <f>G41</f>
        <v>0</v>
      </c>
      <c r="U41" s="3734"/>
      <c r="V41" s="3734">
        <f>I41</f>
        <v>0</v>
      </c>
      <c r="W41" s="3734"/>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2713"/>
      <c r="M4" s="2714"/>
      <c r="N4" s="2714"/>
      <c r="O4" s="2714"/>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29" ht="15">
      <c r="A5" s="358"/>
      <c r="B5" s="359"/>
      <c r="C5" s="3709" t="s">
        <v>1672</v>
      </c>
      <c r="D5" s="3710"/>
      <c r="E5" s="3707" t="s">
        <v>1673</v>
      </c>
      <c r="F5" s="3708"/>
      <c r="G5" s="3709" t="s">
        <v>1674</v>
      </c>
      <c r="H5" s="3710"/>
      <c r="I5" s="3709" t="s">
        <v>1675</v>
      </c>
      <c r="J5" s="3710"/>
      <c r="K5" s="559"/>
      <c r="L5" s="2713"/>
      <c r="M5" s="2714"/>
      <c r="N5" s="2714"/>
      <c r="O5" s="2714"/>
      <c r="P5" s="3722"/>
      <c r="Q5" s="3723"/>
      <c r="R5" s="3705"/>
      <c r="S5" s="3706"/>
      <c r="T5" s="3705"/>
      <c r="U5" s="3706"/>
      <c r="V5" s="3728"/>
      <c r="W5" s="3728"/>
      <c r="X5" s="1355"/>
      <c r="Y5" s="3705"/>
      <c r="Z5" s="3706"/>
      <c r="AA5" s="3699"/>
      <c r="AB5" s="3699"/>
      <c r="AC5" s="3699"/>
    </row>
    <row r="6" spans="1:29" ht="15.75" thickBot="1">
      <c r="A6" s="360"/>
      <c r="B6" s="361"/>
      <c r="C6" s="3711" t="s">
        <v>1676</v>
      </c>
      <c r="D6" s="3712"/>
      <c r="E6" s="3713" t="s">
        <v>1676</v>
      </c>
      <c r="F6" s="3714"/>
      <c r="G6" s="3711" t="s">
        <v>1676</v>
      </c>
      <c r="H6" s="3712"/>
      <c r="I6" s="3711" t="s">
        <v>1676</v>
      </c>
      <c r="J6" s="3712"/>
      <c r="K6" s="559" t="s">
        <v>1677</v>
      </c>
      <c r="L6" s="2713"/>
      <c r="M6" s="2714"/>
      <c r="N6" s="2714"/>
      <c r="O6" s="2714"/>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1679</v>
      </c>
      <c r="Q7" s="3729"/>
      <c r="R7" s="701" t="s">
        <v>14</v>
      </c>
      <c r="S7" s="702">
        <f t="shared" ref="S7:S14" si="0">F7</f>
        <v>0</v>
      </c>
      <c r="T7" s="701" t="s">
        <v>14</v>
      </c>
      <c r="U7" s="702">
        <f t="shared" ref="U7:U14" si="1">H7</f>
        <v>0</v>
      </c>
      <c r="V7" s="701" t="s">
        <v>14</v>
      </c>
      <c r="W7" s="702">
        <f t="shared" ref="W7:W14"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1682</v>
      </c>
      <c r="Q8" s="3702"/>
      <c r="R8" s="701" t="s">
        <v>14</v>
      </c>
      <c r="S8" s="702">
        <f t="shared" si="0"/>
        <v>100</v>
      </c>
      <c r="T8" s="701" t="s">
        <v>14</v>
      </c>
      <c r="U8" s="702">
        <f t="shared" si="1"/>
        <v>100</v>
      </c>
      <c r="V8" s="701" t="s">
        <v>14</v>
      </c>
      <c r="W8" s="702">
        <f t="shared" si="2"/>
        <v>100</v>
      </c>
      <c r="X8" s="703"/>
      <c r="Y8" s="3701" t="s">
        <v>1682</v>
      </c>
      <c r="Z8" s="370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3" t="s">
        <v>1685</v>
      </c>
      <c r="Q9" s="1343" t="str">
        <f t="shared" ref="Q9:Q14" si="6">B9</f>
        <v>用途</v>
      </c>
      <c r="R9" s="701" t="s">
        <v>14</v>
      </c>
      <c r="S9" s="702">
        <f t="shared" si="0"/>
        <v>100</v>
      </c>
      <c r="T9" s="701" t="s">
        <v>14</v>
      </c>
      <c r="U9" s="702">
        <f t="shared" si="1"/>
        <v>100</v>
      </c>
      <c r="V9" s="701" t="s">
        <v>14</v>
      </c>
      <c r="W9" s="702">
        <f t="shared" si="2"/>
        <v>100</v>
      </c>
      <c r="X9" s="703"/>
      <c r="Y9" s="3645"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3"/>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3"/>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3"/>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5" t="s">
        <v>1690</v>
      </c>
      <c r="Q14" s="1352" t="str">
        <f t="shared" si="6"/>
        <v>交通便捷度</v>
      </c>
      <c r="R14" s="705" t="s">
        <v>14</v>
      </c>
      <c r="S14" s="706">
        <f t="shared" si="0"/>
        <v>100</v>
      </c>
      <c r="T14" s="705" t="s">
        <v>14</v>
      </c>
      <c r="U14" s="706">
        <f t="shared" si="1"/>
        <v>100</v>
      </c>
      <c r="V14" s="705" t="s">
        <v>14</v>
      </c>
      <c r="W14" s="706">
        <f t="shared" si="2"/>
        <v>100</v>
      </c>
      <c r="X14" s="1355"/>
      <c r="Y14" s="373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36"/>
      <c r="Q15" s="1352"/>
      <c r="R15" s="705"/>
      <c r="S15" s="706"/>
      <c r="T15" s="705"/>
      <c r="U15" s="706"/>
      <c r="V15" s="705"/>
      <c r="W15" s="706"/>
      <c r="X15" s="1355"/>
      <c r="Y15" s="3736"/>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36"/>
      <c r="Q17" s="1352"/>
      <c r="R17" s="705"/>
      <c r="S17" s="706"/>
      <c r="T17" s="705"/>
      <c r="U17" s="706"/>
      <c r="V17" s="705"/>
      <c r="W17" s="706"/>
      <c r="X17" s="1355"/>
      <c r="Y17" s="3736"/>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36"/>
      <c r="Q19" s="1352"/>
      <c r="R19" s="705"/>
      <c r="S19" s="706"/>
      <c r="T19" s="705"/>
      <c r="U19" s="706"/>
      <c r="V19" s="705"/>
      <c r="W19" s="706"/>
      <c r="X19" s="1355"/>
      <c r="Y19" s="3736"/>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36"/>
      <c r="Q21" s="1352"/>
      <c r="R21" s="705"/>
      <c r="S21" s="706"/>
      <c r="T21" s="705"/>
      <c r="U21" s="706"/>
      <c r="V21" s="705"/>
      <c r="W21" s="706"/>
      <c r="X21" s="1355"/>
      <c r="Y21" s="373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6"/>
      <c r="Q24" s="1352">
        <f t="shared" ref="Q24:Q36"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40"/>
      <c r="Q28" s="1352" t="str">
        <f t="shared" si="11"/>
        <v>公共部分装修</v>
      </c>
      <c r="R28" s="705" t="s">
        <v>14</v>
      </c>
      <c r="S28" s="706">
        <f t="shared" si="12"/>
        <v>100</v>
      </c>
      <c r="T28" s="705" t="s">
        <v>14</v>
      </c>
      <c r="U28" s="706">
        <f t="shared" si="13"/>
        <v>100</v>
      </c>
      <c r="V28" s="705" t="s">
        <v>14</v>
      </c>
      <c r="W28" s="706">
        <f t="shared" si="14"/>
        <v>100</v>
      </c>
      <c r="X28" s="1355"/>
      <c r="Y28" s="374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40"/>
      <c r="Q29" s="1352" t="str">
        <f t="shared" si="11"/>
        <v>成新率</v>
      </c>
      <c r="R29" s="705" t="s">
        <v>14</v>
      </c>
      <c r="S29" s="706" t="e">
        <f t="shared" si="12"/>
        <v>#N/A</v>
      </c>
      <c r="T29" s="705" t="s">
        <v>14</v>
      </c>
      <c r="U29" s="706" t="e">
        <f t="shared" si="13"/>
        <v>#N/A</v>
      </c>
      <c r="V29" s="705" t="s">
        <v>14</v>
      </c>
      <c r="W29" s="706" t="e">
        <f t="shared" si="14"/>
        <v>#N/A</v>
      </c>
      <c r="X29" s="1355"/>
      <c r="Y29" s="374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40"/>
      <c r="Q30" s="1352" t="str">
        <f t="shared" si="11"/>
        <v>物业等级</v>
      </c>
      <c r="R30" s="705" t="s">
        <v>14</v>
      </c>
      <c r="S30" s="706">
        <f t="shared" si="12"/>
        <v>100</v>
      </c>
      <c r="T30" s="705" t="s">
        <v>14</v>
      </c>
      <c r="U30" s="706">
        <f t="shared" si="13"/>
        <v>100</v>
      </c>
      <c r="V30" s="705" t="s">
        <v>14</v>
      </c>
      <c r="W30" s="706">
        <f t="shared" si="14"/>
        <v>100</v>
      </c>
      <c r="X30" s="1355"/>
      <c r="Y30" s="374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40"/>
      <c r="Q31" s="1343"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40" t="s">
        <v>1695</v>
      </c>
      <c r="Q32" s="1352" t="str">
        <f t="shared" si="11"/>
        <v>车位类型</v>
      </c>
      <c r="R32" s="705" t="s">
        <v>14</v>
      </c>
      <c r="S32" s="706">
        <f t="shared" si="12"/>
        <v>100</v>
      </c>
      <c r="T32" s="705" t="s">
        <v>14</v>
      </c>
      <c r="U32" s="706">
        <f t="shared" si="13"/>
        <v>100</v>
      </c>
      <c r="V32" s="705" t="s">
        <v>14</v>
      </c>
      <c r="W32" s="706">
        <f t="shared" si="14"/>
        <v>100</v>
      </c>
      <c r="X32" s="1355"/>
      <c r="Y32" s="374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40"/>
      <c r="Q33" s="1352" t="str">
        <f t="shared" si="11"/>
        <v>是否直接入户</v>
      </c>
      <c r="R33" s="705" t="s">
        <v>14</v>
      </c>
      <c r="S33" s="706">
        <f t="shared" si="12"/>
        <v>100</v>
      </c>
      <c r="T33" s="705" t="s">
        <v>14</v>
      </c>
      <c r="U33" s="706">
        <f t="shared" si="13"/>
        <v>100</v>
      </c>
      <c r="V33" s="705" t="s">
        <v>14</v>
      </c>
      <c r="W33" s="706">
        <f t="shared" si="14"/>
        <v>100</v>
      </c>
      <c r="X33" s="1355"/>
      <c r="Y33" s="374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40"/>
      <c r="Q36" s="1352">
        <f t="shared" si="11"/>
        <v>111</v>
      </c>
      <c r="R36" s="705" t="s">
        <v>14</v>
      </c>
      <c r="S36" s="706">
        <f t="shared" si="12"/>
        <v>100</v>
      </c>
      <c r="T36" s="705" t="s">
        <v>14</v>
      </c>
      <c r="U36" s="706">
        <f t="shared" si="13"/>
        <v>100</v>
      </c>
      <c r="V36" s="705" t="s">
        <v>14</v>
      </c>
      <c r="W36" s="706">
        <f t="shared" si="14"/>
        <v>100</v>
      </c>
      <c r="X36" s="1355"/>
      <c r="Y36" s="3740"/>
      <c r="Z36" s="1356">
        <f t="shared" si="15"/>
        <v>111</v>
      </c>
      <c r="AA36" s="1353">
        <f t="shared" si="3"/>
        <v>1</v>
      </c>
      <c r="AB36" s="1353">
        <f t="shared" si="4"/>
        <v>1</v>
      </c>
      <c r="AC36" s="1353">
        <f t="shared" si="5"/>
        <v>1</v>
      </c>
    </row>
    <row r="37" spans="1:29" ht="15">
      <c r="A37" s="430" t="s">
        <v>1843</v>
      </c>
      <c r="B37" s="1973" t="s">
        <v>3359</v>
      </c>
      <c r="C37" s="1154" t="s">
        <v>0</v>
      </c>
      <c r="D37" s="1155"/>
      <c r="E37" s="1156"/>
      <c r="F37" s="1157"/>
      <c r="G37" s="1158"/>
      <c r="H37" s="1159"/>
      <c r="I37" s="1156"/>
      <c r="J37" s="1159"/>
      <c r="K37" s="568"/>
      <c r="L37" s="2722"/>
      <c r="M37" s="2723"/>
      <c r="N37" s="2714"/>
      <c r="O37" s="2723"/>
      <c r="P37" s="3733" t="str">
        <f>A37</f>
        <v>成交单价</v>
      </c>
      <c r="Q37" s="3733"/>
      <c r="R37" s="3734">
        <f>E37</f>
        <v>0</v>
      </c>
      <c r="S37" s="3734"/>
      <c r="T37" s="3734">
        <f>G37</f>
        <v>0</v>
      </c>
      <c r="U37" s="3734"/>
      <c r="V37" s="3734">
        <f>I37</f>
        <v>0</v>
      </c>
      <c r="W37" s="3734"/>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30" t="str">
        <f>A39</f>
        <v>估价对象XX用房的比较价值（楼面单价，元/平方米）</v>
      </c>
      <c r="Q39" s="3731"/>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2713"/>
      <c r="M4" s="2714"/>
      <c r="N4" s="2714"/>
      <c r="O4" s="2714"/>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29" ht="15">
      <c r="A5" s="358"/>
      <c r="B5" s="359"/>
      <c r="C5" s="3709" t="s">
        <v>1672</v>
      </c>
      <c r="D5" s="3710"/>
      <c r="E5" s="3707" t="s">
        <v>1673</v>
      </c>
      <c r="F5" s="3708"/>
      <c r="G5" s="3709" t="s">
        <v>1674</v>
      </c>
      <c r="H5" s="3710"/>
      <c r="I5" s="3709" t="s">
        <v>1675</v>
      </c>
      <c r="J5" s="3710"/>
      <c r="K5" s="559"/>
      <c r="L5" s="2713"/>
      <c r="M5" s="2714"/>
      <c r="N5" s="2714"/>
      <c r="O5" s="2714"/>
      <c r="P5" s="3722"/>
      <c r="Q5" s="3723"/>
      <c r="R5" s="3705"/>
      <c r="S5" s="3706"/>
      <c r="T5" s="3705"/>
      <c r="U5" s="3706"/>
      <c r="V5" s="3728"/>
      <c r="W5" s="3728"/>
      <c r="X5" s="1355"/>
      <c r="Y5" s="3705"/>
      <c r="Z5" s="3706"/>
      <c r="AA5" s="3699"/>
      <c r="AB5" s="3699"/>
      <c r="AC5" s="3699"/>
    </row>
    <row r="6" spans="1:29" ht="15.75" thickBot="1">
      <c r="A6" s="360"/>
      <c r="B6" s="361"/>
      <c r="C6" s="3711" t="s">
        <v>1676</v>
      </c>
      <c r="D6" s="3712"/>
      <c r="E6" s="3713" t="s">
        <v>1676</v>
      </c>
      <c r="F6" s="3714"/>
      <c r="G6" s="3711" t="s">
        <v>1676</v>
      </c>
      <c r="H6" s="3712"/>
      <c r="I6" s="3711" t="s">
        <v>1676</v>
      </c>
      <c r="J6" s="3712"/>
      <c r="K6" s="559" t="s">
        <v>1677</v>
      </c>
      <c r="L6" s="2713"/>
      <c r="M6" s="2714"/>
      <c r="N6" s="2714"/>
      <c r="O6" s="2714"/>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44977</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1" t="s">
        <v>1679</v>
      </c>
      <c r="Q7" s="3729"/>
      <c r="R7" s="701" t="s">
        <v>14</v>
      </c>
      <c r="S7" s="702">
        <f t="shared" ref="S7:S14" si="0">F7</f>
        <v>0</v>
      </c>
      <c r="T7" s="701" t="s">
        <v>14</v>
      </c>
      <c r="U7" s="702">
        <f t="shared" ref="U7:U14" si="1">H7</f>
        <v>0</v>
      </c>
      <c r="V7" s="701" t="s">
        <v>14</v>
      </c>
      <c r="W7" s="702">
        <f t="shared" ref="W7:W14" si="2">J7</f>
        <v>0</v>
      </c>
      <c r="X7" s="703"/>
      <c r="Y7" s="3701" t="s">
        <v>1679</v>
      </c>
      <c r="Z7" s="370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1682</v>
      </c>
      <c r="Q8" s="3702"/>
      <c r="R8" s="701" t="s">
        <v>14</v>
      </c>
      <c r="S8" s="702">
        <f t="shared" si="0"/>
        <v>100</v>
      </c>
      <c r="T8" s="701" t="s">
        <v>14</v>
      </c>
      <c r="U8" s="702">
        <f t="shared" si="1"/>
        <v>100</v>
      </c>
      <c r="V8" s="701" t="s">
        <v>14</v>
      </c>
      <c r="W8" s="702">
        <f t="shared" si="2"/>
        <v>100</v>
      </c>
      <c r="X8" s="703"/>
      <c r="Y8" s="3701" t="s">
        <v>1682</v>
      </c>
      <c r="Z8" s="370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3" t="s">
        <v>1685</v>
      </c>
      <c r="Q9" s="1343" t="str">
        <f t="shared" ref="Q9:Q14" si="6">B9</f>
        <v>用途</v>
      </c>
      <c r="R9" s="701" t="s">
        <v>14</v>
      </c>
      <c r="S9" s="702">
        <f t="shared" si="0"/>
        <v>100</v>
      </c>
      <c r="T9" s="701" t="s">
        <v>14</v>
      </c>
      <c r="U9" s="702">
        <f t="shared" si="1"/>
        <v>100</v>
      </c>
      <c r="V9" s="701" t="s">
        <v>14</v>
      </c>
      <c r="W9" s="702">
        <f t="shared" si="2"/>
        <v>100</v>
      </c>
      <c r="X9" s="703"/>
      <c r="Y9" s="3645"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3"/>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3"/>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3"/>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33"/>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5" t="s">
        <v>1690</v>
      </c>
      <c r="Q14" s="1352" t="str">
        <f t="shared" si="6"/>
        <v>交通便捷度</v>
      </c>
      <c r="R14" s="705" t="s">
        <v>14</v>
      </c>
      <c r="S14" s="706">
        <f t="shared" si="0"/>
        <v>100</v>
      </c>
      <c r="T14" s="705" t="s">
        <v>14</v>
      </c>
      <c r="U14" s="706">
        <f t="shared" si="1"/>
        <v>100</v>
      </c>
      <c r="V14" s="705" t="s">
        <v>14</v>
      </c>
      <c r="W14" s="706">
        <f t="shared" si="2"/>
        <v>100</v>
      </c>
      <c r="X14" s="1355"/>
      <c r="Y14" s="373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36"/>
      <c r="Q15" s="1352"/>
      <c r="R15" s="705"/>
      <c r="S15" s="706"/>
      <c r="T15" s="705"/>
      <c r="U15" s="706"/>
      <c r="V15" s="705"/>
      <c r="W15" s="706"/>
      <c r="X15" s="1355"/>
      <c r="Y15" s="3736"/>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36"/>
      <c r="Q17" s="1352"/>
      <c r="R17" s="705"/>
      <c r="S17" s="706"/>
      <c r="T17" s="705"/>
      <c r="U17" s="706"/>
      <c r="V17" s="705"/>
      <c r="W17" s="706"/>
      <c r="X17" s="1355"/>
      <c r="Y17" s="3736"/>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36"/>
      <c r="Q19" s="1352"/>
      <c r="R19" s="705"/>
      <c r="S19" s="706"/>
      <c r="T19" s="705"/>
      <c r="U19" s="706"/>
      <c r="V19" s="705"/>
      <c r="W19" s="706"/>
      <c r="X19" s="1355"/>
      <c r="Y19" s="3736"/>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36"/>
      <c r="Q21" s="1352"/>
      <c r="R21" s="705"/>
      <c r="S21" s="706"/>
      <c r="T21" s="705"/>
      <c r="U21" s="706"/>
      <c r="V21" s="705"/>
      <c r="W21" s="706"/>
      <c r="X21" s="1355"/>
      <c r="Y21" s="373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6"/>
      <c r="Q24" s="1352">
        <f t="shared" ref="Q24:Q34"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40"/>
      <c r="Q28" s="1352" t="str">
        <f t="shared" si="11"/>
        <v>物业等级</v>
      </c>
      <c r="R28" s="705" t="s">
        <v>14</v>
      </c>
      <c r="S28" s="706">
        <f t="shared" si="12"/>
        <v>100</v>
      </c>
      <c r="T28" s="705" t="s">
        <v>14</v>
      </c>
      <c r="U28" s="706">
        <f t="shared" si="13"/>
        <v>100</v>
      </c>
      <c r="V28" s="705" t="s">
        <v>14</v>
      </c>
      <c r="W28" s="706">
        <f t="shared" si="14"/>
        <v>100</v>
      </c>
      <c r="X28" s="1355"/>
      <c r="Y28" s="374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40"/>
      <c r="Q29" s="1352" t="str">
        <f t="shared" si="11"/>
        <v>有无电梯</v>
      </c>
      <c r="R29" s="705" t="s">
        <v>14</v>
      </c>
      <c r="S29" s="706">
        <f t="shared" si="12"/>
        <v>100</v>
      </c>
      <c r="T29" s="705" t="s">
        <v>14</v>
      </c>
      <c r="U29" s="706">
        <f t="shared" si="13"/>
        <v>100</v>
      </c>
      <c r="V29" s="705" t="s">
        <v>14</v>
      </c>
      <c r="W29" s="706">
        <f t="shared" si="14"/>
        <v>100</v>
      </c>
      <c r="X29" s="1355"/>
      <c r="Y29" s="374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40"/>
      <c r="Q30" s="1352" t="str">
        <f t="shared" si="11"/>
        <v>建筑面积</v>
      </c>
      <c r="R30" s="705" t="s">
        <v>14</v>
      </c>
      <c r="S30" s="706" t="e">
        <f t="shared" si="12"/>
        <v>#N/A</v>
      </c>
      <c r="T30" s="705" t="s">
        <v>14</v>
      </c>
      <c r="U30" s="706" t="e">
        <f t="shared" si="13"/>
        <v>#N/A</v>
      </c>
      <c r="V30" s="705" t="s">
        <v>14</v>
      </c>
      <c r="W30" s="706" t="e">
        <f t="shared" si="14"/>
        <v>#N/A</v>
      </c>
      <c r="X30" s="1355"/>
      <c r="Y30" s="374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40"/>
      <c r="Q31" s="1343"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40" t="s">
        <v>1695</v>
      </c>
      <c r="Q32" s="1352">
        <f t="shared" si="11"/>
        <v>111</v>
      </c>
      <c r="R32" s="705" t="s">
        <v>14</v>
      </c>
      <c r="S32" s="706">
        <f t="shared" si="12"/>
        <v>100</v>
      </c>
      <c r="T32" s="705" t="s">
        <v>14</v>
      </c>
      <c r="U32" s="706">
        <f t="shared" si="13"/>
        <v>100</v>
      </c>
      <c r="V32" s="705" t="s">
        <v>14</v>
      </c>
      <c r="W32" s="706">
        <f t="shared" si="14"/>
        <v>100</v>
      </c>
      <c r="X32" s="1355"/>
      <c r="Y32" s="374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40"/>
      <c r="Q33" s="1352">
        <f t="shared" si="11"/>
        <v>111</v>
      </c>
      <c r="R33" s="705" t="s">
        <v>14</v>
      </c>
      <c r="S33" s="706">
        <f t="shared" si="12"/>
        <v>100</v>
      </c>
      <c r="T33" s="705" t="s">
        <v>14</v>
      </c>
      <c r="U33" s="706">
        <f t="shared" si="13"/>
        <v>100</v>
      </c>
      <c r="V33" s="705" t="s">
        <v>14</v>
      </c>
      <c r="W33" s="706">
        <f t="shared" si="14"/>
        <v>100</v>
      </c>
      <c r="X33" s="1355"/>
      <c r="Y33" s="374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33" t="str">
        <f>A35</f>
        <v>成交单价（元/平方米）</v>
      </c>
      <c r="Q35" s="3733"/>
      <c r="R35" s="3734">
        <f>E35</f>
        <v>0</v>
      </c>
      <c r="S35" s="3734"/>
      <c r="T35" s="3734">
        <f>G35</f>
        <v>0</v>
      </c>
      <c r="U35" s="3734"/>
      <c r="V35" s="3734">
        <f>I35</f>
        <v>0</v>
      </c>
      <c r="W35" s="3734"/>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30" t="str">
        <f>A37</f>
        <v>估价对象XX用房的比较价值（楼面单价，元/平方米）</v>
      </c>
      <c r="Q37" s="3731"/>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85" zoomScaleNormal="60" zoomScaleSheetLayoutView="85" workbookViewId="0">
      <selection activeCell="L19" sqref="L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7.62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2127</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3113</v>
      </c>
      <c r="C3" s="203" t="s">
        <v>1868</v>
      </c>
      <c r="D3" s="3483">
        <f>'数据-汇总表'!F19</f>
        <v>6832.22</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16" t="s">
        <v>1769</v>
      </c>
      <c r="D4" s="3717"/>
      <c r="E4" s="3718" t="s">
        <v>1770</v>
      </c>
      <c r="F4" s="3719"/>
      <c r="G4" s="3716" t="s">
        <v>1771</v>
      </c>
      <c r="H4" s="3717"/>
      <c r="I4" s="3716" t="s">
        <v>1772</v>
      </c>
      <c r="J4" s="3717"/>
      <c r="K4" s="559" t="s">
        <v>1773</v>
      </c>
      <c r="L4" s="2713"/>
      <c r="M4" s="2714"/>
      <c r="N4" s="2714"/>
      <c r="O4" s="2714"/>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30" ht="15">
      <c r="A5" s="358"/>
      <c r="B5" s="359"/>
      <c r="C5" s="3709" t="s">
        <v>3377</v>
      </c>
      <c r="D5" s="3710"/>
      <c r="E5" s="3707" t="s">
        <v>3774</v>
      </c>
      <c r="F5" s="3708"/>
      <c r="G5" s="3709" t="s">
        <v>3530</v>
      </c>
      <c r="H5" s="3710"/>
      <c r="I5" s="3709" t="s">
        <v>3775</v>
      </c>
      <c r="J5" s="3710"/>
      <c r="K5" s="559"/>
      <c r="L5" s="2713"/>
      <c r="M5" s="2714"/>
      <c r="N5" s="2714"/>
      <c r="O5" s="2714"/>
      <c r="P5" s="3722"/>
      <c r="Q5" s="3723"/>
      <c r="R5" s="3705"/>
      <c r="S5" s="3706"/>
      <c r="T5" s="3705"/>
      <c r="U5" s="3706"/>
      <c r="V5" s="3728"/>
      <c r="W5" s="3728"/>
      <c r="X5" s="1355"/>
      <c r="Y5" s="3705"/>
      <c r="Z5" s="3706"/>
      <c r="AA5" s="3699"/>
      <c r="AB5" s="3699"/>
      <c r="AC5" s="3699"/>
    </row>
    <row r="6" spans="1:30" ht="15.75" thickBot="1">
      <c r="A6" s="360"/>
      <c r="B6" s="361"/>
      <c r="C6" s="3711" t="s">
        <v>3776</v>
      </c>
      <c r="D6" s="3712"/>
      <c r="E6" s="3713" t="s">
        <v>3776</v>
      </c>
      <c r="F6" s="3714"/>
      <c r="G6" s="3711" t="s">
        <v>3776</v>
      </c>
      <c r="H6" s="3712"/>
      <c r="I6" s="3711" t="s">
        <v>3776</v>
      </c>
      <c r="J6" s="3712"/>
      <c r="K6" s="559" t="s">
        <v>1677</v>
      </c>
      <c r="L6" s="2713"/>
      <c r="M6" s="2714"/>
      <c r="N6" s="2714"/>
      <c r="O6" s="2714"/>
      <c r="P6" s="3724"/>
      <c r="Q6" s="3725"/>
      <c r="R6" s="3705"/>
      <c r="S6" s="3706"/>
      <c r="T6" s="3726"/>
      <c r="U6" s="3727"/>
      <c r="V6" s="3728"/>
      <c r="W6" s="3728"/>
      <c r="X6" s="1355"/>
      <c r="Y6" s="3726"/>
      <c r="Z6" s="3727"/>
      <c r="AA6" s="3700"/>
      <c r="AB6" s="3700"/>
      <c r="AC6" s="3700"/>
    </row>
    <row r="7" spans="1:30" s="108" customFormat="1" ht="15.75" thickBot="1">
      <c r="A7" s="362" t="s">
        <v>1678</v>
      </c>
      <c r="B7" s="363"/>
      <c r="C7" s="364">
        <f>'数据-取费表'!B2</f>
        <v>44977</v>
      </c>
      <c r="D7" s="365">
        <v>100</v>
      </c>
      <c r="E7" s="366">
        <f>土地案例!L26</f>
        <v>44713.000497685185</v>
      </c>
      <c r="F7" s="367">
        <f>SUMIF(69:69,YEAR(E7)&amp;"-"&amp;INT((MONTH(E7)+2)/3),70:70)</f>
        <v>99.399999999999991</v>
      </c>
      <c r="G7" s="1974">
        <f>土地案例!L40</f>
        <v>44132.000497685185</v>
      </c>
      <c r="H7" s="365">
        <f>SUMIF(69:69,YEAR(G7)&amp;"-"&amp;INT((MONTH(G7)+2)/3),70:70)</f>
        <v>98.199999999999974</v>
      </c>
      <c r="I7" s="1974">
        <f>土地案例!L50</f>
        <v>43971.000497685185</v>
      </c>
      <c r="J7" s="365">
        <f>SUMIF(69:69,YEAR(I7)&amp;"-"&amp;INT((MONTH(I7)+2)/3),70:70)</f>
        <v>97.799999999999969</v>
      </c>
      <c r="K7" s="560"/>
      <c r="L7" s="2715"/>
      <c r="M7" s="2716"/>
      <c r="N7" s="2716"/>
      <c r="O7" s="2716"/>
      <c r="P7" s="3701" t="s">
        <v>1679</v>
      </c>
      <c r="Q7" s="3729"/>
      <c r="R7" s="701" t="s">
        <v>14</v>
      </c>
      <c r="S7" s="702">
        <f t="shared" ref="S7:S15" si="0">F7</f>
        <v>99.399999999999991</v>
      </c>
      <c r="T7" s="701" t="s">
        <v>14</v>
      </c>
      <c r="U7" s="702">
        <f t="shared" ref="U7:U15" si="1">H7</f>
        <v>98.199999999999974</v>
      </c>
      <c r="V7" s="701" t="s">
        <v>14</v>
      </c>
      <c r="W7" s="702">
        <f t="shared" ref="W7:W15" si="2">J7</f>
        <v>97.799999999999969</v>
      </c>
      <c r="X7" s="703"/>
      <c r="Y7" s="3701" t="s">
        <v>1679</v>
      </c>
      <c r="Z7" s="3702"/>
      <c r="AA7" s="704">
        <f>D7/F7</f>
        <v>1.0060362173038231</v>
      </c>
      <c r="AB7" s="704">
        <f>D7/H7</f>
        <v>1.0183299389002038</v>
      </c>
      <c r="AC7" s="704">
        <f>D7/J7</f>
        <v>1.0224948875255626</v>
      </c>
    </row>
    <row r="8" spans="1:30" s="108" customFormat="1" ht="15.75" thickBot="1">
      <c r="A8" s="362" t="s">
        <v>1680</v>
      </c>
      <c r="B8" s="363"/>
      <c r="C8" s="368" t="s">
        <v>1681</v>
      </c>
      <c r="D8" s="365">
        <v>100</v>
      </c>
      <c r="E8" s="368" t="s">
        <v>3778</v>
      </c>
      <c r="F8" s="367">
        <f>SUMIF(72:72,E8,73:73)-SUMIF(72:72,C8,73:73)+100</f>
        <v>100</v>
      </c>
      <c r="G8" s="368" t="s">
        <v>3778</v>
      </c>
      <c r="H8" s="365">
        <f>SUMIF(72:72,G8,73:73)-SUMIF(72:72,C8,73:73)+100</f>
        <v>100</v>
      </c>
      <c r="I8" s="368" t="s">
        <v>3778</v>
      </c>
      <c r="J8" s="365">
        <f>SUMIF(72:72,I8,73:73)-SUMIF(72:72,C8,73:73)+100</f>
        <v>100</v>
      </c>
      <c r="K8" s="560"/>
      <c r="L8" s="2715"/>
      <c r="M8" s="2716"/>
      <c r="N8" s="2716"/>
      <c r="O8" s="2716"/>
      <c r="P8" s="3701" t="s">
        <v>1682</v>
      </c>
      <c r="Q8" s="3702"/>
      <c r="R8" s="701" t="s">
        <v>14</v>
      </c>
      <c r="S8" s="702">
        <f t="shared" si="0"/>
        <v>100</v>
      </c>
      <c r="T8" s="701" t="s">
        <v>14</v>
      </c>
      <c r="U8" s="702">
        <f t="shared" si="1"/>
        <v>100</v>
      </c>
      <c r="V8" s="701" t="s">
        <v>14</v>
      </c>
      <c r="W8" s="702">
        <f t="shared" si="2"/>
        <v>100</v>
      </c>
      <c r="X8" s="703"/>
      <c r="Y8" s="3701" t="s">
        <v>1682</v>
      </c>
      <c r="Z8" s="3702"/>
      <c r="AA8" s="704">
        <f t="shared" ref="AA8:AA45" si="3">D8/F8</f>
        <v>1</v>
      </c>
      <c r="AB8" s="704">
        <f t="shared" ref="AB8:AB45" si="4">D8/H8</f>
        <v>1</v>
      </c>
      <c r="AC8" s="704">
        <f t="shared" ref="AC8:AC45" si="5">D8/J8</f>
        <v>1</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33" t="s">
        <v>1685</v>
      </c>
      <c r="Q9" s="1343" t="str">
        <f t="shared" ref="Q9:Q15" si="6">B9</f>
        <v>用途</v>
      </c>
      <c r="R9" s="701" t="s">
        <v>14</v>
      </c>
      <c r="S9" s="702">
        <f t="shared" si="0"/>
        <v>100</v>
      </c>
      <c r="T9" s="701" t="s">
        <v>14</v>
      </c>
      <c r="U9" s="702">
        <f t="shared" si="1"/>
        <v>100</v>
      </c>
      <c r="V9" s="701" t="s">
        <v>14</v>
      </c>
      <c r="W9" s="702">
        <f t="shared" si="2"/>
        <v>100</v>
      </c>
      <c r="X9" s="703"/>
      <c r="Y9" s="364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33"/>
      <c r="Q10" s="1343" t="str">
        <f t="shared" si="6"/>
        <v>土地使用年限（年）</v>
      </c>
      <c r="R10" s="701" t="s">
        <v>14</v>
      </c>
      <c r="S10" s="702">
        <f t="shared" si="0"/>
        <v>110</v>
      </c>
      <c r="T10" s="701" t="s">
        <v>14</v>
      </c>
      <c r="U10" s="702">
        <f t="shared" si="1"/>
        <v>110</v>
      </c>
      <c r="V10" s="701" t="s">
        <v>14</v>
      </c>
      <c r="W10" s="702">
        <f t="shared" si="2"/>
        <v>110</v>
      </c>
      <c r="X10" s="703"/>
      <c r="Y10" s="3645"/>
      <c r="Z10" s="52" t="str">
        <f t="shared" si="7"/>
        <v>土地使用年限（年）</v>
      </c>
      <c r="AA10" s="704">
        <f t="shared" si="3"/>
        <v>0.90909090909090906</v>
      </c>
      <c r="AB10" s="704">
        <f t="shared" si="4"/>
        <v>0.90909090909090906</v>
      </c>
      <c r="AC10" s="704">
        <f t="shared" si="5"/>
        <v>0.90909090909090906</v>
      </c>
    </row>
    <row r="11" spans="1:30" ht="15.75" thickBot="1">
      <c r="A11" s="379"/>
      <c r="B11" s="375" t="s">
        <v>1688</v>
      </c>
      <c r="C11" s="380">
        <f>'数据-汇总表'!I6</f>
        <v>0.25</v>
      </c>
      <c r="D11" s="127">
        <v>100</v>
      </c>
      <c r="E11" s="380">
        <v>2</v>
      </c>
      <c r="F11" s="127">
        <f>LOOKUP(E11,79:79,80:80)-LOOKUP(C11,79:79,80:80)+100</f>
        <v>90</v>
      </c>
      <c r="G11" s="381">
        <v>2</v>
      </c>
      <c r="H11" s="127">
        <f>LOOKUP(G11,79:79,80:80)-LOOKUP(C11,79:79,80:80)+100</f>
        <v>90</v>
      </c>
      <c r="I11" s="380">
        <v>3</v>
      </c>
      <c r="J11" s="127">
        <f>LOOKUP(I11,79:79,80:80)-LOOKUP(C11,79:79,80:80)+100</f>
        <v>85</v>
      </c>
      <c r="K11" s="3484">
        <v>5</v>
      </c>
      <c r="L11" s="2719"/>
      <c r="M11" s="2714"/>
      <c r="N11" s="2714"/>
      <c r="O11" s="2772"/>
      <c r="P11" s="3733"/>
      <c r="Q11" s="1343" t="str">
        <f t="shared" si="6"/>
        <v>容积率</v>
      </c>
      <c r="R11" s="701" t="s">
        <v>14</v>
      </c>
      <c r="S11" s="702">
        <f t="shared" si="0"/>
        <v>90</v>
      </c>
      <c r="T11" s="701" t="s">
        <v>14</v>
      </c>
      <c r="U11" s="702">
        <f t="shared" si="1"/>
        <v>90</v>
      </c>
      <c r="V11" s="701" t="s">
        <v>14</v>
      </c>
      <c r="W11" s="702">
        <f t="shared" si="2"/>
        <v>85</v>
      </c>
      <c r="X11" s="703"/>
      <c r="Y11" s="3645"/>
      <c r="Z11" s="52" t="str">
        <f t="shared" si="7"/>
        <v>容积率</v>
      </c>
      <c r="AA11" s="704">
        <f t="shared" si="3"/>
        <v>1.1111111111111112</v>
      </c>
      <c r="AB11" s="704">
        <f t="shared" si="4"/>
        <v>1.1111111111111112</v>
      </c>
      <c r="AC11" s="704">
        <f t="shared" si="5"/>
        <v>1.1764705882352942</v>
      </c>
    </row>
    <row r="12" spans="1:30" s="108" customFormat="1" ht="15" hidden="1">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3"/>
      <c r="Q12" s="1343" t="str">
        <f t="shared" si="6"/>
        <v>配建</v>
      </c>
      <c r="R12" s="701" t="s">
        <v>14</v>
      </c>
      <c r="S12" s="702">
        <f t="shared" si="0"/>
        <v>100</v>
      </c>
      <c r="T12" s="701" t="s">
        <v>14</v>
      </c>
      <c r="U12" s="702">
        <f t="shared" si="1"/>
        <v>100</v>
      </c>
      <c r="V12" s="701" t="s">
        <v>14</v>
      </c>
      <c r="W12" s="702">
        <f t="shared" si="2"/>
        <v>100</v>
      </c>
      <c r="X12" s="703"/>
      <c r="Y12" s="3645"/>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3"/>
      <c r="Q13" s="1343">
        <f t="shared" si="6"/>
        <v>111</v>
      </c>
      <c r="R13" s="701" t="s">
        <v>14</v>
      </c>
      <c r="S13" s="702">
        <f t="shared" si="0"/>
        <v>100</v>
      </c>
      <c r="T13" s="701" t="s">
        <v>14</v>
      </c>
      <c r="U13" s="702">
        <f t="shared" si="1"/>
        <v>100</v>
      </c>
      <c r="V13" s="701" t="s">
        <v>14</v>
      </c>
      <c r="W13" s="702">
        <f t="shared" si="2"/>
        <v>100</v>
      </c>
      <c r="X13" s="703"/>
      <c r="Y13" s="3645"/>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3"/>
      <c r="Q14" s="1343">
        <f t="shared" si="6"/>
        <v>111</v>
      </c>
      <c r="R14" s="701" t="s">
        <v>14</v>
      </c>
      <c r="S14" s="702">
        <f t="shared" si="0"/>
        <v>100</v>
      </c>
      <c r="T14" s="701" t="s">
        <v>14</v>
      </c>
      <c r="U14" s="702">
        <f t="shared" si="1"/>
        <v>100</v>
      </c>
      <c r="V14" s="701" t="s">
        <v>14</v>
      </c>
      <c r="W14" s="702">
        <f t="shared" si="2"/>
        <v>100</v>
      </c>
      <c r="X14" s="703"/>
      <c r="Y14" s="3645"/>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5" t="s">
        <v>1690</v>
      </c>
      <c r="Q15" s="1352" t="str">
        <f t="shared" si="6"/>
        <v>居住社区成熟度</v>
      </c>
      <c r="R15" s="705" t="s">
        <v>14</v>
      </c>
      <c r="S15" s="706">
        <f t="shared" si="0"/>
        <v>100</v>
      </c>
      <c r="T15" s="705" t="s">
        <v>14</v>
      </c>
      <c r="U15" s="706">
        <f t="shared" si="1"/>
        <v>100</v>
      </c>
      <c r="V15" s="705" t="s">
        <v>14</v>
      </c>
      <c r="W15" s="706">
        <f t="shared" si="2"/>
        <v>100</v>
      </c>
      <c r="X15" s="1355"/>
      <c r="Y15" s="3735" t="s">
        <v>1690</v>
      </c>
      <c r="Z15" s="1356" t="str">
        <f t="shared" si="7"/>
        <v>居住社区成熟度</v>
      </c>
      <c r="AA15" s="1353">
        <f t="shared" si="3"/>
        <v>1</v>
      </c>
      <c r="AB15" s="1353">
        <f t="shared" si="4"/>
        <v>1</v>
      </c>
      <c r="AC15" s="1353">
        <f t="shared" si="5"/>
        <v>1</v>
      </c>
    </row>
    <row r="16" spans="1:30" ht="15">
      <c r="A16" s="379"/>
      <c r="B16" s="397"/>
      <c r="C16" s="398"/>
      <c r="D16" s="399"/>
      <c r="E16" s="398"/>
      <c r="F16" s="399"/>
      <c r="G16" s="398"/>
      <c r="H16" s="401"/>
      <c r="I16" s="398"/>
      <c r="J16" s="399"/>
      <c r="K16" s="620"/>
      <c r="L16" s="2720"/>
      <c r="M16" s="2714"/>
      <c r="N16" s="2714"/>
      <c r="O16" s="2772"/>
      <c r="P16" s="3736"/>
      <c r="Q16" s="1352"/>
      <c r="R16" s="705"/>
      <c r="S16" s="706"/>
      <c r="T16" s="705"/>
      <c r="U16" s="706"/>
      <c r="V16" s="705"/>
      <c r="W16" s="706"/>
      <c r="X16" s="1355"/>
      <c r="Y16" s="3736"/>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6"/>
      <c r="Q17" s="1352" t="str">
        <f>B17</f>
        <v>商业繁华度</v>
      </c>
      <c r="R17" s="705" t="s">
        <v>14</v>
      </c>
      <c r="S17" s="706">
        <f>F17</f>
        <v>100</v>
      </c>
      <c r="T17" s="705" t="s">
        <v>14</v>
      </c>
      <c r="U17" s="706">
        <f>H17</f>
        <v>100</v>
      </c>
      <c r="V17" s="705" t="s">
        <v>14</v>
      </c>
      <c r="W17" s="706">
        <f>J17</f>
        <v>100</v>
      </c>
      <c r="X17" s="1355"/>
      <c r="Y17" s="3736"/>
      <c r="Z17" s="1356" t="str">
        <f>Q17</f>
        <v>商业繁华度</v>
      </c>
      <c r="AA17" s="1353">
        <f t="shared" si="3"/>
        <v>1</v>
      </c>
      <c r="AB17" s="1353">
        <f t="shared" si="4"/>
        <v>1</v>
      </c>
      <c r="AC17" s="1353">
        <f t="shared" si="5"/>
        <v>1</v>
      </c>
    </row>
    <row r="18" spans="1:29" ht="15">
      <c r="A18" s="379"/>
      <c r="B18" s="407"/>
      <c r="C18" s="1901" t="s">
        <v>3782</v>
      </c>
      <c r="D18" s="401"/>
      <c r="E18" s="1901" t="s">
        <v>3782</v>
      </c>
      <c r="F18" s="401"/>
      <c r="G18" s="1901" t="s">
        <v>3782</v>
      </c>
      <c r="H18" s="399"/>
      <c r="I18" s="1901" t="s">
        <v>3782</v>
      </c>
      <c r="J18" s="399"/>
      <c r="K18" s="620"/>
      <c r="L18" s="2720"/>
      <c r="M18" s="2714"/>
      <c r="N18" s="2714"/>
      <c r="O18" s="2772"/>
      <c r="P18" s="3736"/>
      <c r="Q18" s="1352"/>
      <c r="R18" s="705"/>
      <c r="S18" s="706"/>
      <c r="T18" s="705"/>
      <c r="U18" s="706"/>
      <c r="V18" s="705"/>
      <c r="W18" s="706"/>
      <c r="X18" s="1355"/>
      <c r="Y18" s="3736"/>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6"/>
      <c r="Q19" s="1352" t="str">
        <f>B19</f>
        <v>办公集聚程度</v>
      </c>
      <c r="R19" s="705" t="s">
        <v>14</v>
      </c>
      <c r="S19" s="706">
        <f>F19</f>
        <v>100</v>
      </c>
      <c r="T19" s="705" t="s">
        <v>14</v>
      </c>
      <c r="U19" s="706">
        <f>H19</f>
        <v>100</v>
      </c>
      <c r="V19" s="705" t="s">
        <v>14</v>
      </c>
      <c r="W19" s="706">
        <f>J19</f>
        <v>100</v>
      </c>
      <c r="X19" s="1355"/>
      <c r="Y19" s="373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36"/>
      <c r="Q20" s="1352"/>
      <c r="R20" s="705"/>
      <c r="S20" s="706"/>
      <c r="T20" s="705"/>
      <c r="U20" s="706"/>
      <c r="V20" s="705"/>
      <c r="W20" s="706"/>
      <c r="X20" s="1355"/>
      <c r="Y20" s="3736"/>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20"/>
      <c r="M21" s="2714"/>
      <c r="N21" s="2714"/>
      <c r="O21" s="2772"/>
      <c r="P21" s="3736"/>
      <c r="Q21" s="1352" t="str">
        <f>B21</f>
        <v>交通便捷度</v>
      </c>
      <c r="R21" s="705" t="s">
        <v>14</v>
      </c>
      <c r="S21" s="706">
        <f>F21</f>
        <v>100</v>
      </c>
      <c r="T21" s="705" t="s">
        <v>14</v>
      </c>
      <c r="U21" s="706">
        <f>H21</f>
        <v>100</v>
      </c>
      <c r="V21" s="705" t="s">
        <v>14</v>
      </c>
      <c r="W21" s="706">
        <f>J21</f>
        <v>100</v>
      </c>
      <c r="X21" s="1355"/>
      <c r="Y21" s="3736"/>
      <c r="Z21" s="1356" t="str">
        <f>Q21</f>
        <v>交通便捷度</v>
      </c>
      <c r="AA21" s="1353">
        <f t="shared" si="3"/>
        <v>1</v>
      </c>
      <c r="AB21" s="1353">
        <f t="shared" si="4"/>
        <v>1</v>
      </c>
      <c r="AC21" s="1353">
        <f t="shared" si="5"/>
        <v>1</v>
      </c>
    </row>
    <row r="22" spans="1:29" ht="15">
      <c r="A22" s="379"/>
      <c r="B22" s="1131"/>
      <c r="C22" s="398" t="s">
        <v>3781</v>
      </c>
      <c r="D22" s="401"/>
      <c r="E22" s="398" t="s">
        <v>3781</v>
      </c>
      <c r="F22" s="399"/>
      <c r="G22" s="398" t="s">
        <v>3781</v>
      </c>
      <c r="H22" s="399"/>
      <c r="I22" s="398" t="s">
        <v>3781</v>
      </c>
      <c r="J22" s="399"/>
      <c r="K22" s="620"/>
      <c r="L22" s="2720"/>
      <c r="M22" s="2714"/>
      <c r="N22" s="2714"/>
      <c r="O22" s="2772"/>
      <c r="P22" s="3736"/>
      <c r="Q22" s="1352"/>
      <c r="R22" s="705"/>
      <c r="S22" s="706"/>
      <c r="T22" s="705"/>
      <c r="U22" s="706"/>
      <c r="V22" s="705"/>
      <c r="W22" s="706"/>
      <c r="X22" s="1355"/>
      <c r="Y22" s="373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6"/>
      <c r="Q23" s="1352" t="str">
        <f t="shared" ref="Q23:Q37" si="8">B23</f>
        <v>区域土地利用方向</v>
      </c>
      <c r="R23" s="705" t="s">
        <v>14</v>
      </c>
      <c r="S23" s="706">
        <f>F23</f>
        <v>100</v>
      </c>
      <c r="T23" s="705" t="s">
        <v>14</v>
      </c>
      <c r="U23" s="706">
        <f>H23</f>
        <v>100</v>
      </c>
      <c r="V23" s="705" t="s">
        <v>14</v>
      </c>
      <c r="W23" s="706">
        <f>J23</f>
        <v>100</v>
      </c>
      <c r="X23" s="1355"/>
      <c r="Y23" s="3736"/>
      <c r="Z23" s="1356" t="str">
        <f>Q23</f>
        <v>区域土地利用方向</v>
      </c>
      <c r="AA23" s="1353">
        <f t="shared" si="3"/>
        <v>1</v>
      </c>
      <c r="AB23" s="1353">
        <f t="shared" si="4"/>
        <v>1</v>
      </c>
      <c r="AC23" s="1353">
        <f t="shared" si="5"/>
        <v>1</v>
      </c>
    </row>
    <row r="24" spans="1:29" ht="15">
      <c r="A24" s="358"/>
      <c r="B24" s="407"/>
      <c r="C24" s="565" t="s">
        <v>3781</v>
      </c>
      <c r="D24" s="399"/>
      <c r="E24" s="565" t="s">
        <v>3781</v>
      </c>
      <c r="F24" s="399"/>
      <c r="G24" s="565" t="s">
        <v>3781</v>
      </c>
      <c r="H24" s="399"/>
      <c r="I24" s="565" t="s">
        <v>3781</v>
      </c>
      <c r="J24" s="399"/>
      <c r="K24" s="740"/>
      <c r="L24" s="2720"/>
      <c r="M24" s="2714"/>
      <c r="N24" s="2714"/>
      <c r="O24" s="2772"/>
      <c r="P24" s="3736"/>
      <c r="Q24" s="1352"/>
      <c r="R24" s="705"/>
      <c r="S24" s="706"/>
      <c r="T24" s="705"/>
      <c r="U24" s="706"/>
      <c r="V24" s="705"/>
      <c r="W24" s="706"/>
      <c r="X24" s="1355"/>
      <c r="Y24" s="3736"/>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0"/>
      <c r="M25" s="2714"/>
      <c r="N25" s="2714"/>
      <c r="O25" s="2772"/>
      <c r="P25" s="3736"/>
      <c r="Q25" s="1352" t="str">
        <f t="shared" si="8"/>
        <v>自然及人文环境状况</v>
      </c>
      <c r="R25" s="705" t="s">
        <v>14</v>
      </c>
      <c r="S25" s="706">
        <f>F25</f>
        <v>100</v>
      </c>
      <c r="T25" s="705" t="s">
        <v>14</v>
      </c>
      <c r="U25" s="706">
        <f>H25</f>
        <v>100</v>
      </c>
      <c r="V25" s="705" t="s">
        <v>14</v>
      </c>
      <c r="W25" s="706">
        <f>J25</f>
        <v>100</v>
      </c>
      <c r="X25" s="1355"/>
      <c r="Y25" s="3736"/>
      <c r="Z25" s="1356" t="str">
        <f>Q25</f>
        <v>自然及人文环境状况</v>
      </c>
      <c r="AA25" s="1353">
        <f t="shared" si="3"/>
        <v>1</v>
      </c>
      <c r="AB25" s="1353">
        <f t="shared" si="4"/>
        <v>1</v>
      </c>
      <c r="AC25" s="1353">
        <f t="shared" si="5"/>
        <v>1</v>
      </c>
    </row>
    <row r="26" spans="1:29" ht="15">
      <c r="A26" s="358"/>
      <c r="B26" s="407"/>
      <c r="C26" s="398" t="s">
        <v>3782</v>
      </c>
      <c r="D26" s="399"/>
      <c r="E26" s="398" t="s">
        <v>3782</v>
      </c>
      <c r="F26" s="399"/>
      <c r="G26" s="398" t="s">
        <v>3782</v>
      </c>
      <c r="H26" s="399"/>
      <c r="I26" s="398" t="s">
        <v>3782</v>
      </c>
      <c r="J26" s="399"/>
      <c r="K26" s="620"/>
      <c r="L26" s="2720"/>
      <c r="M26" s="2714"/>
      <c r="N26" s="2714"/>
      <c r="O26" s="2772"/>
      <c r="P26" s="3736"/>
      <c r="Q26" s="1352"/>
      <c r="R26" s="705"/>
      <c r="S26" s="706"/>
      <c r="T26" s="705"/>
      <c r="U26" s="706"/>
      <c r="V26" s="705"/>
      <c r="W26" s="706"/>
      <c r="X26" s="1355"/>
      <c r="Y26" s="3736"/>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5"/>
      <c r="M27" s="2716"/>
      <c r="N27" s="2716"/>
      <c r="O27" s="2770"/>
      <c r="P27" s="3736"/>
      <c r="Q27" s="1343" t="str">
        <f t="shared" si="8"/>
        <v>公共配套设施</v>
      </c>
      <c r="R27" s="701" t="s">
        <v>14</v>
      </c>
      <c r="S27" s="702">
        <f>F27</f>
        <v>100</v>
      </c>
      <c r="T27" s="701" t="s">
        <v>14</v>
      </c>
      <c r="U27" s="702">
        <f>H27</f>
        <v>100</v>
      </c>
      <c r="V27" s="701" t="s">
        <v>14</v>
      </c>
      <c r="W27" s="702">
        <f>J27</f>
        <v>100</v>
      </c>
      <c r="X27" s="703"/>
      <c r="Y27" s="3736"/>
      <c r="Z27" s="52" t="str">
        <f>Q27</f>
        <v>公共配套设施</v>
      </c>
      <c r="AA27" s="1353">
        <f>D27/F27</f>
        <v>1</v>
      </c>
      <c r="AB27" s="1353">
        <f>D27/H27</f>
        <v>1</v>
      </c>
      <c r="AC27" s="1353">
        <f>D27/J27</f>
        <v>1</v>
      </c>
    </row>
    <row r="28" spans="1:29" s="108" customFormat="1" ht="15">
      <c r="A28" s="597"/>
      <c r="B28" s="407"/>
      <c r="C28" s="1978" t="s">
        <v>3781</v>
      </c>
      <c r="D28" s="399"/>
      <c r="E28" s="1978" t="s">
        <v>3781</v>
      </c>
      <c r="F28" s="399"/>
      <c r="G28" s="1978" t="s">
        <v>3781</v>
      </c>
      <c r="H28" s="399"/>
      <c r="I28" s="1978" t="s">
        <v>3781</v>
      </c>
      <c r="J28" s="399"/>
      <c r="K28" s="620"/>
      <c r="L28" s="2715"/>
      <c r="M28" s="2716"/>
      <c r="N28" s="2716"/>
      <c r="O28" s="2770"/>
      <c r="P28" s="3736"/>
      <c r="Q28" s="1343"/>
      <c r="R28" s="701"/>
      <c r="S28" s="702"/>
      <c r="T28" s="701"/>
      <c r="U28" s="702"/>
      <c r="V28" s="701"/>
      <c r="W28" s="702"/>
      <c r="X28" s="703"/>
      <c r="Y28" s="3736"/>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6"/>
      <c r="Q29" s="1343" t="str">
        <f t="shared" ref="Q29" si="9">B29</f>
        <v>基础设施水平</v>
      </c>
      <c r="R29" s="701" t="s">
        <v>14</v>
      </c>
      <c r="S29" s="702">
        <f>F29</f>
        <v>100</v>
      </c>
      <c r="T29" s="701" t="s">
        <v>14</v>
      </c>
      <c r="U29" s="702">
        <f>H29</f>
        <v>100</v>
      </c>
      <c r="V29" s="701" t="s">
        <v>14</v>
      </c>
      <c r="W29" s="702">
        <f>J29</f>
        <v>100</v>
      </c>
      <c r="X29" s="703"/>
      <c r="Y29" s="373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36"/>
      <c r="Q30" s="1343"/>
      <c r="R30" s="701"/>
      <c r="S30" s="702"/>
      <c r="T30" s="701"/>
      <c r="U30" s="702"/>
      <c r="V30" s="701"/>
      <c r="W30" s="702"/>
      <c r="X30" s="703"/>
      <c r="Y30" s="373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6"/>
      <c r="Q32" s="1352" t="str">
        <f t="shared" si="8"/>
        <v>毗邻道路的类型与等级</v>
      </c>
      <c r="R32" s="705" t="s">
        <v>14</v>
      </c>
      <c r="S32" s="706">
        <f t="shared" si="10"/>
        <v>100</v>
      </c>
      <c r="T32" s="705" t="s">
        <v>14</v>
      </c>
      <c r="U32" s="706">
        <f t="shared" si="11"/>
        <v>100</v>
      </c>
      <c r="V32" s="705" t="s">
        <v>14</v>
      </c>
      <c r="W32" s="706">
        <f t="shared" si="12"/>
        <v>100</v>
      </c>
      <c r="X32" s="1355"/>
      <c r="Y32" s="373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36"/>
      <c r="Q33" s="1352"/>
      <c r="R33" s="705"/>
      <c r="S33" s="706"/>
      <c r="T33" s="705"/>
      <c r="U33" s="706"/>
      <c r="V33" s="705"/>
      <c r="W33" s="706"/>
      <c r="X33" s="1355"/>
      <c r="Y33" s="373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6"/>
      <c r="Q34" s="1352" t="str">
        <f t="shared" si="8"/>
        <v>土地级别</v>
      </c>
      <c r="R34" s="705" t="s">
        <v>14</v>
      </c>
      <c r="S34" s="706">
        <f t="shared" si="10"/>
        <v>100</v>
      </c>
      <c r="T34" s="705" t="s">
        <v>14</v>
      </c>
      <c r="U34" s="706">
        <f t="shared" si="11"/>
        <v>100</v>
      </c>
      <c r="V34" s="705" t="s">
        <v>14</v>
      </c>
      <c r="W34" s="706">
        <f t="shared" si="12"/>
        <v>100</v>
      </c>
      <c r="X34" s="1355"/>
      <c r="Y34" s="373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6"/>
      <c r="Q35" s="1352">
        <f t="shared" si="8"/>
        <v>111</v>
      </c>
      <c r="R35" s="705" t="s">
        <v>14</v>
      </c>
      <c r="S35" s="706">
        <f t="shared" si="10"/>
        <v>100</v>
      </c>
      <c r="T35" s="705" t="s">
        <v>14</v>
      </c>
      <c r="U35" s="706">
        <f t="shared" si="11"/>
        <v>100</v>
      </c>
      <c r="V35" s="705" t="s">
        <v>14</v>
      </c>
      <c r="W35" s="706">
        <f t="shared" si="12"/>
        <v>100</v>
      </c>
      <c r="X35" s="1355"/>
      <c r="Y35" s="373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9" t="s">
        <v>1695</v>
      </c>
      <c r="Q36" s="1352">
        <f t="shared" si="8"/>
        <v>111</v>
      </c>
      <c r="R36" s="705" t="s">
        <v>14</v>
      </c>
      <c r="S36" s="706">
        <f t="shared" si="10"/>
        <v>100</v>
      </c>
      <c r="T36" s="705" t="s">
        <v>14</v>
      </c>
      <c r="U36" s="706">
        <f t="shared" si="11"/>
        <v>100</v>
      </c>
      <c r="V36" s="705" t="s">
        <v>14</v>
      </c>
      <c r="W36" s="706">
        <f t="shared" si="12"/>
        <v>100</v>
      </c>
      <c r="X36" s="1355"/>
      <c r="Y36" s="374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40"/>
      <c r="Q37" s="1352">
        <f t="shared" si="8"/>
        <v>111</v>
      </c>
      <c r="R37" s="708" t="s">
        <v>14</v>
      </c>
      <c r="S37" s="709">
        <f t="shared" si="10"/>
        <v>100</v>
      </c>
      <c r="T37" s="708" t="s">
        <v>14</v>
      </c>
      <c r="U37" s="709">
        <f t="shared" si="11"/>
        <v>100</v>
      </c>
      <c r="V37" s="708" t="s">
        <v>14</v>
      </c>
      <c r="W37" s="709">
        <f t="shared" si="12"/>
        <v>100</v>
      </c>
      <c r="X37" s="710"/>
      <c r="Y37" s="3740"/>
      <c r="Z37" s="711">
        <f t="shared" si="13"/>
        <v>111</v>
      </c>
      <c r="AA37" s="1353">
        <f t="shared" si="3"/>
        <v>1</v>
      </c>
      <c r="AB37" s="1353">
        <f t="shared" si="4"/>
        <v>1</v>
      </c>
      <c r="AC37" s="1353">
        <f t="shared" si="5"/>
        <v>1</v>
      </c>
    </row>
    <row r="38" spans="1:29" ht="15">
      <c r="A38" s="423" t="s">
        <v>1693</v>
      </c>
      <c r="B38" s="407" t="s">
        <v>1873</v>
      </c>
      <c r="C38" s="627">
        <f>面积指标!B11</f>
        <v>30070.98</v>
      </c>
      <c r="D38" s="418">
        <v>100</v>
      </c>
      <c r="E38" s="627">
        <f>土地案例!D26</f>
        <v>2953.2</v>
      </c>
      <c r="F38" s="418">
        <f>LOOKUP(E38,116:116,117:117)-LOOKUP(C38,116:116,117:117)+100</f>
        <v>97</v>
      </c>
      <c r="G38" s="627">
        <f>土地案例!D40</f>
        <v>14826.5</v>
      </c>
      <c r="H38" s="418">
        <f>LOOKUP(G38,116:116,117:117)-LOOKUP(C38,116:116,117:117)+100</f>
        <v>98</v>
      </c>
      <c r="I38" s="479">
        <f>土地案例!D50</f>
        <v>26455.1</v>
      </c>
      <c r="J38" s="418">
        <f>LOOKUP(I38,116:116,117:117)-LOOKUP(C38,116:116,117:117)+100</f>
        <v>99</v>
      </c>
      <c r="K38" s="562"/>
      <c r="L38" s="2720"/>
      <c r="M38" s="2714"/>
      <c r="N38" s="2714"/>
      <c r="O38" s="2772"/>
      <c r="P38" s="3740"/>
      <c r="Q38" s="1352" t="str">
        <f>B38</f>
        <v>宗地面积</v>
      </c>
      <c r="R38" s="705" t="s">
        <v>14</v>
      </c>
      <c r="S38" s="706">
        <f t="shared" si="10"/>
        <v>97</v>
      </c>
      <c r="T38" s="705" t="s">
        <v>14</v>
      </c>
      <c r="U38" s="706">
        <f t="shared" si="11"/>
        <v>98</v>
      </c>
      <c r="V38" s="705" t="s">
        <v>14</v>
      </c>
      <c r="W38" s="706">
        <f t="shared" si="12"/>
        <v>99</v>
      </c>
      <c r="X38" s="1355"/>
      <c r="Y38" s="3740"/>
      <c r="Z38" s="1356" t="str">
        <f t="shared" si="13"/>
        <v>宗地面积</v>
      </c>
      <c r="AA38" s="1353">
        <f t="shared" si="3"/>
        <v>1.0309278350515463</v>
      </c>
      <c r="AB38" s="1353">
        <f t="shared" si="4"/>
        <v>1.0204081632653061</v>
      </c>
      <c r="AC38" s="1353">
        <f t="shared" si="5"/>
        <v>1.0101010101010102</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40"/>
      <c r="Q39" s="1352" t="str">
        <f t="shared" ref="Q39:Q45" si="14">B39</f>
        <v>宗地形状</v>
      </c>
      <c r="R39" s="705" t="s">
        <v>14</v>
      </c>
      <c r="S39" s="706">
        <f t="shared" si="10"/>
        <v>100</v>
      </c>
      <c r="T39" s="705" t="s">
        <v>14</v>
      </c>
      <c r="U39" s="706">
        <f t="shared" si="11"/>
        <v>100</v>
      </c>
      <c r="V39" s="705" t="s">
        <v>14</v>
      </c>
      <c r="W39" s="706">
        <f t="shared" si="12"/>
        <v>100</v>
      </c>
      <c r="X39" s="1355"/>
      <c r="Y39" s="374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40"/>
      <c r="Q40" s="1352" t="str">
        <f t="shared" si="14"/>
        <v>临街宽度及深度</v>
      </c>
      <c r="R40" s="705" t="s">
        <v>14</v>
      </c>
      <c r="S40" s="706">
        <f t="shared" si="10"/>
        <v>100</v>
      </c>
      <c r="T40" s="705" t="s">
        <v>14</v>
      </c>
      <c r="U40" s="706">
        <f t="shared" si="11"/>
        <v>100</v>
      </c>
      <c r="V40" s="705" t="s">
        <v>14</v>
      </c>
      <c r="W40" s="706">
        <f t="shared" si="12"/>
        <v>100</v>
      </c>
      <c r="X40" s="1355"/>
      <c r="Y40" s="374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40"/>
      <c r="Q41" s="1352" t="str">
        <f t="shared" si="14"/>
        <v>宗地开发程度</v>
      </c>
      <c r="R41" s="701" t="s">
        <v>14</v>
      </c>
      <c r="S41" s="702">
        <f t="shared" si="10"/>
        <v>100</v>
      </c>
      <c r="T41" s="701" t="s">
        <v>14</v>
      </c>
      <c r="U41" s="702">
        <f t="shared" si="11"/>
        <v>100</v>
      </c>
      <c r="V41" s="701" t="s">
        <v>14</v>
      </c>
      <c r="W41" s="702">
        <f t="shared" si="12"/>
        <v>100</v>
      </c>
      <c r="X41" s="703"/>
      <c r="Y41" s="374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40" t="s">
        <v>1695</v>
      </c>
      <c r="Q42" s="1352" t="str">
        <f t="shared" si="14"/>
        <v>工程地质条件</v>
      </c>
      <c r="R42" s="705" t="s">
        <v>14</v>
      </c>
      <c r="S42" s="706">
        <f t="shared" si="10"/>
        <v>100</v>
      </c>
      <c r="T42" s="705" t="s">
        <v>14</v>
      </c>
      <c r="U42" s="706">
        <f t="shared" si="11"/>
        <v>100</v>
      </c>
      <c r="V42" s="705" t="s">
        <v>14</v>
      </c>
      <c r="W42" s="706">
        <f t="shared" si="12"/>
        <v>100</v>
      </c>
      <c r="X42" s="1355"/>
      <c r="Y42" s="374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40"/>
      <c r="Q43" s="1352">
        <f t="shared" si="14"/>
        <v>111</v>
      </c>
      <c r="R43" s="705" t="s">
        <v>14</v>
      </c>
      <c r="S43" s="706">
        <f t="shared" si="10"/>
        <v>100</v>
      </c>
      <c r="T43" s="705" t="s">
        <v>14</v>
      </c>
      <c r="U43" s="706">
        <f t="shared" si="11"/>
        <v>100</v>
      </c>
      <c r="V43" s="705" t="s">
        <v>14</v>
      </c>
      <c r="W43" s="706">
        <f t="shared" si="12"/>
        <v>100</v>
      </c>
      <c r="X43" s="1355"/>
      <c r="Y43" s="374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40"/>
      <c r="Q44" s="1352">
        <f t="shared" si="14"/>
        <v>111</v>
      </c>
      <c r="R44" s="705" t="s">
        <v>14</v>
      </c>
      <c r="S44" s="706">
        <f t="shared" si="10"/>
        <v>100</v>
      </c>
      <c r="T44" s="705" t="s">
        <v>14</v>
      </c>
      <c r="U44" s="706">
        <f t="shared" si="11"/>
        <v>100</v>
      </c>
      <c r="V44" s="705" t="s">
        <v>14</v>
      </c>
      <c r="W44" s="706">
        <f t="shared" si="12"/>
        <v>100</v>
      </c>
      <c r="X44" s="1355"/>
      <c r="Y44" s="374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40"/>
      <c r="Q45" s="1352">
        <f t="shared" si="14"/>
        <v>111</v>
      </c>
      <c r="R45" s="708" t="s">
        <v>14</v>
      </c>
      <c r="S45" s="709">
        <f t="shared" si="10"/>
        <v>100</v>
      </c>
      <c r="T45" s="708" t="s">
        <v>14</v>
      </c>
      <c r="U45" s="709">
        <f t="shared" si="11"/>
        <v>100</v>
      </c>
      <c r="V45" s="708" t="s">
        <v>14</v>
      </c>
      <c r="W45" s="709">
        <f t="shared" si="12"/>
        <v>100</v>
      </c>
      <c r="X45" s="710"/>
      <c r="Y45" s="3740"/>
      <c r="Z45" s="711">
        <f t="shared" si="13"/>
        <v>111</v>
      </c>
      <c r="AA45" s="1353">
        <f t="shared" si="3"/>
        <v>1</v>
      </c>
      <c r="AB45" s="1353">
        <f t="shared" si="4"/>
        <v>1</v>
      </c>
      <c r="AC45" s="1353">
        <f t="shared" si="5"/>
        <v>1</v>
      </c>
    </row>
    <row r="46" spans="1:29" ht="15">
      <c r="A46" s="430" t="s">
        <v>1843</v>
      </c>
      <c r="B46" s="1982" t="s">
        <v>3779</v>
      </c>
      <c r="C46" s="630" t="s">
        <v>0</v>
      </c>
      <c r="D46" s="432"/>
      <c r="E46" s="433">
        <f>土地案例!P26</f>
        <v>3149</v>
      </c>
      <c r="F46" s="434"/>
      <c r="G46" s="435">
        <f>土地案例!P40</f>
        <v>3136</v>
      </c>
      <c r="H46" s="436"/>
      <c r="I46" s="433">
        <f>土地案例!P50</f>
        <v>2488</v>
      </c>
      <c r="J46" s="436"/>
      <c r="K46" s="714"/>
      <c r="L46" s="2722"/>
      <c r="M46" s="2723"/>
      <c r="N46" s="2714"/>
      <c r="O46" s="2723"/>
      <c r="P46" s="3733" t="str">
        <f>A46</f>
        <v>成交单价</v>
      </c>
      <c r="Q46" s="3733"/>
      <c r="R46" s="3728">
        <f>E46</f>
        <v>3149</v>
      </c>
      <c r="S46" s="3728"/>
      <c r="T46" s="3728">
        <f>G46</f>
        <v>3136</v>
      </c>
      <c r="U46" s="3728"/>
      <c r="V46" s="3728">
        <f>I46</f>
        <v>2488</v>
      </c>
      <c r="W46" s="3728"/>
      <c r="X46" s="690"/>
      <c r="Y46" s="712"/>
      <c r="Z46" s="690"/>
      <c r="AA46" s="690"/>
      <c r="AB46" s="690"/>
      <c r="AC46" s="690"/>
    </row>
    <row r="47" spans="1:29" ht="15.75" thickBot="1">
      <c r="A47" s="437" t="s">
        <v>1792</v>
      </c>
      <c r="B47" s="631"/>
      <c r="C47" s="440">
        <f>R48</f>
        <v>3113</v>
      </c>
      <c r="D47" s="2317" t="s">
        <v>2136</v>
      </c>
      <c r="E47" s="440">
        <f>R47</f>
        <v>3299</v>
      </c>
      <c r="F47" s="2318"/>
      <c r="G47" s="439">
        <f>T47</f>
        <v>3292</v>
      </c>
      <c r="H47" s="2318"/>
      <c r="I47" s="440">
        <f>V47</f>
        <v>2748</v>
      </c>
      <c r="J47" s="2318"/>
      <c r="K47" s="2320">
        <f>F47+H47+J47</f>
        <v>0</v>
      </c>
      <c r="L47" s="2722"/>
      <c r="M47" s="2723"/>
      <c r="N47" s="2723"/>
      <c r="O47" s="2723"/>
      <c r="P47" s="3733" t="str">
        <f>A47</f>
        <v>比较价值（元/平方米）</v>
      </c>
      <c r="Q47" s="3733"/>
      <c r="R47" s="3761">
        <f>ROUND(PRODUCT(R46,AA7:AA45),0)</f>
        <v>3299</v>
      </c>
      <c r="S47" s="3761"/>
      <c r="T47" s="3761">
        <f>ROUND(PRODUCT(T46,AB7:AB45),0)</f>
        <v>3292</v>
      </c>
      <c r="U47" s="3761"/>
      <c r="V47" s="3761">
        <f>ROUND(PRODUCT(V46,AC7:AC45),0)</f>
        <v>2748</v>
      </c>
      <c r="W47" s="3761"/>
      <c r="X47" s="690"/>
      <c r="Y47" s="690"/>
      <c r="Z47" s="690"/>
      <c r="AA47" s="690"/>
      <c r="AB47" s="690"/>
      <c r="AC47" s="690"/>
    </row>
    <row r="48" spans="1:29" ht="15.75" thickBot="1">
      <c r="A48" s="441" t="s">
        <v>1878</v>
      </c>
      <c r="B48" s="442"/>
      <c r="C48" s="443">
        <f>R48</f>
        <v>3113</v>
      </c>
      <c r="D48" s="443"/>
      <c r="E48" s="443"/>
      <c r="F48" s="443"/>
      <c r="G48" s="443"/>
      <c r="H48" s="443"/>
      <c r="I48" s="443"/>
      <c r="J48" s="443"/>
      <c r="K48" s="715"/>
      <c r="L48" s="2722"/>
      <c r="M48" s="2723"/>
      <c r="N48" s="2723"/>
      <c r="O48" s="2723"/>
      <c r="P48" s="3730" t="str">
        <f>A48</f>
        <v>估价对象XX用房的比较价值（楼面单价，元/平方米）</v>
      </c>
      <c r="Q48" s="3731"/>
      <c r="R48" s="3762">
        <f>ROUND(IF(D47="简单平均",AVERAGE(R47:W47),R47*F47+T47*H47+V47*J47),0)</f>
        <v>3113</v>
      </c>
      <c r="S48" s="3762"/>
      <c r="T48" s="3762"/>
      <c r="U48" s="3762"/>
      <c r="V48" s="3762"/>
      <c r="W48" s="376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f>IF(E46&lt;E47,E47/E46-1,E46/E47-1)</f>
        <v>4.7634169577643659E-2</v>
      </c>
      <c r="F51" s="449" t="str">
        <f>IF(OR(E51&gt;=0.3,E51&lt;=-0.3),"超过30%","")</f>
        <v/>
      </c>
      <c r="G51" s="448">
        <f>IF(G46&lt;G47,G47/G46-1,G46/G47-1)</f>
        <v>4.9744897959183687E-2</v>
      </c>
      <c r="H51" s="449" t="str">
        <f>IF(OR(G51&gt;=0.3,G51&lt;=-0.3),"超过30%","")</f>
        <v/>
      </c>
      <c r="I51" s="448">
        <f>IF(I46&lt;I47,I47/I46-1,I46/I47-1)</f>
        <v>0.10450160771704176</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f>IF(E47&lt;G47,G47/E47-1,E47/G47-1)</f>
        <v>2.1263669501823124E-3</v>
      </c>
      <c r="F52" s="449" t="str">
        <f>IF(OR(E52&gt;=0.2,E52&lt;=-0.2),"超过20%","")</f>
        <v/>
      </c>
      <c r="G52" s="448">
        <f>IF(G47&lt;I47,I47/G47-1,G47/I47-1)</f>
        <v>0.19796215429403197</v>
      </c>
      <c r="H52" s="449" t="str">
        <f>IF(OR(G52&gt;=0.2,G52&lt;=-0.2),"超过20%","")</f>
        <v/>
      </c>
      <c r="I52" s="448">
        <f>IF(I47&lt;E47,E47/I47-1,I47/E47-1)</f>
        <v>0.20050946142649195</v>
      </c>
      <c r="J52" s="449" t="str">
        <f>IF(OR(I52&gt;=0.2,I52&lt;=-0.2),"超过20%","")</f>
        <v>超过20%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f>IF(E46&lt;G46,G46/E46-1,E46/G46-1)</f>
        <v>4.1454081632652517E-3</v>
      </c>
      <c r="F53" s="449" t="str">
        <f>IF(OR(E53&gt;=0.3,E53&lt;=-0.3),"超过30%","")</f>
        <v/>
      </c>
      <c r="G53" s="448">
        <f>IF(G46&lt;I46,I46/G46-1,G46/I46-1)</f>
        <v>0.26045016077170424</v>
      </c>
      <c r="H53" s="449" t="str">
        <f>IF(OR(G53&gt;=0.3,G53&lt;=-0.3),"超过30%","")</f>
        <v/>
      </c>
      <c r="I53" s="448">
        <f>IF(I46&lt;E46,E46/I46-1,I46/E46-1)</f>
        <v>0.26567524115755625</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3" t="s">
        <v>1881</v>
      </c>
      <c r="D55" s="1984" t="s">
        <v>1882</v>
      </c>
      <c r="E55" s="634" t="s">
        <v>1883</v>
      </c>
      <c r="F55" s="890" t="s">
        <v>1884</v>
      </c>
      <c r="G55" s="3716" t="s">
        <v>1885</v>
      </c>
      <c r="H55" s="3763"/>
      <c r="I55" s="135" t="s">
        <v>1886</v>
      </c>
      <c r="J55" s="1985" t="str">
        <f>项目基本情况!F35</f>
        <v>贵州省毕节市</v>
      </c>
      <c r="K55" s="1986"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f>C48</f>
        <v>3113</v>
      </c>
      <c r="C56" s="638">
        <v>1</v>
      </c>
      <c r="D56" s="944">
        <v>1</v>
      </c>
      <c r="E56" s="638">
        <f>'数据-汇总表'!E8+'数据-汇总表'!E9</f>
        <v>6832.22</v>
      </c>
      <c r="F56" s="886">
        <f t="shared" ref="F56:F64" si="15">ROUND(B56*E56/10000,0)</f>
        <v>2127</v>
      </c>
      <c r="G56" s="3715"/>
      <c r="H56" s="373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f>ROUND($C$48*C57*D57,0)</f>
        <v>0</v>
      </c>
      <c r="C57" s="171">
        <f t="shared" ref="C57:C64" si="16">IF($C$55="北京市系数",I57,J57)</f>
        <v>0</v>
      </c>
      <c r="D57" s="945">
        <v>0.25</v>
      </c>
      <c r="E57" s="642"/>
      <c r="F57" s="886">
        <f t="shared" si="15"/>
        <v>0</v>
      </c>
      <c r="G57" s="3004" t="s">
        <v>1890</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f t="shared" ref="B58:B64" si="17">ROUND($C$48*C58*D58,0)</f>
        <v>0</v>
      </c>
      <c r="C58" s="171">
        <f t="shared" si="16"/>
        <v>0</v>
      </c>
      <c r="D58" s="945">
        <v>0.25</v>
      </c>
      <c r="E58" s="642"/>
      <c r="F58" s="886">
        <f t="shared" si="15"/>
        <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f t="shared" si="17"/>
        <v>0</v>
      </c>
      <c r="C59" s="171">
        <f t="shared" si="16"/>
        <v>0</v>
      </c>
      <c r="D59" s="945">
        <v>0.25</v>
      </c>
      <c r="E59" s="642"/>
      <c r="F59" s="886">
        <f t="shared" si="15"/>
        <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f t="shared" si="17"/>
        <v>0</v>
      </c>
      <c r="C60" s="171">
        <f t="shared" si="16"/>
        <v>0</v>
      </c>
      <c r="D60" s="945">
        <v>0.25</v>
      </c>
      <c r="E60" s="217">
        <f>'数据-汇总表'!E11</f>
        <v>0</v>
      </c>
      <c r="F60" s="886">
        <f t="shared" si="15"/>
        <v>0</v>
      </c>
      <c r="G60" s="1987" t="s">
        <v>1894</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f t="shared" si="17"/>
        <v>0</v>
      </c>
      <c r="C61" s="171">
        <f t="shared" si="16"/>
        <v>0</v>
      </c>
      <c r="D61" s="945">
        <v>0.25</v>
      </c>
      <c r="E61" s="217">
        <f>'数据-汇总表'!E12</f>
        <v>0</v>
      </c>
      <c r="F61" s="886">
        <f t="shared" si="15"/>
        <v>0</v>
      </c>
      <c r="G61" s="892" t="s">
        <v>1896</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f t="shared" si="17"/>
        <v>0</v>
      </c>
      <c r="C62" s="171">
        <f t="shared" si="16"/>
        <v>0</v>
      </c>
      <c r="D62" s="945">
        <v>0.25</v>
      </c>
      <c r="E62" s="217">
        <f>'数据-汇总表'!E13</f>
        <v>39883.730000000003</v>
      </c>
      <c r="F62" s="886">
        <f t="shared" si="15"/>
        <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f t="shared" si="17"/>
        <v>0</v>
      </c>
      <c r="C63" s="171">
        <f t="shared" si="16"/>
        <v>0</v>
      </c>
      <c r="D63" s="945">
        <v>0.25</v>
      </c>
      <c r="E63" s="217">
        <f>'数据-汇总表'!E14</f>
        <v>0</v>
      </c>
      <c r="F63" s="886">
        <f t="shared" si="15"/>
        <v>0</v>
      </c>
      <c r="G63" s="1987" t="s">
        <v>1890</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f t="shared" si="17"/>
        <v>0</v>
      </c>
      <c r="C64" s="171">
        <f t="shared" si="16"/>
        <v>0</v>
      </c>
      <c r="D64" s="945">
        <v>0.25</v>
      </c>
      <c r="E64" s="217">
        <f>'数据-汇总表'!E15</f>
        <v>0</v>
      </c>
      <c r="F64" s="886">
        <f t="shared" si="15"/>
        <v>0</v>
      </c>
      <c r="G64" s="1988" t="s">
        <v>1894</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46715.950000000004</v>
      </c>
      <c r="F65" s="645">
        <f>IF(B46="楼面地价",SUM(F56:F64),ROUND(C48*E65/10000,0))</f>
        <v>2127</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1903</v>
      </c>
      <c r="B70" s="288" t="str">
        <f>"北京市平均增长率"&amp;TEXT(SUMIF(基准地价修正!N25:N29,A70,基准地价修正!P25:P29),"0.00%")</f>
        <v>北京市平均增长率0.00%</v>
      </c>
      <c r="C70" s="552">
        <v>100</v>
      </c>
      <c r="D70" s="544">
        <f>C70-0.2</f>
        <v>99.8</v>
      </c>
      <c r="E70" s="544">
        <f t="shared" ref="E70:N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f t="shared" si="20"/>
        <v>97.799999999999969</v>
      </c>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3482" t="s">
        <v>3777</v>
      </c>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0（含）-1</v>
      </c>
      <c r="D78" s="496" t="str">
        <f t="shared" ref="D78:L78" si="21">D79&amp;"（含）"&amp;"-"&amp;E79</f>
        <v>1（含）-2</v>
      </c>
      <c r="E78" s="496" t="str">
        <f t="shared" si="21"/>
        <v>2（含）-3</v>
      </c>
      <c r="F78" s="496" t="str">
        <f t="shared" si="21"/>
        <v>3（含）-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v>0</v>
      </c>
      <c r="D79" s="498">
        <v>1</v>
      </c>
      <c r="E79" s="498">
        <v>2</v>
      </c>
      <c r="F79" s="498">
        <v>3</v>
      </c>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2">IF($B$46="单位面积地价",C80+$K11,C80-$K11)</f>
        <v>95</v>
      </c>
      <c r="E80" s="493">
        <f t="shared" si="22"/>
        <v>90</v>
      </c>
      <c r="F80" s="493">
        <f t="shared" si="22"/>
        <v>85</v>
      </c>
      <c r="G80" s="493">
        <f t="shared" si="22"/>
        <v>80</v>
      </c>
      <c r="H80" s="493">
        <f t="shared" si="22"/>
        <v>75</v>
      </c>
      <c r="I80" s="493">
        <f t="shared" si="22"/>
        <v>70</v>
      </c>
      <c r="J80" s="493">
        <f t="shared" si="22"/>
        <v>65</v>
      </c>
      <c r="K80" s="493">
        <f t="shared" si="22"/>
        <v>60</v>
      </c>
      <c r="L80" s="493">
        <f t="shared" si="22"/>
        <v>55</v>
      </c>
      <c r="M80" s="493">
        <f t="shared" si="22"/>
        <v>50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98</v>
      </c>
      <c r="E94" s="493">
        <f>D94-$K21</f>
        <v>96</v>
      </c>
      <c r="F94" s="493">
        <f>E94-$K21</f>
        <v>94</v>
      </c>
      <c r="G94" s="493">
        <f>F94-$K21</f>
        <v>92</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8.5">
      <c r="A115" s="476" t="s">
        <v>1693</v>
      </c>
      <c r="B115" s="477" t="s">
        <v>1911</v>
      </c>
      <c r="C115" s="478" t="str">
        <f>C116&amp;"(含)"&amp;"-"&amp;D116</f>
        <v>0(含)-10000</v>
      </c>
      <c r="D115" s="478" t="str">
        <f t="shared" ref="D115:M115" si="26">D116&amp;"(含)"&amp;"-"&amp;E116</f>
        <v>10000(含)-20000</v>
      </c>
      <c r="E115" s="478" t="str">
        <f t="shared" si="26"/>
        <v>20000(含)-30000</v>
      </c>
      <c r="F115" s="478" t="str">
        <f t="shared" si="26"/>
        <v>30000(含)-40000</v>
      </c>
      <c r="G115" s="478" t="str">
        <f t="shared" si="26"/>
        <v>40000(含)-50000</v>
      </c>
      <c r="H115" s="478" t="str">
        <f t="shared" si="26"/>
        <v>50000(含)-60000</v>
      </c>
      <c r="I115" s="478" t="str">
        <f t="shared" si="26"/>
        <v>60000(含)-</v>
      </c>
      <c r="J115" s="478" t="str">
        <f t="shared" si="26"/>
        <v>(含)-</v>
      </c>
      <c r="K115" s="478" t="str">
        <f t="shared" si="26"/>
        <v>(含)-</v>
      </c>
      <c r="L115" s="478" t="str">
        <f t="shared" si="26"/>
        <v>(含)-</v>
      </c>
      <c r="M115" s="478" t="str">
        <f t="shared" si="26"/>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v>0</v>
      </c>
      <c r="D116" s="544">
        <f>C116+10000</f>
        <v>10000</v>
      </c>
      <c r="E116" s="544">
        <f t="shared" ref="E116:I116" si="27">D116+10000</f>
        <v>20000</v>
      </c>
      <c r="F116" s="544">
        <f t="shared" si="27"/>
        <v>30000</v>
      </c>
      <c r="G116" s="544">
        <f t="shared" si="27"/>
        <v>40000</v>
      </c>
      <c r="H116" s="544">
        <f t="shared" si="27"/>
        <v>50000</v>
      </c>
      <c r="I116" s="544">
        <f t="shared" si="27"/>
        <v>60000</v>
      </c>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v>100</v>
      </c>
      <c r="D117" s="540">
        <f>C117+1</f>
        <v>101</v>
      </c>
      <c r="E117" s="540">
        <f t="shared" ref="E117:I117" si="28">D117+1</f>
        <v>102</v>
      </c>
      <c r="F117" s="540">
        <f t="shared" si="28"/>
        <v>103</v>
      </c>
      <c r="G117" s="540">
        <f t="shared" si="28"/>
        <v>104</v>
      </c>
      <c r="H117" s="540">
        <f t="shared" si="28"/>
        <v>105</v>
      </c>
      <c r="I117" s="540">
        <f t="shared" si="28"/>
        <v>106</v>
      </c>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9">C119-$K39</f>
        <v>100</v>
      </c>
      <c r="E119" s="493">
        <f t="shared" si="29"/>
        <v>100</v>
      </c>
      <c r="F119" s="493">
        <f t="shared" si="29"/>
        <v>100</v>
      </c>
      <c r="G119" s="493">
        <f t="shared" si="29"/>
        <v>100</v>
      </c>
      <c r="H119" s="493">
        <f t="shared" si="29"/>
        <v>100</v>
      </c>
      <c r="I119" s="493">
        <f t="shared" si="29"/>
        <v>100</v>
      </c>
      <c r="J119" s="493">
        <f t="shared" si="29"/>
        <v>100</v>
      </c>
      <c r="K119" s="493">
        <f t="shared" si="29"/>
        <v>100</v>
      </c>
      <c r="L119" s="493">
        <f t="shared" si="29"/>
        <v>100</v>
      </c>
      <c r="M119" s="494">
        <f t="shared" si="29"/>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30">C121-$K40</f>
        <v>100</v>
      </c>
      <c r="E121" s="493">
        <f t="shared" si="30"/>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31">C123-$K41</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32">C125-$K42</f>
        <v>100</v>
      </c>
      <c r="E125" s="493">
        <f t="shared" si="32"/>
        <v>100</v>
      </c>
      <c r="F125" s="493">
        <f t="shared" si="32"/>
        <v>100</v>
      </c>
      <c r="G125" s="493">
        <f t="shared" si="32"/>
        <v>100</v>
      </c>
      <c r="H125" s="493">
        <f t="shared" si="32"/>
        <v>100</v>
      </c>
      <c r="I125" s="493">
        <f t="shared" si="32"/>
        <v>100</v>
      </c>
      <c r="J125" s="493">
        <f t="shared" si="32"/>
        <v>100</v>
      </c>
      <c r="K125" s="493">
        <f t="shared" si="32"/>
        <v>100</v>
      </c>
      <c r="L125" s="493">
        <f t="shared" si="32"/>
        <v>100</v>
      </c>
      <c r="M125" s="494">
        <f t="shared" si="32"/>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16" t="s">
        <v>1769</v>
      </c>
      <c r="D4" s="3717"/>
      <c r="E4" s="3718" t="s">
        <v>1770</v>
      </c>
      <c r="F4" s="3719"/>
      <c r="G4" s="3716" t="s">
        <v>1771</v>
      </c>
      <c r="H4" s="3717"/>
      <c r="I4" s="3716" t="s">
        <v>1772</v>
      </c>
      <c r="J4" s="3717"/>
      <c r="K4" s="559" t="s">
        <v>1773</v>
      </c>
      <c r="L4" s="2713"/>
      <c r="M4" s="2714"/>
      <c r="N4" s="2714"/>
      <c r="O4" s="2714"/>
      <c r="P4" s="3720" t="s">
        <v>1774</v>
      </c>
      <c r="Q4" s="3721"/>
      <c r="R4" s="3703" t="s">
        <v>1770</v>
      </c>
      <c r="S4" s="3704"/>
      <c r="T4" s="3703" t="s">
        <v>1771</v>
      </c>
      <c r="U4" s="3704"/>
      <c r="V4" s="3728" t="s">
        <v>1772</v>
      </c>
      <c r="W4" s="3728"/>
      <c r="X4" s="1355"/>
      <c r="Y4" s="3703" t="s">
        <v>1774</v>
      </c>
      <c r="Z4" s="3704"/>
      <c r="AA4" s="3698" t="s">
        <v>1770</v>
      </c>
      <c r="AB4" s="3699" t="s">
        <v>1771</v>
      </c>
      <c r="AC4" s="3698" t="s">
        <v>1772</v>
      </c>
    </row>
    <row r="5" spans="1:29" ht="15">
      <c r="A5" s="358"/>
      <c r="B5" s="359"/>
      <c r="C5" s="3709" t="s">
        <v>1672</v>
      </c>
      <c r="D5" s="3710"/>
      <c r="E5" s="3707" t="s">
        <v>1673</v>
      </c>
      <c r="F5" s="3708"/>
      <c r="G5" s="3709" t="s">
        <v>1674</v>
      </c>
      <c r="H5" s="3710"/>
      <c r="I5" s="3709" t="s">
        <v>1675</v>
      </c>
      <c r="J5" s="3710"/>
      <c r="K5" s="559"/>
      <c r="L5" s="2713"/>
      <c r="M5" s="2714"/>
      <c r="N5" s="2714"/>
      <c r="O5" s="2714"/>
      <c r="P5" s="3722"/>
      <c r="Q5" s="3723"/>
      <c r="R5" s="3705"/>
      <c r="S5" s="3706"/>
      <c r="T5" s="3705"/>
      <c r="U5" s="3706"/>
      <c r="V5" s="3728"/>
      <c r="W5" s="3728"/>
      <c r="X5" s="1355"/>
      <c r="Y5" s="3705"/>
      <c r="Z5" s="3706"/>
      <c r="AA5" s="3699"/>
      <c r="AB5" s="3699"/>
      <c r="AC5" s="3699"/>
    </row>
    <row r="6" spans="1:29" ht="15.75" thickBot="1">
      <c r="A6" s="360"/>
      <c r="B6" s="361"/>
      <c r="C6" s="3764" t="s">
        <v>1917</v>
      </c>
      <c r="D6" s="3765"/>
      <c r="E6" s="3766" t="s">
        <v>1917</v>
      </c>
      <c r="F6" s="3767"/>
      <c r="G6" s="3764" t="s">
        <v>1917</v>
      </c>
      <c r="H6" s="3765"/>
      <c r="I6" s="3764" t="s">
        <v>1917</v>
      </c>
      <c r="J6" s="3765"/>
      <c r="K6" s="559" t="s">
        <v>1677</v>
      </c>
      <c r="L6" s="2713"/>
      <c r="M6" s="2714"/>
      <c r="N6" s="2714"/>
      <c r="O6" s="2714"/>
      <c r="P6" s="3724"/>
      <c r="Q6" s="3725"/>
      <c r="R6" s="3705"/>
      <c r="S6" s="3706"/>
      <c r="T6" s="3726"/>
      <c r="U6" s="3727"/>
      <c r="V6" s="3728"/>
      <c r="W6" s="3728"/>
      <c r="X6" s="1355"/>
      <c r="Y6" s="3726"/>
      <c r="Z6" s="3727"/>
      <c r="AA6" s="3700"/>
      <c r="AB6" s="3700"/>
      <c r="AC6" s="3700"/>
    </row>
    <row r="7" spans="1:29" s="108" customFormat="1" ht="15.75" thickBot="1">
      <c r="A7" s="362" t="s">
        <v>1678</v>
      </c>
      <c r="B7" s="363"/>
      <c r="C7" s="364">
        <f>'数据-取费表'!B2</f>
        <v>44977</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1" t="s">
        <v>1679</v>
      </c>
      <c r="Q7" s="3729"/>
      <c r="R7" s="701" t="s">
        <v>14</v>
      </c>
      <c r="S7" s="702">
        <f t="shared" ref="S7:S15" si="0">F7</f>
        <v>0</v>
      </c>
      <c r="T7" s="701" t="s">
        <v>14</v>
      </c>
      <c r="U7" s="702">
        <f t="shared" ref="U7:U15" si="1">H7</f>
        <v>0</v>
      </c>
      <c r="V7" s="701" t="s">
        <v>14</v>
      </c>
      <c r="W7" s="702">
        <f t="shared" ref="W7:W15" si="2">J7</f>
        <v>0</v>
      </c>
      <c r="X7" s="703"/>
      <c r="Y7" s="3701" t="s">
        <v>1679</v>
      </c>
      <c r="Z7" s="370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1682</v>
      </c>
      <c r="Q8" s="3702"/>
      <c r="R8" s="701" t="s">
        <v>14</v>
      </c>
      <c r="S8" s="702">
        <f t="shared" si="0"/>
        <v>0</v>
      </c>
      <c r="T8" s="701" t="s">
        <v>14</v>
      </c>
      <c r="U8" s="702">
        <f t="shared" si="1"/>
        <v>0</v>
      </c>
      <c r="V8" s="701" t="s">
        <v>14</v>
      </c>
      <c r="W8" s="702">
        <f t="shared" si="2"/>
        <v>0</v>
      </c>
      <c r="X8" s="703"/>
      <c r="Y8" s="3701" t="s">
        <v>1682</v>
      </c>
      <c r="Z8" s="370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33" t="s">
        <v>1685</v>
      </c>
      <c r="Q9" s="1343" t="str">
        <f t="shared" ref="Q9:Q15" si="6">B9</f>
        <v>用途</v>
      </c>
      <c r="R9" s="701" t="s">
        <v>14</v>
      </c>
      <c r="S9" s="702">
        <f t="shared" si="0"/>
        <v>100</v>
      </c>
      <c r="T9" s="701" t="s">
        <v>14</v>
      </c>
      <c r="U9" s="702">
        <f t="shared" si="1"/>
        <v>100</v>
      </c>
      <c r="V9" s="701" t="s">
        <v>14</v>
      </c>
      <c r="W9" s="702">
        <f t="shared" si="2"/>
        <v>100</v>
      </c>
      <c r="X9" s="703"/>
      <c r="Y9" s="364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33"/>
      <c r="Q10" s="1343" t="str">
        <f t="shared" si="6"/>
        <v>土地使用年限（年）</v>
      </c>
      <c r="R10" s="701" t="s">
        <v>14</v>
      </c>
      <c r="S10" s="702">
        <f t="shared" si="0"/>
        <v>110</v>
      </c>
      <c r="T10" s="701" t="s">
        <v>14</v>
      </c>
      <c r="U10" s="702">
        <f t="shared" si="1"/>
        <v>110</v>
      </c>
      <c r="V10" s="701" t="s">
        <v>14</v>
      </c>
      <c r="W10" s="702">
        <f t="shared" si="2"/>
        <v>110</v>
      </c>
      <c r="X10" s="703"/>
      <c r="Y10" s="3645"/>
      <c r="Z10" s="52" t="str">
        <f t="shared" si="7"/>
        <v>土地使用年限（年）</v>
      </c>
      <c r="AA10" s="704">
        <f t="shared" si="3"/>
        <v>0.90909090909090906</v>
      </c>
      <c r="AB10" s="704">
        <f t="shared" si="4"/>
        <v>0.90909090909090906</v>
      </c>
      <c r="AC10" s="704">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3"/>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3"/>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3"/>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3"/>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1689</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5" t="s">
        <v>1690</v>
      </c>
      <c r="Q15" s="1352" t="str">
        <f t="shared" si="6"/>
        <v>产业集聚程度</v>
      </c>
      <c r="R15" s="705" t="s">
        <v>14</v>
      </c>
      <c r="S15" s="706">
        <f t="shared" si="0"/>
        <v>100</v>
      </c>
      <c r="T15" s="705" t="s">
        <v>14</v>
      </c>
      <c r="U15" s="706">
        <f t="shared" si="1"/>
        <v>100</v>
      </c>
      <c r="V15" s="705" t="s">
        <v>14</v>
      </c>
      <c r="W15" s="706">
        <f t="shared" si="2"/>
        <v>100</v>
      </c>
      <c r="X15" s="1355"/>
      <c r="Y15" s="373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36"/>
      <c r="Q16" s="1352"/>
      <c r="R16" s="705"/>
      <c r="S16" s="706"/>
      <c r="T16" s="705"/>
      <c r="U16" s="706"/>
      <c r="V16" s="705"/>
      <c r="W16" s="706"/>
      <c r="X16" s="1355"/>
      <c r="Y16" s="373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36"/>
      <c r="Q18" s="1352"/>
      <c r="R18" s="705"/>
      <c r="S18" s="706"/>
      <c r="T18" s="705"/>
      <c r="U18" s="706"/>
      <c r="V18" s="705"/>
      <c r="W18" s="706"/>
      <c r="X18" s="1355"/>
      <c r="Y18" s="373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6"/>
      <c r="Q19" s="1352" t="str">
        <f t="shared" ref="Q19:Q33" si="8">B19</f>
        <v>区域土地利用方向</v>
      </c>
      <c r="R19" s="705" t="s">
        <v>14</v>
      </c>
      <c r="S19" s="706">
        <f>F19</f>
        <v>100</v>
      </c>
      <c r="T19" s="705" t="s">
        <v>14</v>
      </c>
      <c r="U19" s="706">
        <f>H19</f>
        <v>100</v>
      </c>
      <c r="V19" s="705" t="s">
        <v>14</v>
      </c>
      <c r="W19" s="706">
        <f>J19</f>
        <v>100</v>
      </c>
      <c r="X19" s="1355"/>
      <c r="Y19" s="373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36"/>
      <c r="Q20" s="1352"/>
      <c r="R20" s="705"/>
      <c r="S20" s="706"/>
      <c r="T20" s="705"/>
      <c r="U20" s="706"/>
      <c r="V20" s="705"/>
      <c r="W20" s="706"/>
      <c r="X20" s="1355"/>
      <c r="Y20" s="3736"/>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6"/>
      <c r="Q21" s="1352" t="str">
        <f t="shared" si="8"/>
        <v>环境状况</v>
      </c>
      <c r="R21" s="705" t="s">
        <v>14</v>
      </c>
      <c r="S21" s="706">
        <f>F21</f>
        <v>100</v>
      </c>
      <c r="T21" s="705" t="s">
        <v>14</v>
      </c>
      <c r="U21" s="706">
        <f>H21</f>
        <v>100</v>
      </c>
      <c r="V21" s="705" t="s">
        <v>14</v>
      </c>
      <c r="W21" s="706">
        <f>J21</f>
        <v>100</v>
      </c>
      <c r="X21" s="1355"/>
      <c r="Y21" s="373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36"/>
      <c r="Q22" s="1352"/>
      <c r="R22" s="705"/>
      <c r="S22" s="706"/>
      <c r="T22" s="705"/>
      <c r="U22" s="706"/>
      <c r="V22" s="705"/>
      <c r="W22" s="706"/>
      <c r="X22" s="1355"/>
      <c r="Y22" s="373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6"/>
      <c r="Q23" s="1343" t="str">
        <f t="shared" si="8"/>
        <v>公共配套设施</v>
      </c>
      <c r="R23" s="701" t="s">
        <v>14</v>
      </c>
      <c r="S23" s="702">
        <f>F23</f>
        <v>100</v>
      </c>
      <c r="T23" s="701" t="s">
        <v>14</v>
      </c>
      <c r="U23" s="702">
        <f>H23</f>
        <v>100</v>
      </c>
      <c r="V23" s="701" t="s">
        <v>14</v>
      </c>
      <c r="W23" s="702">
        <f>J23</f>
        <v>100</v>
      </c>
      <c r="X23" s="703"/>
      <c r="Y23" s="373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36"/>
      <c r="Q24" s="1343"/>
      <c r="R24" s="701"/>
      <c r="S24" s="702"/>
      <c r="T24" s="701"/>
      <c r="U24" s="702"/>
      <c r="V24" s="701"/>
      <c r="W24" s="702"/>
      <c r="X24" s="703"/>
      <c r="Y24" s="373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6"/>
      <c r="Q25" s="1343" t="str">
        <f t="shared" ref="Q25" si="9">B25</f>
        <v>基础设施水平</v>
      </c>
      <c r="R25" s="701" t="s">
        <v>14</v>
      </c>
      <c r="S25" s="702">
        <f>F25</f>
        <v>100</v>
      </c>
      <c r="T25" s="701" t="s">
        <v>14</v>
      </c>
      <c r="U25" s="702">
        <f>H25</f>
        <v>100</v>
      </c>
      <c r="V25" s="701" t="s">
        <v>14</v>
      </c>
      <c r="W25" s="702">
        <f>J25</f>
        <v>100</v>
      </c>
      <c r="X25" s="703"/>
      <c r="Y25" s="373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36"/>
      <c r="Q26" s="1343"/>
      <c r="R26" s="701"/>
      <c r="S26" s="702"/>
      <c r="T26" s="701"/>
      <c r="U26" s="702"/>
      <c r="V26" s="701"/>
      <c r="W26" s="702"/>
      <c r="X26" s="703"/>
      <c r="Y26" s="373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6"/>
      <c r="Q28" s="1352" t="str">
        <f t="shared" si="8"/>
        <v>毗邻道路的类型与等级</v>
      </c>
      <c r="R28" s="705" t="s">
        <v>14</v>
      </c>
      <c r="S28" s="706">
        <f t="shared" si="10"/>
        <v>100</v>
      </c>
      <c r="T28" s="705" t="s">
        <v>14</v>
      </c>
      <c r="U28" s="706">
        <f t="shared" si="11"/>
        <v>100</v>
      </c>
      <c r="V28" s="705" t="s">
        <v>14</v>
      </c>
      <c r="W28" s="706">
        <f t="shared" si="12"/>
        <v>100</v>
      </c>
      <c r="X28" s="1355"/>
      <c r="Y28" s="373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36"/>
      <c r="Q29" s="1352"/>
      <c r="R29" s="705"/>
      <c r="S29" s="706"/>
      <c r="T29" s="705"/>
      <c r="U29" s="706"/>
      <c r="V29" s="705"/>
      <c r="W29" s="706"/>
      <c r="X29" s="1355"/>
      <c r="Y29" s="373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6"/>
      <c r="Q30" s="1352" t="str">
        <f t="shared" si="8"/>
        <v>土地级别</v>
      </c>
      <c r="R30" s="705" t="s">
        <v>14</v>
      </c>
      <c r="S30" s="706">
        <f t="shared" si="10"/>
        <v>100</v>
      </c>
      <c r="T30" s="705" t="s">
        <v>14</v>
      </c>
      <c r="U30" s="706">
        <f t="shared" si="11"/>
        <v>100</v>
      </c>
      <c r="V30" s="705" t="s">
        <v>14</v>
      </c>
      <c r="W30" s="706">
        <f t="shared" si="12"/>
        <v>100</v>
      </c>
      <c r="X30" s="1355"/>
      <c r="Y30" s="373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6"/>
      <c r="Q31" s="1352">
        <f t="shared" si="8"/>
        <v>111</v>
      </c>
      <c r="R31" s="705" t="s">
        <v>14</v>
      </c>
      <c r="S31" s="706">
        <f t="shared" si="10"/>
        <v>100</v>
      </c>
      <c r="T31" s="705" t="s">
        <v>14</v>
      </c>
      <c r="U31" s="706">
        <f t="shared" si="11"/>
        <v>100</v>
      </c>
      <c r="V31" s="705" t="s">
        <v>14</v>
      </c>
      <c r="W31" s="706">
        <f t="shared" si="12"/>
        <v>100</v>
      </c>
      <c r="X31" s="1355"/>
      <c r="Y31" s="373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9" t="s">
        <v>1695</v>
      </c>
      <c r="Q32" s="1352">
        <f t="shared" si="8"/>
        <v>111</v>
      </c>
      <c r="R32" s="705" t="s">
        <v>14</v>
      </c>
      <c r="S32" s="706">
        <f t="shared" si="10"/>
        <v>100</v>
      </c>
      <c r="T32" s="705" t="s">
        <v>14</v>
      </c>
      <c r="U32" s="706">
        <f t="shared" si="11"/>
        <v>100</v>
      </c>
      <c r="V32" s="705" t="s">
        <v>14</v>
      </c>
      <c r="W32" s="706">
        <f t="shared" si="12"/>
        <v>100</v>
      </c>
      <c r="X32" s="1355"/>
      <c r="Y32" s="374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40"/>
      <c r="Q33" s="1352">
        <f t="shared" si="8"/>
        <v>111</v>
      </c>
      <c r="R33" s="708" t="s">
        <v>14</v>
      </c>
      <c r="S33" s="709">
        <f t="shared" si="10"/>
        <v>100</v>
      </c>
      <c r="T33" s="708" t="s">
        <v>14</v>
      </c>
      <c r="U33" s="709">
        <f t="shared" si="11"/>
        <v>100</v>
      </c>
      <c r="V33" s="708" t="s">
        <v>14</v>
      </c>
      <c r="W33" s="709">
        <f t="shared" si="12"/>
        <v>100</v>
      </c>
      <c r="X33" s="710"/>
      <c r="Y33" s="374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40"/>
      <c r="Q34" s="1352" t="str">
        <f>B34</f>
        <v>宗地面积</v>
      </c>
      <c r="R34" s="705" t="s">
        <v>14</v>
      </c>
      <c r="S34" s="706" t="e">
        <f t="shared" si="10"/>
        <v>#N/A</v>
      </c>
      <c r="T34" s="705" t="s">
        <v>14</v>
      </c>
      <c r="U34" s="706" t="e">
        <f t="shared" si="11"/>
        <v>#N/A</v>
      </c>
      <c r="V34" s="705" t="s">
        <v>14</v>
      </c>
      <c r="W34" s="706" t="e">
        <f t="shared" si="12"/>
        <v>#N/A</v>
      </c>
      <c r="X34" s="1355"/>
      <c r="Y34" s="374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40"/>
      <c r="Q35" s="1352" t="str">
        <f t="shared" ref="Q35:Q40" si="14">B35</f>
        <v>宗地形状</v>
      </c>
      <c r="R35" s="705" t="s">
        <v>14</v>
      </c>
      <c r="S35" s="706">
        <f t="shared" si="10"/>
        <v>100</v>
      </c>
      <c r="T35" s="705" t="s">
        <v>14</v>
      </c>
      <c r="U35" s="706">
        <f t="shared" si="11"/>
        <v>100</v>
      </c>
      <c r="V35" s="705" t="s">
        <v>14</v>
      </c>
      <c r="W35" s="706">
        <f t="shared" si="12"/>
        <v>100</v>
      </c>
      <c r="X35" s="1355"/>
      <c r="Y35" s="374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40"/>
      <c r="Q36" s="1352" t="str">
        <f t="shared" si="14"/>
        <v>宗地开发程度</v>
      </c>
      <c r="R36" s="701" t="s">
        <v>14</v>
      </c>
      <c r="S36" s="702">
        <f t="shared" si="10"/>
        <v>100</v>
      </c>
      <c r="T36" s="701" t="s">
        <v>14</v>
      </c>
      <c r="U36" s="702">
        <f t="shared" si="11"/>
        <v>100</v>
      </c>
      <c r="V36" s="701" t="s">
        <v>14</v>
      </c>
      <c r="W36" s="702">
        <f t="shared" si="12"/>
        <v>100</v>
      </c>
      <c r="X36" s="703"/>
      <c r="Y36" s="374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40" t="s">
        <v>1695</v>
      </c>
      <c r="Q37" s="1352" t="str">
        <f t="shared" si="14"/>
        <v>工程地质条件</v>
      </c>
      <c r="R37" s="705" t="s">
        <v>14</v>
      </c>
      <c r="S37" s="706">
        <f t="shared" si="10"/>
        <v>100</v>
      </c>
      <c r="T37" s="705" t="s">
        <v>14</v>
      </c>
      <c r="U37" s="706">
        <f t="shared" si="11"/>
        <v>100</v>
      </c>
      <c r="V37" s="705" t="s">
        <v>14</v>
      </c>
      <c r="W37" s="706">
        <f t="shared" si="12"/>
        <v>100</v>
      </c>
      <c r="X37" s="1355"/>
      <c r="Y37" s="374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40"/>
      <c r="Q38" s="1352">
        <f t="shared" si="14"/>
        <v>111</v>
      </c>
      <c r="R38" s="705" t="s">
        <v>14</v>
      </c>
      <c r="S38" s="706">
        <f t="shared" si="10"/>
        <v>100</v>
      </c>
      <c r="T38" s="705" t="s">
        <v>14</v>
      </c>
      <c r="U38" s="706">
        <f t="shared" si="11"/>
        <v>100</v>
      </c>
      <c r="V38" s="705" t="s">
        <v>14</v>
      </c>
      <c r="W38" s="706">
        <f t="shared" si="12"/>
        <v>100</v>
      </c>
      <c r="X38" s="1355"/>
      <c r="Y38" s="374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40"/>
      <c r="Q39" s="1352">
        <f t="shared" si="14"/>
        <v>111</v>
      </c>
      <c r="R39" s="705" t="s">
        <v>14</v>
      </c>
      <c r="S39" s="706">
        <f t="shared" si="10"/>
        <v>100</v>
      </c>
      <c r="T39" s="705" t="s">
        <v>14</v>
      </c>
      <c r="U39" s="706">
        <f t="shared" si="11"/>
        <v>100</v>
      </c>
      <c r="V39" s="705" t="s">
        <v>14</v>
      </c>
      <c r="W39" s="706">
        <f t="shared" si="12"/>
        <v>100</v>
      </c>
      <c r="X39" s="1355"/>
      <c r="Y39" s="374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40"/>
      <c r="Q40" s="1352">
        <f t="shared" si="14"/>
        <v>111</v>
      </c>
      <c r="R40" s="708" t="s">
        <v>14</v>
      </c>
      <c r="S40" s="709">
        <f t="shared" si="10"/>
        <v>100</v>
      </c>
      <c r="T40" s="708" t="s">
        <v>14</v>
      </c>
      <c r="U40" s="709">
        <f t="shared" si="11"/>
        <v>100</v>
      </c>
      <c r="V40" s="708" t="s">
        <v>14</v>
      </c>
      <c r="W40" s="709">
        <f t="shared" si="12"/>
        <v>100</v>
      </c>
      <c r="X40" s="710"/>
      <c r="Y40" s="3740"/>
      <c r="Z40" s="711">
        <f t="shared" si="13"/>
        <v>111</v>
      </c>
      <c r="AA40" s="1353">
        <f t="shared" si="3"/>
        <v>1</v>
      </c>
      <c r="AB40" s="1353">
        <f t="shared" si="4"/>
        <v>1</v>
      </c>
      <c r="AC40" s="1353">
        <f t="shared" si="5"/>
        <v>1</v>
      </c>
    </row>
    <row r="41" spans="1:31" ht="15">
      <c r="A41" s="430" t="s">
        <v>1843</v>
      </c>
      <c r="B41" s="1982" t="s">
        <v>1920</v>
      </c>
      <c r="C41" s="630" t="s">
        <v>0</v>
      </c>
      <c r="D41" s="432"/>
      <c r="E41" s="433"/>
      <c r="F41" s="434"/>
      <c r="G41" s="435"/>
      <c r="H41" s="436"/>
      <c r="I41" s="433"/>
      <c r="J41" s="436"/>
      <c r="K41" s="714"/>
      <c r="L41" s="2722"/>
      <c r="M41" s="2714"/>
      <c r="N41" s="2714"/>
      <c r="O41" s="2723"/>
      <c r="P41" s="3733" t="str">
        <f>A41</f>
        <v>成交单价</v>
      </c>
      <c r="Q41" s="3733"/>
      <c r="R41" s="3728">
        <f>E41</f>
        <v>0</v>
      </c>
      <c r="S41" s="3728"/>
      <c r="T41" s="3728">
        <f>G41</f>
        <v>0</v>
      </c>
      <c r="U41" s="3728"/>
      <c r="V41" s="3728">
        <f>I41</f>
        <v>0</v>
      </c>
      <c r="W41" s="3728"/>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733" t="str">
        <f>A42</f>
        <v>比较价值（元/平方米）</v>
      </c>
      <c r="Q42" s="3733"/>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30" t="str">
        <f>A43</f>
        <v>估价对象XX用房的比较价值（楼面单价，元/平方米）</v>
      </c>
      <c r="Q43" s="3731"/>
      <c r="R43" s="3762" t="e">
        <f>ROUND(IF(D42="简单平均",AVERAGE(R42:W42),R42*F42+T42*H42+V42*J42),0)</f>
        <v>#DIV/0!</v>
      </c>
      <c r="S43" s="3762"/>
      <c r="T43" s="3762"/>
      <c r="U43" s="3762"/>
      <c r="V43" s="3762"/>
      <c r="W43" s="376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3" t="s">
        <v>1881</v>
      </c>
      <c r="D50" s="1984" t="s">
        <v>1882</v>
      </c>
      <c r="E50" s="634" t="s">
        <v>1883</v>
      </c>
      <c r="F50" s="635" t="s">
        <v>1884</v>
      </c>
      <c r="G50" s="3716" t="s">
        <v>1885</v>
      </c>
      <c r="H50" s="3763"/>
      <c r="I50" s="1356" t="s">
        <v>1921</v>
      </c>
      <c r="J50" s="1356" t="str">
        <f>项目基本情况!F35</f>
        <v>贵州省毕节市</v>
      </c>
      <c r="K50" s="1986"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6832.22</v>
      </c>
      <c r="F51" s="639" t="e">
        <f t="shared" ref="F51:F60" si="15">ROUND(B51*E51/10000,0)</f>
        <v>#DIV/0!</v>
      </c>
      <c r="G51" s="3715"/>
      <c r="H51" s="373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v>
      </c>
      <c r="D52" s="945">
        <v>0.25</v>
      </c>
      <c r="E52" s="642"/>
      <c r="F52" s="639" t="e">
        <f t="shared" si="15"/>
        <v>#DIV/0!</v>
      </c>
      <c r="G52" s="3004" t="s">
        <v>1890</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39883.730000000003</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30070.98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71" t="s">
        <v>2082</v>
      </c>
      <c r="D1" s="3772"/>
      <c r="E1" s="3772"/>
      <c r="F1" s="3772"/>
      <c r="G1" s="3772"/>
      <c r="H1" s="3772"/>
      <c r="I1" s="3772"/>
      <c r="J1" s="3772"/>
      <c r="K1" s="3772"/>
      <c r="L1" s="3772"/>
      <c r="M1" s="3772"/>
      <c r="N1" s="3772"/>
      <c r="O1" s="3772"/>
      <c r="P1" s="3772"/>
      <c r="Q1" s="3772"/>
      <c r="R1" s="3772"/>
      <c r="S1" s="3773"/>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1"/>
      <c r="G1" s="2791"/>
      <c r="H1" s="2791"/>
      <c r="I1" s="2791"/>
      <c r="J1" s="2791"/>
      <c r="K1" s="2791"/>
      <c r="L1" s="2791"/>
      <c r="M1" s="2791"/>
      <c r="N1" s="2791"/>
      <c r="O1" s="2791"/>
      <c r="P1" s="2791"/>
    </row>
    <row r="2" spans="1:16" ht="15.75">
      <c r="A2" s="2145" t="s">
        <v>2071</v>
      </c>
      <c r="B2" s="2601" t="e">
        <f ca="1">SUMIF(B6:B13,"&lt;&gt;#ref!",B6:B13)</f>
        <v>#DIV/0!</v>
      </c>
      <c r="C2" s="2145" t="s">
        <v>2072</v>
      </c>
      <c r="D2" s="2145" t="s">
        <v>2073</v>
      </c>
      <c r="E2" s="2611">
        <f ca="1">SUMIF(E6:E13,"&lt;&gt;#ref!",E6:E13)</f>
        <v>0</v>
      </c>
      <c r="F2" s="2791"/>
      <c r="G2" s="2791"/>
      <c r="H2" s="2791"/>
      <c r="I2" s="2791"/>
      <c r="J2" s="2791"/>
      <c r="K2" s="2791"/>
      <c r="L2" s="2791"/>
      <c r="M2" s="2791"/>
      <c r="N2" s="2791"/>
      <c r="O2" s="2791"/>
      <c r="P2" s="2791"/>
    </row>
    <row r="3" spans="1:16" ht="15.75">
      <c r="A3" s="2145" t="s">
        <v>2074</v>
      </c>
      <c r="B3" s="2601" t="e">
        <f ca="1">ROUND(B2*10000/E2,0)</f>
        <v>#DIV/0!</v>
      </c>
      <c r="C3" s="2145"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2075</v>
      </c>
      <c r="B5" s="2609" t="s">
        <v>2076</v>
      </c>
      <c r="C5" s="2146"/>
      <c r="D5" s="2791"/>
      <c r="E5" s="2610" t="s">
        <v>2077</v>
      </c>
      <c r="F5" s="2791"/>
      <c r="G5" s="2791"/>
      <c r="H5" s="2791"/>
      <c r="I5" s="2791"/>
      <c r="J5" s="2791"/>
      <c r="K5" s="2791"/>
      <c r="L5" s="2791"/>
      <c r="M5" s="2791"/>
      <c r="N5" s="2791"/>
      <c r="O5" s="2791"/>
      <c r="P5" s="2791"/>
    </row>
    <row r="6" spans="1:16" ht="15.75">
      <c r="A6" s="2608" t="s">
        <v>2078</v>
      </c>
      <c r="B6" s="2601" t="e">
        <f ca="1">SUMIF(INDIRECT("'"&amp;A6&amp;"'"&amp;"!A:A"),"总价",INDIRECT("'"&amp;A6&amp;"'"&amp;"!B:B"))</f>
        <v>#DIV/0!</v>
      </c>
      <c r="C6" s="2145" t="s">
        <v>2072</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2072</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2072</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2072</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2072</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2072</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2072</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2072</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20"/>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8"/>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81"/>
      <c r="B4" s="3782"/>
      <c r="C4" s="3782"/>
      <c r="D4" s="3783"/>
      <c r="E4" s="3783"/>
      <c r="F4" s="3783"/>
      <c r="G4" s="3783"/>
      <c r="H4" s="3783"/>
      <c r="I4" s="3783"/>
      <c r="J4" s="3784"/>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3242</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7"/>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8" t="s">
        <v>1958</v>
      </c>
      <c r="X8" s="3779"/>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80"/>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8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1980</v>
      </c>
      <c r="C13" s="755">
        <f>ROUND(C16*D16*E16*F16*G16*H16*I16*J16,4)</f>
        <v>0</v>
      </c>
      <c r="D13" s="2035" t="s">
        <v>1981</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1983</v>
      </c>
      <c r="C14" s="2041" t="s">
        <v>1984</v>
      </c>
      <c r="D14" s="1350" t="s">
        <v>1985</v>
      </c>
      <c r="E14" s="27" t="s">
        <v>1986</v>
      </c>
      <c r="F14" s="3310" t="s">
        <v>3248</v>
      </c>
      <c r="G14" s="3310" t="s">
        <v>3248</v>
      </c>
      <c r="H14" s="3310" t="s">
        <v>3248</v>
      </c>
      <c r="I14" s="3310" t="s">
        <v>3248</v>
      </c>
      <c r="J14" s="3310" t="s">
        <v>3248</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3249</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85" t="s">
        <v>3259</v>
      </c>
      <c r="B20" s="167" t="s">
        <v>1992</v>
      </c>
      <c r="C20" s="3323" t="e">
        <f>ROUND(IF(F21="与级别开发程度一致",0,(G21-E21)/C21),0)</f>
        <v>#DIV/0!</v>
      </c>
      <c r="D20" s="3339" t="s">
        <v>1996</v>
      </c>
      <c r="E20" s="3340"/>
      <c r="F20" s="3791" t="s">
        <v>1993</v>
      </c>
      <c r="G20" s="3792"/>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86"/>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1998</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44977</v>
      </c>
      <c r="H23" s="3341" t="s">
        <v>3261</v>
      </c>
      <c r="I23" s="3342" t="str">
        <f>IF(H23="季度增幅（自定义）",SUMIF(N25:N28,E2,O25:O28),"")</f>
        <v/>
      </c>
      <c r="J23" s="3444" t="s">
        <v>3260</v>
      </c>
      <c r="K23" s="1125"/>
      <c r="L23" s="2055" t="s">
        <v>2002</v>
      </c>
      <c r="M23" s="1328">
        <f>ROUND(SUMIF(地价!B2:G2,E2,地价!B16:G16),0)</f>
        <v>0</v>
      </c>
      <c r="N23" s="2056" t="s">
        <v>2003</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3340</v>
      </c>
      <c r="C25" s="771">
        <f>IF(B25="容积率修正",IF(G3&lt;10,D26,J26),C27)</f>
        <v>0</v>
      </c>
      <c r="D25" s="2067"/>
      <c r="E25" s="2067"/>
      <c r="F25" s="2067"/>
      <c r="G25" s="2067"/>
      <c r="H25" s="2067"/>
      <c r="I25" s="2067"/>
      <c r="J25" s="2068"/>
      <c r="K25" s="1125"/>
      <c r="L25" s="2786"/>
      <c r="M25" s="2786"/>
      <c r="N25" s="2069"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2" t="str">
        <f>IF(G3&gt;=10,D115,"——")</f>
        <v>——</v>
      </c>
      <c r="K26" s="1125"/>
      <c r="L26" s="2786"/>
      <c r="M26" s="2786"/>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6"/>
      <c r="M28" s="2786"/>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9" t="s">
        <v>1934</v>
      </c>
      <c r="M30" s="3350" t="s">
        <v>1988</v>
      </c>
      <c r="N30" s="3350" t="s">
        <v>1989</v>
      </c>
      <c r="O30" s="3350" t="s">
        <v>1990</v>
      </c>
      <c r="P30" s="3350" t="s">
        <v>1991</v>
      </c>
      <c r="Q30" s="3353"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4" t="s">
        <v>3265</v>
      </c>
      <c r="G33" s="2099"/>
      <c r="H33" s="2099"/>
      <c r="I33" s="2099"/>
      <c r="J33" s="2100"/>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3266</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3270</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9"/>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3271</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90"/>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3272</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3274</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3274</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3274</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1720</v>
      </c>
      <c r="K82" s="552" t="s">
        <v>1721</v>
      </c>
      <c r="L82" s="552" t="s">
        <v>1722</v>
      </c>
      <c r="M82" s="552" t="s">
        <v>1723</v>
      </c>
      <c r="N82" s="552" t="s">
        <v>1724</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3275</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7" t="s">
        <v>3299</v>
      </c>
      <c r="B103" s="3787"/>
      <c r="C103" s="3787"/>
      <c r="D103" s="3787"/>
      <c r="E103" s="3787"/>
      <c r="F103" s="3787"/>
      <c r="G103" s="3787"/>
      <c r="H103" s="3787"/>
      <c r="I103" s="3787"/>
      <c r="J103" s="3787"/>
      <c r="K103" s="3388"/>
      <c r="L103" s="3388"/>
      <c r="M103" s="3388"/>
      <c r="N103" s="3388"/>
    </row>
    <row r="104" spans="1:14">
      <c r="A104" s="3788" t="s">
        <v>3300</v>
      </c>
      <c r="B104" s="3788" t="s">
        <v>3301</v>
      </c>
      <c r="C104" s="3389" t="s">
        <v>3302</v>
      </c>
      <c r="D104" s="3390"/>
      <c r="E104" s="3390"/>
      <c r="F104" s="3390"/>
      <c r="G104" s="3390"/>
      <c r="H104" s="3390"/>
      <c r="I104" s="3390"/>
      <c r="J104" s="3391"/>
      <c r="K104" s="3392"/>
      <c r="L104" s="3392"/>
      <c r="M104" s="3392"/>
      <c r="N104" s="3392"/>
    </row>
    <row r="105" spans="1:14">
      <c r="A105" s="3788"/>
      <c r="B105" s="3788"/>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74"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5"/>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7" t="s">
        <v>3316</v>
      </c>
      <c r="B113" s="3777"/>
      <c r="C113" s="3777"/>
      <c r="D113" s="3777"/>
      <c r="E113" s="3777"/>
      <c r="F113" s="3777"/>
      <c r="G113" s="3777"/>
      <c r="H113" s="3777"/>
      <c r="I113" s="3777"/>
      <c r="J113" s="377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v>
      </c>
      <c r="E116" s="2000" t="s">
        <v>3319</v>
      </c>
      <c r="F116" s="3400">
        <f>E2</f>
        <v>0</v>
      </c>
      <c r="G116" s="2000" t="s">
        <v>3320</v>
      </c>
      <c r="H116" s="3400">
        <f>G2</f>
        <v>0</v>
      </c>
      <c r="I116" s="2000"/>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00" t="s">
        <v>2608</v>
      </c>
      <c r="B20" s="3793" t="s">
        <v>2629</v>
      </c>
      <c r="C20" s="3101" t="s">
        <v>2440</v>
      </c>
      <c r="D20" s="3102"/>
      <c r="E20" s="3103">
        <v>1</v>
      </c>
      <c r="F20" s="3104" t="s">
        <v>2441</v>
      </c>
      <c r="G20" s="3104"/>
    </row>
    <row r="21" spans="1:13" ht="19.5" customHeight="1">
      <c r="A21" s="3801"/>
      <c r="B21" s="3794"/>
      <c r="C21" s="3105" t="s">
        <v>2442</v>
      </c>
      <c r="D21" s="3106"/>
      <c r="E21" s="3107">
        <v>1</v>
      </c>
      <c r="F21" s="3104" t="s">
        <v>2443</v>
      </c>
      <c r="G21" s="3104"/>
    </row>
    <row r="22" spans="1:13" ht="19.5" customHeight="1">
      <c r="A22" s="3801"/>
      <c r="B22" s="3794"/>
      <c r="C22" s="3105" t="s">
        <v>2444</v>
      </c>
      <c r="D22" s="3106"/>
      <c r="E22" s="3107">
        <v>0.9</v>
      </c>
      <c r="F22" s="3104" t="s">
        <v>2445</v>
      </c>
      <c r="G22" s="3104"/>
    </row>
    <row r="23" spans="1:13" ht="19.5" customHeight="1">
      <c r="A23" s="3801"/>
      <c r="B23" s="3794"/>
      <c r="C23" s="3105" t="s">
        <v>2446</v>
      </c>
      <c r="D23" s="3106"/>
      <c r="E23" s="3107">
        <v>0.9</v>
      </c>
      <c r="F23" s="3104" t="s">
        <v>2447</v>
      </c>
      <c r="G23" s="3104"/>
    </row>
    <row r="24" spans="1:13" ht="19.5" customHeight="1">
      <c r="A24" s="3801"/>
      <c r="B24" s="3794"/>
      <c r="C24" s="3105" t="s">
        <v>2448</v>
      </c>
      <c r="D24" s="3106"/>
      <c r="E24" s="3107">
        <v>0.8</v>
      </c>
      <c r="F24" s="3104" t="s">
        <v>2449</v>
      </c>
      <c r="G24" s="3104"/>
    </row>
    <row r="25" spans="1:13" ht="19.5" customHeight="1" thickBot="1">
      <c r="A25" s="3802"/>
      <c r="B25" s="3795"/>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96" t="s">
        <v>2632</v>
      </c>
      <c r="B27" s="3793" t="s">
        <v>2613</v>
      </c>
      <c r="C27" s="3101" t="s">
        <v>2453</v>
      </c>
      <c r="D27" s="3102"/>
      <c r="E27" s="3103">
        <v>1</v>
      </c>
      <c r="F27" s="3104" t="s">
        <v>2454</v>
      </c>
      <c r="G27" s="3104"/>
    </row>
    <row r="28" spans="1:13" ht="19.5" customHeight="1">
      <c r="A28" s="3797"/>
      <c r="B28" s="3794"/>
      <c r="C28" s="3105" t="s">
        <v>2455</v>
      </c>
      <c r="D28" s="3106"/>
      <c r="E28" s="3107">
        <v>1</v>
      </c>
      <c r="F28" s="3104" t="s">
        <v>2456</v>
      </c>
      <c r="G28" s="3104"/>
    </row>
    <row r="29" spans="1:13" ht="19.5" customHeight="1">
      <c r="A29" s="3797"/>
      <c r="B29" s="3794"/>
      <c r="C29" s="3105" t="s">
        <v>2457</v>
      </c>
      <c r="D29" s="3106"/>
      <c r="E29" s="3107">
        <v>0.8</v>
      </c>
      <c r="F29" s="3104" t="s">
        <v>2458</v>
      </c>
      <c r="G29" s="3104"/>
    </row>
    <row r="30" spans="1:13" ht="19.5" customHeight="1">
      <c r="A30" s="3797"/>
      <c r="B30" s="3794"/>
      <c r="C30" s="3105" t="s">
        <v>2459</v>
      </c>
      <c r="D30" s="3106"/>
      <c r="E30" s="3107">
        <v>0.8</v>
      </c>
      <c r="F30" s="3104" t="s">
        <v>2460</v>
      </c>
      <c r="G30" s="3104"/>
    </row>
    <row r="31" spans="1:13" ht="19.5" customHeight="1">
      <c r="A31" s="3797"/>
      <c r="B31" s="3794"/>
      <c r="C31" s="3105" t="s">
        <v>2461</v>
      </c>
      <c r="D31" s="3106"/>
      <c r="E31" s="3107">
        <v>0.8</v>
      </c>
      <c r="F31" s="3104" t="s">
        <v>2462</v>
      </c>
      <c r="G31" s="3104"/>
    </row>
    <row r="32" spans="1:13" ht="19.5" customHeight="1">
      <c r="A32" s="3797"/>
      <c r="B32" s="3794"/>
      <c r="C32" s="3105" t="s">
        <v>2463</v>
      </c>
      <c r="D32" s="3106"/>
      <c r="E32" s="3107">
        <v>0.7</v>
      </c>
      <c r="F32" s="3104" t="s">
        <v>2464</v>
      </c>
      <c r="G32" s="3104"/>
    </row>
    <row r="33" spans="1:7" ht="19.5" customHeight="1">
      <c r="A33" s="3797"/>
      <c r="B33" s="3794"/>
      <c r="C33" s="3105" t="s">
        <v>2465</v>
      </c>
      <c r="D33" s="3106"/>
      <c r="E33" s="3107">
        <v>0.8</v>
      </c>
      <c r="F33" s="3104" t="s">
        <v>2466</v>
      </c>
      <c r="G33" s="3104"/>
    </row>
    <row r="34" spans="1:7" ht="19.5" customHeight="1">
      <c r="A34" s="3797"/>
      <c r="B34" s="3794"/>
      <c r="C34" s="3105" t="s">
        <v>2467</v>
      </c>
      <c r="D34" s="3106"/>
      <c r="E34" s="3107">
        <v>0.6</v>
      </c>
      <c r="F34" s="3104" t="s">
        <v>2468</v>
      </c>
      <c r="G34" s="3104"/>
    </row>
    <row r="35" spans="1:7" ht="19.5" customHeight="1">
      <c r="A35" s="3797"/>
      <c r="B35" s="3794"/>
      <c r="C35" s="3105" t="s">
        <v>2469</v>
      </c>
      <c r="D35" s="3106"/>
      <c r="E35" s="3107">
        <v>0.2</v>
      </c>
      <c r="F35" s="3104" t="s">
        <v>2470</v>
      </c>
      <c r="G35" s="3104"/>
    </row>
    <row r="36" spans="1:7" ht="19.5" customHeight="1">
      <c r="A36" s="3797"/>
      <c r="B36" s="3794"/>
      <c r="C36" s="3105" t="s">
        <v>2471</v>
      </c>
      <c r="D36" s="3106"/>
      <c r="E36" s="3107">
        <v>0.2</v>
      </c>
      <c r="F36" s="3104" t="s">
        <v>2472</v>
      </c>
      <c r="G36" s="3104"/>
    </row>
    <row r="37" spans="1:7" ht="19.5" customHeight="1">
      <c r="A37" s="3797"/>
      <c r="B37" s="3799" t="s">
        <v>2633</v>
      </c>
      <c r="C37" s="3105" t="s">
        <v>2473</v>
      </c>
      <c r="D37" s="3106"/>
      <c r="E37" s="3107">
        <v>0.6</v>
      </c>
      <c r="F37" s="3104" t="s">
        <v>2474</v>
      </c>
      <c r="G37" s="3104"/>
    </row>
    <row r="38" spans="1:7" ht="19.5" customHeight="1">
      <c r="A38" s="3797"/>
      <c r="B38" s="3794"/>
      <c r="C38" s="3105" t="s">
        <v>2475</v>
      </c>
      <c r="D38" s="3106"/>
      <c r="E38" s="3107">
        <v>0.6</v>
      </c>
      <c r="F38" s="3104" t="s">
        <v>2476</v>
      </c>
      <c r="G38" s="3104"/>
    </row>
    <row r="39" spans="1:7" ht="19.5" customHeight="1" thickBot="1">
      <c r="A39" s="3798"/>
      <c r="B39" s="3795"/>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00" t="s">
        <v>2611</v>
      </c>
      <c r="B41" s="3793" t="s">
        <v>2635</v>
      </c>
      <c r="C41" s="3101" t="s">
        <v>2480</v>
      </c>
      <c r="D41" s="3102"/>
      <c r="E41" s="3103">
        <v>1</v>
      </c>
      <c r="F41" s="3104" t="s">
        <v>2481</v>
      </c>
      <c r="G41" s="3104"/>
    </row>
    <row r="42" spans="1:7" ht="19.5" customHeight="1">
      <c r="A42" s="3801"/>
      <c r="B42" s="3794"/>
      <c r="C42" s="3105" t="s">
        <v>2482</v>
      </c>
      <c r="D42" s="3106"/>
      <c r="E42" s="3107">
        <v>1</v>
      </c>
      <c r="F42" s="3104" t="s">
        <v>2483</v>
      </c>
      <c r="G42" s="3104"/>
    </row>
    <row r="43" spans="1:7" ht="19.5" customHeight="1">
      <c r="A43" s="3801"/>
      <c r="B43" s="3803"/>
      <c r="C43" s="3105" t="s">
        <v>2484</v>
      </c>
      <c r="D43" s="3106"/>
      <c r="E43" s="3107">
        <v>1.5</v>
      </c>
      <c r="F43" s="3104" t="s">
        <v>2485</v>
      </c>
      <c r="G43" s="3104"/>
    </row>
    <row r="44" spans="1:7" ht="19.5" customHeight="1">
      <c r="A44" s="3801"/>
      <c r="B44" s="3116" t="s">
        <v>2636</v>
      </c>
      <c r="C44" s="3105" t="s">
        <v>2637</v>
      </c>
      <c r="D44" s="3106"/>
      <c r="E44" s="3107">
        <v>2</v>
      </c>
      <c r="F44" s="3104" t="s">
        <v>2486</v>
      </c>
      <c r="G44" s="3104"/>
    </row>
    <row r="45" spans="1:7" ht="19.5" customHeight="1">
      <c r="A45" s="3801"/>
      <c r="B45" s="3799" t="s">
        <v>2638</v>
      </c>
      <c r="C45" s="3105" t="s">
        <v>2487</v>
      </c>
      <c r="D45" s="3106"/>
      <c r="E45" s="3107">
        <v>1</v>
      </c>
      <c r="F45" s="3104" t="s">
        <v>2488</v>
      </c>
      <c r="G45" s="3104"/>
    </row>
    <row r="46" spans="1:7" ht="19.5" customHeight="1">
      <c r="A46" s="3801"/>
      <c r="B46" s="3794"/>
      <c r="C46" s="3105" t="s">
        <v>2489</v>
      </c>
      <c r="D46" s="3106"/>
      <c r="E46" s="3107">
        <v>1</v>
      </c>
      <c r="F46" s="3104" t="s">
        <v>2490</v>
      </c>
      <c r="G46" s="3104"/>
    </row>
    <row r="47" spans="1:7" ht="19.5" customHeight="1">
      <c r="A47" s="3801"/>
      <c r="B47" s="3794"/>
      <c r="C47" s="3105" t="s">
        <v>2491</v>
      </c>
      <c r="D47" s="3106"/>
      <c r="E47" s="3107">
        <v>1</v>
      </c>
      <c r="F47" s="3104" t="s">
        <v>2492</v>
      </c>
      <c r="G47" s="3104"/>
    </row>
    <row r="48" spans="1:7" ht="19.5" customHeight="1">
      <c r="A48" s="3801"/>
      <c r="B48" s="3794"/>
      <c r="C48" s="3105" t="s">
        <v>2493</v>
      </c>
      <c r="D48" s="3106"/>
      <c r="E48" s="3107">
        <v>1</v>
      </c>
      <c r="F48" s="3104" t="s">
        <v>2494</v>
      </c>
      <c r="G48" s="3104"/>
    </row>
    <row r="49" spans="1:7" ht="19.5" customHeight="1">
      <c r="A49" s="3801"/>
      <c r="B49" s="3794"/>
      <c r="C49" s="3105" t="s">
        <v>2495</v>
      </c>
      <c r="D49" s="3106"/>
      <c r="E49" s="3107">
        <v>1</v>
      </c>
      <c r="F49" s="3104" t="s">
        <v>2496</v>
      </c>
      <c r="G49" s="3104"/>
    </row>
    <row r="50" spans="1:7" ht="19.5" customHeight="1">
      <c r="A50" s="3801"/>
      <c r="B50" s="3794"/>
      <c r="C50" s="3105" t="s">
        <v>2497</v>
      </c>
      <c r="D50" s="3106"/>
      <c r="E50" s="3107">
        <v>1</v>
      </c>
      <c r="F50" s="3104" t="s">
        <v>2498</v>
      </c>
      <c r="G50" s="3104"/>
    </row>
    <row r="51" spans="1:7" ht="19.5" customHeight="1" thickBot="1">
      <c r="A51" s="3802"/>
      <c r="B51" s="3795"/>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99" t="s">
        <v>2652</v>
      </c>
      <c r="C73" s="3090" t="s">
        <v>2653</v>
      </c>
      <c r="D73" s="3090" t="s">
        <v>2654</v>
      </c>
      <c r="E73" s="3116">
        <v>0.2</v>
      </c>
      <c r="F73" s="3116">
        <v>25</v>
      </c>
    </row>
    <row r="74" spans="1:7" ht="24">
      <c r="A74" s="3116">
        <v>2</v>
      </c>
      <c r="B74" s="3794"/>
      <c r="C74" s="3090" t="s">
        <v>2655</v>
      </c>
      <c r="D74" s="3090" t="s">
        <v>2656</v>
      </c>
      <c r="E74" s="3116">
        <v>0.2</v>
      </c>
      <c r="F74" s="3116">
        <v>25</v>
      </c>
    </row>
    <row r="75" spans="1:7" ht="24">
      <c r="A75" s="3116">
        <v>3</v>
      </c>
      <c r="B75" s="3794"/>
      <c r="C75" s="3090" t="s">
        <v>2657</v>
      </c>
      <c r="D75" s="3090" t="s">
        <v>2658</v>
      </c>
      <c r="E75" s="3116">
        <v>0.2</v>
      </c>
      <c r="F75" s="3116">
        <v>25</v>
      </c>
    </row>
    <row r="76" spans="1:7" ht="13.5">
      <c r="A76" s="3116">
        <v>4</v>
      </c>
      <c r="B76" s="3794"/>
      <c r="C76" s="3090" t="s">
        <v>2659</v>
      </c>
      <c r="D76" s="3090" t="s">
        <v>2660</v>
      </c>
      <c r="E76" s="3116">
        <v>0.15</v>
      </c>
      <c r="F76" s="3116">
        <v>20</v>
      </c>
    </row>
    <row r="77" spans="1:7" ht="24">
      <c r="A77" s="3116">
        <v>5</v>
      </c>
      <c r="B77" s="3794"/>
      <c r="C77" s="3090" t="s">
        <v>2661</v>
      </c>
      <c r="D77" s="3090" t="s">
        <v>2662</v>
      </c>
      <c r="E77" s="3116">
        <v>0.15</v>
      </c>
      <c r="F77" s="3116">
        <v>20</v>
      </c>
    </row>
    <row r="78" spans="1:7" ht="24">
      <c r="A78" s="3116">
        <v>6</v>
      </c>
      <c r="B78" s="3794"/>
      <c r="C78" s="3090" t="s">
        <v>2663</v>
      </c>
      <c r="D78" s="3090" t="s">
        <v>2664</v>
      </c>
      <c r="E78" s="3116">
        <v>0.15</v>
      </c>
      <c r="F78" s="3116">
        <v>20</v>
      </c>
    </row>
    <row r="79" spans="1:7" ht="24">
      <c r="A79" s="3116">
        <v>7</v>
      </c>
      <c r="B79" s="3794"/>
      <c r="C79" s="3090" t="s">
        <v>2665</v>
      </c>
      <c r="D79" s="3090" t="s">
        <v>2666</v>
      </c>
      <c r="E79" s="3116">
        <v>0.15</v>
      </c>
      <c r="F79" s="3116">
        <v>20</v>
      </c>
    </row>
    <row r="80" spans="1:7" ht="24">
      <c r="A80" s="3116">
        <v>8</v>
      </c>
      <c r="B80" s="3794"/>
      <c r="C80" s="3090" t="s">
        <v>2667</v>
      </c>
      <c r="D80" s="3090" t="s">
        <v>2668</v>
      </c>
      <c r="E80" s="3116">
        <v>0.1</v>
      </c>
      <c r="F80" s="3116">
        <v>15</v>
      </c>
    </row>
    <row r="81" spans="1:6" ht="24">
      <c r="A81" s="3116">
        <v>9</v>
      </c>
      <c r="B81" s="3794"/>
      <c r="C81" s="3090" t="s">
        <v>2669</v>
      </c>
      <c r="D81" s="3090" t="s">
        <v>2670</v>
      </c>
      <c r="E81" s="3116">
        <v>0.1</v>
      </c>
      <c r="F81" s="3116">
        <v>15</v>
      </c>
    </row>
    <row r="82" spans="1:6" ht="24">
      <c r="A82" s="3116">
        <v>10</v>
      </c>
      <c r="B82" s="3794"/>
      <c r="C82" s="3090" t="s">
        <v>2671</v>
      </c>
      <c r="D82" s="3090" t="s">
        <v>2672</v>
      </c>
      <c r="E82" s="3116">
        <v>0.1</v>
      </c>
      <c r="F82" s="3116">
        <v>15</v>
      </c>
    </row>
    <row r="83" spans="1:6" ht="24">
      <c r="A83" s="3116">
        <v>11</v>
      </c>
      <c r="B83" s="3794"/>
      <c r="C83" s="3090" t="s">
        <v>2673</v>
      </c>
      <c r="D83" s="3090" t="s">
        <v>2674</v>
      </c>
      <c r="E83" s="3116">
        <v>0.1</v>
      </c>
      <c r="F83" s="3116">
        <v>15</v>
      </c>
    </row>
    <row r="84" spans="1:6" ht="24">
      <c r="A84" s="3116">
        <v>12</v>
      </c>
      <c r="B84" s="3794"/>
      <c r="C84" s="3090" t="s">
        <v>2675</v>
      </c>
      <c r="D84" s="3090" t="s">
        <v>2676</v>
      </c>
      <c r="E84" s="3116">
        <v>0.1</v>
      </c>
      <c r="F84" s="3116">
        <v>15</v>
      </c>
    </row>
    <row r="85" spans="1:6" ht="13.5">
      <c r="A85" s="3116">
        <v>13</v>
      </c>
      <c r="B85" s="3794"/>
      <c r="C85" s="3090" t="s">
        <v>2677</v>
      </c>
      <c r="D85" s="3090" t="s">
        <v>2678</v>
      </c>
      <c r="E85" s="3116">
        <v>0.1</v>
      </c>
      <c r="F85" s="3116">
        <v>15</v>
      </c>
    </row>
    <row r="86" spans="1:6" ht="13.5">
      <c r="A86" s="3116">
        <v>14</v>
      </c>
      <c r="B86" s="3794"/>
      <c r="C86" s="3090" t="s">
        <v>2679</v>
      </c>
      <c r="D86" s="3090" t="s">
        <v>2680</v>
      </c>
      <c r="E86" s="3116">
        <v>0.1</v>
      </c>
      <c r="F86" s="3116">
        <v>15</v>
      </c>
    </row>
    <row r="87" spans="1:6" ht="13.5">
      <c r="A87" s="3116">
        <v>15</v>
      </c>
      <c r="B87" s="3794"/>
      <c r="C87" s="3090" t="s">
        <v>2681</v>
      </c>
      <c r="D87" s="3090" t="s">
        <v>2682</v>
      </c>
      <c r="E87" s="3116">
        <v>0.1</v>
      </c>
      <c r="F87" s="3116">
        <v>15</v>
      </c>
    </row>
    <row r="88" spans="1:6" ht="24">
      <c r="A88" s="3116">
        <v>16</v>
      </c>
      <c r="B88" s="3794"/>
      <c r="C88" s="3090" t="s">
        <v>2683</v>
      </c>
      <c r="D88" s="3090" t="s">
        <v>2684</v>
      </c>
      <c r="E88" s="3116">
        <v>0.1</v>
      </c>
      <c r="F88" s="3116">
        <v>15</v>
      </c>
    </row>
    <row r="89" spans="1:6" ht="24">
      <c r="A89" s="3116">
        <v>17</v>
      </c>
      <c r="B89" s="3803"/>
      <c r="C89" s="3090" t="s">
        <v>2685</v>
      </c>
      <c r="D89" s="3090" t="s">
        <v>2686</v>
      </c>
      <c r="E89" s="3116">
        <v>0.1</v>
      </c>
      <c r="F89" s="3116">
        <v>15</v>
      </c>
    </row>
    <row r="90" spans="1:6" ht="13.5">
      <c r="A90" s="3116">
        <v>18</v>
      </c>
      <c r="B90" s="3799" t="s">
        <v>2687</v>
      </c>
      <c r="C90" s="3090" t="s">
        <v>2688</v>
      </c>
      <c r="D90" s="3090" t="s">
        <v>2689</v>
      </c>
      <c r="E90" s="3116">
        <v>0.2</v>
      </c>
      <c r="F90" s="3116">
        <v>25</v>
      </c>
    </row>
    <row r="91" spans="1:6" ht="24">
      <c r="A91" s="3116">
        <v>19</v>
      </c>
      <c r="B91" s="3794"/>
      <c r="C91" s="3090" t="s">
        <v>2690</v>
      </c>
      <c r="D91" s="3090" t="s">
        <v>2691</v>
      </c>
      <c r="E91" s="3116">
        <v>0.2</v>
      </c>
      <c r="F91" s="3116">
        <v>25</v>
      </c>
    </row>
    <row r="92" spans="1:6" ht="13.5">
      <c r="A92" s="3116">
        <v>20</v>
      </c>
      <c r="B92" s="3794"/>
      <c r="C92" s="3090" t="s">
        <v>2692</v>
      </c>
      <c r="D92" s="3090" t="s">
        <v>2693</v>
      </c>
      <c r="E92" s="3116">
        <v>0.15</v>
      </c>
      <c r="F92" s="3116">
        <v>20</v>
      </c>
    </row>
    <row r="93" spans="1:6" ht="13.5">
      <c r="A93" s="3116">
        <v>21</v>
      </c>
      <c r="B93" s="3794"/>
      <c r="C93" s="3090" t="s">
        <v>2694</v>
      </c>
      <c r="D93" s="3090" t="s">
        <v>2695</v>
      </c>
      <c r="E93" s="3116">
        <v>0.15</v>
      </c>
      <c r="F93" s="3116">
        <v>20</v>
      </c>
    </row>
    <row r="94" spans="1:6" ht="13.5">
      <c r="A94" s="3116">
        <v>22</v>
      </c>
      <c r="B94" s="3794"/>
      <c r="C94" s="3090" t="s">
        <v>2696</v>
      </c>
      <c r="D94" s="3090" t="s">
        <v>2697</v>
      </c>
      <c r="E94" s="3116">
        <v>0.15</v>
      </c>
      <c r="F94" s="3116">
        <v>20</v>
      </c>
    </row>
    <row r="95" spans="1:6" ht="36">
      <c r="A95" s="3116">
        <v>23</v>
      </c>
      <c r="B95" s="3794"/>
      <c r="C95" s="3090" t="s">
        <v>2698</v>
      </c>
      <c r="D95" s="3090" t="s">
        <v>2699</v>
      </c>
      <c r="E95" s="3116">
        <v>0.15</v>
      </c>
      <c r="F95" s="3116">
        <v>20</v>
      </c>
    </row>
    <row r="96" spans="1:6" ht="13.5">
      <c r="A96" s="3116">
        <v>24</v>
      </c>
      <c r="B96" s="3794"/>
      <c r="C96" s="3090" t="s">
        <v>2700</v>
      </c>
      <c r="D96" s="3090" t="s">
        <v>2701</v>
      </c>
      <c r="E96" s="3116">
        <v>0.1</v>
      </c>
      <c r="F96" s="3116">
        <v>15</v>
      </c>
    </row>
    <row r="97" spans="1:6" ht="13.5">
      <c r="A97" s="3116">
        <v>25</v>
      </c>
      <c r="B97" s="3794"/>
      <c r="C97" s="3090" t="s">
        <v>2702</v>
      </c>
      <c r="D97" s="3090" t="s">
        <v>2703</v>
      </c>
      <c r="E97" s="3116">
        <v>0.1</v>
      </c>
      <c r="F97" s="3116">
        <v>15</v>
      </c>
    </row>
    <row r="98" spans="1:6" ht="24">
      <c r="A98" s="3116">
        <v>26</v>
      </c>
      <c r="B98" s="3794"/>
      <c r="C98" s="3090" t="s">
        <v>2704</v>
      </c>
      <c r="D98" s="3090" t="s">
        <v>2705</v>
      </c>
      <c r="E98" s="3116">
        <v>0.1</v>
      </c>
      <c r="F98" s="3116">
        <v>15</v>
      </c>
    </row>
    <row r="99" spans="1:6" ht="24">
      <c r="A99" s="3116">
        <v>27</v>
      </c>
      <c r="B99" s="3794"/>
      <c r="C99" s="3090" t="s">
        <v>2706</v>
      </c>
      <c r="D99" s="3090" t="s">
        <v>2707</v>
      </c>
      <c r="E99" s="3116">
        <v>0.1</v>
      </c>
      <c r="F99" s="3116">
        <v>15</v>
      </c>
    </row>
    <row r="100" spans="1:6" ht="13.5">
      <c r="A100" s="3116">
        <v>28</v>
      </c>
      <c r="B100" s="3794"/>
      <c r="C100" s="3090" t="s">
        <v>2708</v>
      </c>
      <c r="D100" s="3090" t="s">
        <v>2709</v>
      </c>
      <c r="E100" s="3116">
        <v>0.1</v>
      </c>
      <c r="F100" s="3116">
        <v>15</v>
      </c>
    </row>
    <row r="101" spans="1:6" ht="13.5">
      <c r="A101" s="3116">
        <v>29</v>
      </c>
      <c r="B101" s="3794"/>
      <c r="C101" s="3090" t="s">
        <v>2710</v>
      </c>
      <c r="D101" s="3090" t="s">
        <v>2711</v>
      </c>
      <c r="E101" s="3116">
        <v>0.1</v>
      </c>
      <c r="F101" s="3116">
        <v>15</v>
      </c>
    </row>
    <row r="102" spans="1:6" ht="13.5">
      <c r="A102" s="3116">
        <v>30</v>
      </c>
      <c r="B102" s="3794"/>
      <c r="C102" s="3090" t="s">
        <v>2712</v>
      </c>
      <c r="D102" s="3090" t="s">
        <v>2713</v>
      </c>
      <c r="E102" s="3116">
        <v>0.1</v>
      </c>
      <c r="F102" s="3116">
        <v>15</v>
      </c>
    </row>
    <row r="103" spans="1:6" ht="24">
      <c r="A103" s="3116">
        <v>31</v>
      </c>
      <c r="B103" s="3794"/>
      <c r="C103" s="3090" t="s">
        <v>2714</v>
      </c>
      <c r="D103" s="3090" t="s">
        <v>2715</v>
      </c>
      <c r="E103" s="3116">
        <v>0.1</v>
      </c>
      <c r="F103" s="3116">
        <v>15</v>
      </c>
    </row>
    <row r="104" spans="1:6" ht="24">
      <c r="A104" s="3116">
        <v>32</v>
      </c>
      <c r="B104" s="3794"/>
      <c r="C104" s="3090" t="s">
        <v>2716</v>
      </c>
      <c r="D104" s="3090" t="s">
        <v>2717</v>
      </c>
      <c r="E104" s="3116">
        <v>0.1</v>
      </c>
      <c r="F104" s="3116">
        <v>15</v>
      </c>
    </row>
    <row r="105" spans="1:6" ht="24">
      <c r="A105" s="3116">
        <v>33</v>
      </c>
      <c r="B105" s="3794"/>
      <c r="C105" s="3090" t="s">
        <v>2718</v>
      </c>
      <c r="D105" s="3090" t="s">
        <v>2719</v>
      </c>
      <c r="E105" s="3116">
        <v>0.1</v>
      </c>
      <c r="F105" s="3116">
        <v>15</v>
      </c>
    </row>
    <row r="106" spans="1:6" ht="24">
      <c r="A106" s="3116">
        <v>34</v>
      </c>
      <c r="B106" s="3803"/>
      <c r="C106" s="3090" t="s">
        <v>2720</v>
      </c>
      <c r="D106" s="3090" t="s">
        <v>2721</v>
      </c>
      <c r="E106" s="3116">
        <v>0.1</v>
      </c>
      <c r="F106" s="3116">
        <v>15</v>
      </c>
    </row>
    <row r="107" spans="1:6" ht="24">
      <c r="A107" s="3116">
        <v>35</v>
      </c>
      <c r="B107" s="3799" t="s">
        <v>2722</v>
      </c>
      <c r="C107" s="3116" t="s">
        <v>2723</v>
      </c>
      <c r="D107" s="3090" t="s">
        <v>2724</v>
      </c>
      <c r="E107" s="3116">
        <v>0.15</v>
      </c>
      <c r="F107" s="3116">
        <v>20</v>
      </c>
    </row>
    <row r="108" spans="1:6" ht="13.5">
      <c r="A108" s="3116">
        <v>36</v>
      </c>
      <c r="B108" s="3794"/>
      <c r="C108" s="3116" t="s">
        <v>2725</v>
      </c>
      <c r="D108" s="3090" t="s">
        <v>2726</v>
      </c>
      <c r="E108" s="3116">
        <v>0.15</v>
      </c>
      <c r="F108" s="3116">
        <v>20</v>
      </c>
    </row>
    <row r="109" spans="1:6" ht="13.5">
      <c r="A109" s="3116">
        <v>37</v>
      </c>
      <c r="B109" s="3794"/>
      <c r="C109" s="3116" t="s">
        <v>2727</v>
      </c>
      <c r="D109" s="3090" t="s">
        <v>2728</v>
      </c>
      <c r="E109" s="3116">
        <v>0.15</v>
      </c>
      <c r="F109" s="3116">
        <v>20</v>
      </c>
    </row>
    <row r="110" spans="1:6" ht="13.5">
      <c r="A110" s="3116">
        <v>38</v>
      </c>
      <c r="B110" s="3794"/>
      <c r="C110" s="3116" t="s">
        <v>2729</v>
      </c>
      <c r="D110" s="3090" t="s">
        <v>2730</v>
      </c>
      <c r="E110" s="3116">
        <v>0.1</v>
      </c>
      <c r="F110" s="3116">
        <v>15</v>
      </c>
    </row>
    <row r="111" spans="1:6" ht="24">
      <c r="A111" s="3116">
        <v>39</v>
      </c>
      <c r="B111" s="3794"/>
      <c r="C111" s="3116" t="s">
        <v>2731</v>
      </c>
      <c r="D111" s="3090" t="s">
        <v>2732</v>
      </c>
      <c r="E111" s="3116">
        <v>0.1</v>
      </c>
      <c r="F111" s="3116">
        <v>15</v>
      </c>
    </row>
    <row r="112" spans="1:6" ht="24">
      <c r="A112" s="3116">
        <v>40</v>
      </c>
      <c r="B112" s="3803"/>
      <c r="C112" s="3116" t="s">
        <v>2733</v>
      </c>
      <c r="D112" s="3090" t="s">
        <v>2734</v>
      </c>
      <c r="E112" s="3116">
        <v>0.1</v>
      </c>
      <c r="F112" s="3116">
        <v>15</v>
      </c>
    </row>
    <row r="113" spans="1:6" ht="13.5">
      <c r="A113" s="3116">
        <v>41</v>
      </c>
      <c r="B113" s="3804" t="s">
        <v>2735</v>
      </c>
      <c r="C113" s="3116" t="s">
        <v>2736</v>
      </c>
      <c r="D113" s="3090" t="s">
        <v>2737</v>
      </c>
      <c r="E113" s="3116">
        <v>0.1</v>
      </c>
      <c r="F113" s="3116">
        <v>15</v>
      </c>
    </row>
    <row r="114" spans="1:6" ht="13.5">
      <c r="A114" s="3116">
        <v>42</v>
      </c>
      <c r="B114" s="3804"/>
      <c r="C114" s="3116" t="s">
        <v>2738</v>
      </c>
      <c r="D114" s="3090" t="s">
        <v>2739</v>
      </c>
      <c r="E114" s="3116">
        <v>0.1</v>
      </c>
      <c r="F114" s="3116">
        <v>15</v>
      </c>
    </row>
    <row r="115" spans="1:6" ht="24">
      <c r="A115" s="3116">
        <v>43</v>
      </c>
      <c r="B115" s="3804"/>
      <c r="C115" s="3116" t="s">
        <v>2740</v>
      </c>
      <c r="D115" s="3090" t="s">
        <v>2741</v>
      </c>
      <c r="E115" s="3116">
        <v>0.1</v>
      </c>
      <c r="F115" s="3116">
        <v>15</v>
      </c>
    </row>
    <row r="116" spans="1:6" ht="13.5">
      <c r="A116" s="3116">
        <v>44</v>
      </c>
      <c r="B116" s="3799" t="s">
        <v>2742</v>
      </c>
      <c r="C116" s="3116" t="s">
        <v>2743</v>
      </c>
      <c r="D116" s="3090" t="s">
        <v>2744</v>
      </c>
      <c r="E116" s="3116">
        <v>0.1</v>
      </c>
      <c r="F116" s="3116">
        <v>15</v>
      </c>
    </row>
    <row r="117" spans="1:6" ht="24">
      <c r="A117" s="3116">
        <v>45</v>
      </c>
      <c r="B117" s="3803"/>
      <c r="C117" s="3090" t="s">
        <v>2745</v>
      </c>
      <c r="D117" s="3090" t="s">
        <v>2746</v>
      </c>
      <c r="E117" s="3116">
        <v>0.1</v>
      </c>
      <c r="F117" s="3116">
        <v>15</v>
      </c>
    </row>
    <row r="118" spans="1:6" ht="24">
      <c r="A118" s="3116">
        <v>46</v>
      </c>
      <c r="B118" s="3799" t="s">
        <v>2747</v>
      </c>
      <c r="C118" s="3116" t="s">
        <v>2748</v>
      </c>
      <c r="D118" s="3090" t="s">
        <v>2749</v>
      </c>
      <c r="E118" s="3116">
        <v>0.1</v>
      </c>
      <c r="F118" s="3116">
        <v>15</v>
      </c>
    </row>
    <row r="119" spans="1:6" ht="24">
      <c r="A119" s="3116">
        <v>47</v>
      </c>
      <c r="B119" s="3803"/>
      <c r="C119" s="3116" t="s">
        <v>2750</v>
      </c>
      <c r="D119" s="3090" t="s">
        <v>2751</v>
      </c>
      <c r="E119" s="3116">
        <v>0.1</v>
      </c>
      <c r="F119" s="3116">
        <v>15</v>
      </c>
    </row>
    <row r="120" spans="1:6" ht="13.5">
      <c r="A120" s="3116">
        <v>48</v>
      </c>
      <c r="B120" s="3799" t="s">
        <v>2752</v>
      </c>
      <c r="C120" s="3116" t="s">
        <v>2753</v>
      </c>
      <c r="D120" s="3090" t="s">
        <v>2754</v>
      </c>
      <c r="E120" s="3116">
        <v>0.1</v>
      </c>
      <c r="F120" s="3116">
        <v>15</v>
      </c>
    </row>
    <row r="121" spans="1:6" ht="13.5">
      <c r="A121" s="3116">
        <v>49</v>
      </c>
      <c r="B121" s="3803"/>
      <c r="C121" s="3116" t="s">
        <v>2755</v>
      </c>
      <c r="D121" s="3090" t="s">
        <v>2756</v>
      </c>
      <c r="E121" s="3116">
        <v>0.1</v>
      </c>
      <c r="F121" s="3116">
        <v>15</v>
      </c>
    </row>
    <row r="122" spans="1:6" ht="24">
      <c r="A122" s="3116">
        <v>50</v>
      </c>
      <c r="B122" s="3804" t="s">
        <v>2757</v>
      </c>
      <c r="C122" s="3116" t="s">
        <v>2758</v>
      </c>
      <c r="D122" s="3090" t="s">
        <v>2759</v>
      </c>
      <c r="E122" s="3116">
        <v>0.1</v>
      </c>
      <c r="F122" s="3116">
        <v>15</v>
      </c>
    </row>
    <row r="123" spans="1:6" ht="24">
      <c r="A123" s="3116">
        <v>51</v>
      </c>
      <c r="B123" s="3804"/>
      <c r="C123" s="3116" t="s">
        <v>2760</v>
      </c>
      <c r="D123" s="3090" t="s">
        <v>2761</v>
      </c>
      <c r="E123" s="3116">
        <v>0.1</v>
      </c>
      <c r="F123" s="3116">
        <v>15</v>
      </c>
    </row>
    <row r="124" spans="1:6" ht="24">
      <c r="A124" s="3116">
        <v>52</v>
      </c>
      <c r="B124" s="3804" t="s">
        <v>2762</v>
      </c>
      <c r="C124" s="3116" t="s">
        <v>2763</v>
      </c>
      <c r="D124" s="3090" t="s">
        <v>2764</v>
      </c>
      <c r="E124" s="3116">
        <v>0.1</v>
      </c>
      <c r="F124" s="3116">
        <v>15</v>
      </c>
    </row>
    <row r="125" spans="1:6" ht="24">
      <c r="A125" s="3116">
        <v>53</v>
      </c>
      <c r="B125" s="3804"/>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804" t="s">
        <v>2770</v>
      </c>
      <c r="C127" s="3116" t="s">
        <v>2771</v>
      </c>
      <c r="D127" s="3090" t="s">
        <v>2772</v>
      </c>
      <c r="E127" s="3116">
        <v>0.1</v>
      </c>
      <c r="F127" s="3116">
        <v>15</v>
      </c>
    </row>
    <row r="128" spans="1:6" ht="13.5">
      <c r="A128" s="3116">
        <v>56</v>
      </c>
      <c r="B128" s="3804"/>
      <c r="C128" s="3116" t="s">
        <v>2773</v>
      </c>
      <c r="D128" s="3090" t="s">
        <v>2774</v>
      </c>
      <c r="E128" s="3116">
        <v>0.1</v>
      </c>
      <c r="F128" s="3116">
        <v>15</v>
      </c>
    </row>
    <row r="129" spans="1:6" ht="24">
      <c r="A129" s="3116">
        <v>57</v>
      </c>
      <c r="B129" s="3804"/>
      <c r="C129" s="3116" t="s">
        <v>2775</v>
      </c>
      <c r="D129" s="3090" t="s">
        <v>2776</v>
      </c>
      <c r="E129" s="3116">
        <v>0.1</v>
      </c>
      <c r="F129" s="3116">
        <v>15</v>
      </c>
    </row>
    <row r="130" spans="1:6" ht="24">
      <c r="A130" s="3116">
        <v>58</v>
      </c>
      <c r="B130" s="3804" t="s">
        <v>2777</v>
      </c>
      <c r="C130" s="3116" t="s">
        <v>2778</v>
      </c>
      <c r="D130" s="3090" t="s">
        <v>2779</v>
      </c>
      <c r="E130" s="3116">
        <v>0.1</v>
      </c>
      <c r="F130" s="3116">
        <v>15</v>
      </c>
    </row>
    <row r="131" spans="1:6" ht="13.5">
      <c r="A131" s="3116">
        <v>59</v>
      </c>
      <c r="B131" s="3804"/>
      <c r="C131" s="3116" t="s">
        <v>2780</v>
      </c>
      <c r="D131" s="3090" t="s">
        <v>2781</v>
      </c>
      <c r="E131" s="3116">
        <v>0.1</v>
      </c>
      <c r="F131" s="3116">
        <v>15</v>
      </c>
    </row>
    <row r="132" spans="1:6" ht="13.5">
      <c r="A132" s="3116">
        <v>60</v>
      </c>
      <c r="B132" s="3799" t="s">
        <v>2782</v>
      </c>
      <c r="C132" s="3116" t="s">
        <v>2783</v>
      </c>
      <c r="D132" s="3090" t="s">
        <v>2784</v>
      </c>
      <c r="E132" s="3116">
        <v>0.1</v>
      </c>
      <c r="F132" s="3116">
        <v>15</v>
      </c>
    </row>
    <row r="133" spans="1:6" ht="13.5">
      <c r="A133" s="3116">
        <v>61</v>
      </c>
      <c r="B133" s="3803"/>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804" t="s">
        <v>2790</v>
      </c>
      <c r="C135" s="3116" t="s">
        <v>2791</v>
      </c>
      <c r="D135" s="3090" t="s">
        <v>2792</v>
      </c>
      <c r="E135" s="3116">
        <v>0.1</v>
      </c>
      <c r="F135" s="3116">
        <v>15</v>
      </c>
    </row>
    <row r="136" spans="1:6" ht="13.5">
      <c r="A136" s="3116">
        <v>64</v>
      </c>
      <c r="B136" s="3804"/>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f ca="1">结果表!H101</f>
        <v>19400</v>
      </c>
      <c r="E5" s="1491"/>
    </row>
    <row r="6" spans="1:5" ht="15.75">
      <c r="A6" s="1491"/>
      <c r="B6" s="3487"/>
      <c r="C6" s="1494" t="s">
        <v>911</v>
      </c>
      <c r="D6" s="850" t="str">
        <f ca="1">NUMBERSTRING(INT(D5*10000),2)&amp;"元整"</f>
        <v>壹亿玖仟肆佰万元整</v>
      </c>
      <c r="E6" s="1491"/>
    </row>
    <row r="7" spans="1:5" ht="15.75">
      <c r="A7" s="1491"/>
      <c r="B7" s="3492"/>
      <c r="C7" s="1495" t="s">
        <v>912</v>
      </c>
      <c r="D7" s="851">
        <f ca="1">结果表!H102</f>
        <v>3204</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f ca="1">结果表!H107</f>
        <v>19400</v>
      </c>
      <c r="E13" s="1491"/>
    </row>
    <row r="14" spans="1:5" ht="15.75">
      <c r="A14" s="1491"/>
      <c r="B14" s="3487"/>
      <c r="C14" s="1494" t="s">
        <v>911</v>
      </c>
      <c r="D14" s="850" t="str">
        <f ca="1">NUMBERSTRING(INT(D13*10000),2)&amp;"元整"</f>
        <v>壹亿玖仟肆佰万元整</v>
      </c>
      <c r="E14" s="1491"/>
    </row>
    <row r="15" spans="1:5" ht="15">
      <c r="A15" s="1491"/>
      <c r="B15" s="3492"/>
      <c r="C15" s="1495" t="s">
        <v>921</v>
      </c>
      <c r="D15" s="859">
        <f ca="1">结果表!H108</f>
        <v>3204</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46891</v>
      </c>
      <c r="C2" s="2" t="s">
        <v>106</v>
      </c>
      <c r="D2" s="199"/>
      <c r="E2" s="199"/>
      <c r="F2" s="199"/>
      <c r="G2" s="199"/>
    </row>
    <row r="3" spans="1:7" s="200" customFormat="1" ht="18" customHeight="1" thickBot="1">
      <c r="A3" s="203" t="s">
        <v>58</v>
      </c>
      <c r="B3" s="204">
        <f ca="1">ROUND(B2*10000/'数据-汇总表'!E3,0)</f>
        <v>7743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303</v>
      </c>
      <c r="D10" s="845">
        <f>'数据-汇总表'!E6</f>
        <v>60555.78</v>
      </c>
      <c r="E10" s="225">
        <f>'数据-取费表'!B28</f>
        <v>50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1211</v>
      </c>
      <c r="D19" s="849">
        <f>'数据-汇总表'!E3</f>
        <v>60555.78</v>
      </c>
      <c r="E19" s="211">
        <f>'数据-取费表'!B31</f>
        <v>200</v>
      </c>
      <c r="F19" s="231"/>
      <c r="G19" s="1" t="s">
        <v>436</v>
      </c>
    </row>
    <row r="20" spans="1:7" s="214" customFormat="1" ht="13.5" customHeight="1">
      <c r="A20" s="777" t="s">
        <v>419</v>
      </c>
      <c r="B20" s="210" t="s">
        <v>77</v>
      </c>
      <c r="C20" s="232">
        <f>ROUND((C5+C19)*F20,0)</f>
        <v>436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1848</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1728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102</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1763</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1763</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15277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13472</v>
      </c>
      <c r="D34" s="217"/>
      <c r="E34" s="220"/>
      <c r="F34" s="257">
        <f>IF('数据-取费表'!B24=0,1,'数据-取费表'!N16)</f>
        <v>0.99</v>
      </c>
      <c r="G34" s="219" t="s">
        <v>89</v>
      </c>
    </row>
    <row r="35" spans="1:7" ht="13.5" customHeight="1">
      <c r="A35" s="780" t="s">
        <v>351</v>
      </c>
      <c r="B35" s="215" t="s">
        <v>33</v>
      </c>
      <c r="C35" s="220">
        <f>ROUND(C34*F35,0)</f>
        <v>404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1199</v>
      </c>
      <c r="D37" s="217">
        <f>'数据-汇总表'!E3</f>
        <v>60555.78</v>
      </c>
      <c r="E37" s="249">
        <f>'数据-取费表'!B35</f>
        <v>200</v>
      </c>
      <c r="F37" s="259"/>
      <c r="G37" s="261" t="s">
        <v>92</v>
      </c>
    </row>
    <row r="38" spans="1:7" ht="13.5" customHeight="1">
      <c r="A38" s="780" t="s">
        <v>354</v>
      </c>
      <c r="B38" s="215" t="s">
        <v>36</v>
      </c>
      <c r="C38" s="220">
        <f>ROUND(C34*F38,0)</f>
        <v>202</v>
      </c>
      <c r="D38" s="220"/>
      <c r="E38" s="220"/>
      <c r="F38" s="259">
        <f>'数据-取费表'!B36</f>
        <v>1.4999999999999999E-2</v>
      </c>
      <c r="G38" s="219" t="s">
        <v>90</v>
      </c>
    </row>
    <row r="39" spans="1:7" s="214" customFormat="1" ht="13.5" customHeight="1">
      <c r="A39" s="777" t="s">
        <v>338</v>
      </c>
      <c r="B39" s="210" t="s">
        <v>77</v>
      </c>
      <c r="C39" s="232">
        <f>ROUND(C33*F20,0)</f>
        <v>306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641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628</v>
      </c>
      <c r="D42" s="238"/>
      <c r="E42" s="238"/>
      <c r="F42" s="239"/>
      <c r="G42" s="3669" t="s">
        <v>94</v>
      </c>
    </row>
    <row r="43" spans="1:7" ht="13.5" customHeight="1">
      <c r="A43" s="780" t="s">
        <v>347</v>
      </c>
      <c r="B43" s="215" t="s">
        <v>426</v>
      </c>
      <c r="C43" s="238">
        <f ca="1">ROUND(IF('数据-取费表'!B22&lt;=1,C39*F22*'数据-取费表'!B21/2,C39*(POWER((1+F22),'数据-取费表'!B21/2)-1)),0)</f>
        <v>13</v>
      </c>
      <c r="D43" s="238"/>
      <c r="E43" s="238"/>
      <c r="F43" s="239"/>
      <c r="G43" s="3670"/>
    </row>
    <row r="44" spans="1:7" ht="13.5" customHeight="1">
      <c r="A44" s="780" t="s">
        <v>348</v>
      </c>
      <c r="B44" s="215" t="s">
        <v>428</v>
      </c>
      <c r="C44" s="238">
        <f ca="1">ROUND(IF('数据-取费表'!B22&lt;=1,C40*F22*'数据-取费表'!B21/2,C40*(POWER((1+F22),'数据-取费表'!B21/2)-1)),4)</f>
        <v>8.0000000000000004E-4</v>
      </c>
      <c r="D44" s="238"/>
      <c r="E44" s="238"/>
      <c r="F44" s="239"/>
      <c r="G44" s="3671"/>
    </row>
    <row r="45" spans="1:7" s="214" customFormat="1" ht="13.5" customHeight="1">
      <c r="A45" s="777" t="s">
        <v>341</v>
      </c>
      <c r="B45" s="244" t="s">
        <v>85</v>
      </c>
      <c r="C45" s="245">
        <f>C46</f>
        <v>1247</v>
      </c>
      <c r="D45" s="235">
        <f>C47</f>
        <v>1.6000000000000001E-3</v>
      </c>
      <c r="E45" s="236" t="s">
        <v>102</v>
      </c>
      <c r="F45" s="246"/>
      <c r="G45" s="247" t="s">
        <v>434</v>
      </c>
    </row>
    <row r="46" spans="1:7" s="214" customFormat="1" ht="13.5" customHeight="1">
      <c r="A46" s="780" t="s">
        <v>349</v>
      </c>
      <c r="B46" s="248" t="s">
        <v>427</v>
      </c>
      <c r="C46" s="249">
        <f>ROUND((C33+C39)*F27,0)</f>
        <v>1247</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18903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18903</v>
      </c>
      <c r="D51" s="232"/>
      <c r="E51" s="232"/>
      <c r="F51" s="264"/>
      <c r="G51" s="234" t="s">
        <v>37</v>
      </c>
    </row>
    <row r="52" spans="1:7" s="208" customFormat="1" ht="16.5" thickBot="1">
      <c r="A52" s="265" t="s">
        <v>38</v>
      </c>
      <c r="B52" s="266"/>
      <c r="C52" s="267">
        <f ca="1">C31+C51</f>
        <v>46891</v>
      </c>
      <c r="D52" s="266"/>
      <c r="E52" s="266"/>
      <c r="F52" s="266"/>
      <c r="G52" s="268"/>
    </row>
    <row r="55" spans="1:7" ht="15">
      <c r="B55" s="270" t="s">
        <v>39</v>
      </c>
      <c r="C55" s="271"/>
    </row>
    <row r="56" spans="1:7">
      <c r="B56" s="273" t="s">
        <v>40</v>
      </c>
      <c r="C56" s="274">
        <f ca="1">ROUND(C51/C52,3)</f>
        <v>0.40300000000000002</v>
      </c>
    </row>
    <row r="57" spans="1:7">
      <c r="B57" s="273" t="s">
        <v>41</v>
      </c>
      <c r="C57" s="275">
        <f ca="1">1-C56</f>
        <v>0.59699999999999998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7" t="s">
        <v>2844</v>
      </c>
      <c r="B1" s="3807"/>
      <c r="C1" s="3807"/>
      <c r="D1" s="3807"/>
      <c r="E1" s="3807"/>
      <c r="F1" s="3807"/>
      <c r="G1" s="3808"/>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05"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06"/>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9" t="s">
        <v>3186</v>
      </c>
      <c r="B1" s="3809"/>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0" t="s">
        <v>3237</v>
      </c>
      <c r="B1" s="3810"/>
      <c r="C1" s="3810"/>
      <c r="D1" s="3810"/>
      <c r="E1" s="3810"/>
      <c r="F1" s="3811"/>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44977</v>
      </c>
      <c r="B1" s="3208" t="s">
        <v>2843</v>
      </c>
      <c r="C1" s="3209"/>
      <c r="D1" s="3209"/>
      <c r="E1" s="3209"/>
      <c r="F1" s="3209"/>
      <c r="G1" s="3209"/>
      <c r="H1" s="3209"/>
      <c r="I1" s="3209"/>
      <c r="J1" s="3163"/>
      <c r="K1" s="3209" t="s">
        <v>454</v>
      </c>
      <c r="L1" s="3209"/>
      <c r="M1" s="3209"/>
      <c r="N1" s="3209"/>
      <c r="O1" s="3209"/>
      <c r="P1" s="3209"/>
      <c r="Q1" s="3163"/>
      <c r="R1" s="3812" t="s">
        <v>456</v>
      </c>
      <c r="S1" s="3813"/>
      <c r="T1" s="3813"/>
      <c r="U1" s="3813"/>
      <c r="V1" s="3813"/>
      <c r="W1" s="3813"/>
      <c r="X1" s="3163"/>
      <c r="Y1" s="3812" t="s">
        <v>457</v>
      </c>
      <c r="Z1" s="3813"/>
      <c r="AA1" s="3813"/>
      <c r="AB1" s="3813"/>
      <c r="AC1" s="3813"/>
      <c r="AD1" s="3813"/>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3375</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3376</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3374</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ROUND(IF([3]项目基本情况!B8="出让",SUMPRODUCT(PRODUCT(1+K9:K16)),SUMPRODUCT(PRODUCT(1+K9:K15))),4)</f>
        <v>1.0565</v>
      </c>
      <c r="S9" s="3190">
        <f>ROUND(IF([3]项目基本情况!B8="出让",SUMPRODUCT(PRODUCT(1+L9:L16)),SUMPRODUCT(PRODUCT(1+L9:L15))),4)</f>
        <v>1.0250999999999999</v>
      </c>
      <c r="T9" s="3190">
        <f>ROUND(IF([3]项目基本情况!B8="出让",SUMPRODUCT(PRODUCT(1+M9:M16)),SUMPRODUCT(PRODUCT(1+M9:M15))),4)</f>
        <v>1.0145</v>
      </c>
      <c r="U9" s="3190">
        <f>ROUND(IF([3]项目基本情况!B8="出让",SUMPRODUCT(PRODUCT(1+N9:N16)),SUMPRODUCT(PRODUCT(1+N9:N15))),4)</f>
        <v>1.0618000000000001</v>
      </c>
      <c r="V9" s="3190">
        <f>ROUND(IF([3]项目基本情况!B8="出让",SUMPRODUCT(PRODUCT(1+O9:O16)),SUMPRODUCT(PRODUCT(1+O9:O15))),4)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12" t="s">
        <v>2831</v>
      </c>
      <c r="S21" s="3813"/>
      <c r="T21" s="3813"/>
      <c r="U21" s="3813"/>
      <c r="V21" s="3813"/>
      <c r="W21" s="3813"/>
      <c r="X21" s="3163"/>
      <c r="Y21" s="3812" t="s">
        <v>2832</v>
      </c>
      <c r="Z21" s="3813"/>
      <c r="AA21" s="3813"/>
      <c r="AB21" s="3813"/>
      <c r="AC21" s="3813"/>
      <c r="AD21" s="3813"/>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3375</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1.0286999999999999</v>
      </c>
      <c r="T25" s="3181">
        <f>ROUND(IF([3]项目基本情况!$B$8="出让",SUMPRODUCT(PRODUCT(1+M25:M$36)),SUMPRODUCT(PRODUCT(1+M25:M$35))),4)</f>
        <v>1.0164</v>
      </c>
      <c r="U25" s="3181">
        <f>ROUND(IF([3]项目基本情况!$B$8="出让",SUMPRODUCT(PRODUCT(1+N25:N$36)),SUMPRODUCT(PRODUCT(1+N25:N$35))),4)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3376</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1.0286999999999999</v>
      </c>
      <c r="T26" s="3181">
        <f>ROUND(IF([3]项目基本情况!$B$8="出让",SUMPRODUCT(PRODUCT(1+M26:M$36)),SUMPRODUCT(PRODUCT(1+M26:M$35))),4)</f>
        <v>1.0164</v>
      </c>
      <c r="U26" s="3181">
        <f>ROUND(IF([3]项目基本情况!$B$8="出让",SUMPRODUCT(PRODUCT(1+N26:N$36)),SUMPRODUCT(PRODUCT(1+N26:N$35))),4)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3374</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1.0286999999999999</v>
      </c>
      <c r="T27" s="3181">
        <f>ROUND(IF([3]项目基本情况!$B$8="出让",SUMPRODUCT(PRODUCT(1+M27:M$36)),SUMPRODUCT(PRODUCT(1+M27:M$35))),4)</f>
        <v>1.0164</v>
      </c>
      <c r="U27" s="3181">
        <f>ROUND(IF([3]项目基本情况!$B$8="出让",SUMPRODUCT(PRODUCT(1+N27:N$36)),SUMPRODUCT(PRODUCT(1+N27:N$35))),4)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ROUND(IF([3]项目基本情况!$B$8="出让",SUMPRODUCT(PRODUCT(1+L28:L$36)),SUMPRODUCT(PRODUCT(1+L28:L$35))),4)</f>
        <v>1.0286999999999999</v>
      </c>
      <c r="T28" s="3181">
        <f>ROUND(IF([3]项目基本情况!$B$8="出让",SUMPRODUCT(PRODUCT(1+M28:M$36)),SUMPRODUCT(PRODUCT(1+M28:M$35))),4)</f>
        <v>1.0164</v>
      </c>
      <c r="U28" s="3181">
        <f>ROUND(IF([3]项目基本情况!$B$8="出让",SUMPRODUCT(PRODUCT(1+N28:N$36)),SUMPRODUCT(PRODUCT(1+N28:N$35))),4)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3370</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ROUND(IF([3]项目基本情况!$B$8="出让",SUMPRODUCT(PRODUCT(1+L29:L$36)),SUMPRODUCT(PRODUCT(1+L29:L$35))),4)</f>
        <v>1.0286999999999999</v>
      </c>
      <c r="T29" s="3190">
        <f>ROUND(IF([3]项目基本情况!$B$8="出让",SUMPRODUCT(PRODUCT(1+M29:M$36)),SUMPRODUCT(PRODUCT(1+M29:M$35))),4)</f>
        <v>1.0164</v>
      </c>
      <c r="U29" s="3190">
        <f>ROUND(IF([3]项目基本情况!$B$8="出让",SUMPRODUCT(PRODUCT(1+N29:N$36)),SUMPRODUCT(PRODUCT(1+N29:N$35))),4)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9" t="s">
        <v>452</v>
      </c>
      <c r="C1" s="3819"/>
      <c r="D1" s="3819"/>
      <c r="E1" s="3819"/>
      <c r="F1" s="3819"/>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2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1"/>
  <sheetViews>
    <sheetView topLeftCell="A19" workbookViewId="0">
      <selection activeCell="U56" sqref="U56"/>
    </sheetView>
  </sheetViews>
  <sheetFormatPr defaultRowHeight="12"/>
  <cols>
    <col min="1" max="1" width="20" style="3470" customWidth="1"/>
    <col min="2" max="2" width="17.875" style="3470" customWidth="1"/>
    <col min="3" max="3" width="6.5" style="3470" customWidth="1"/>
    <col min="4" max="4" width="11.625" style="3470" customWidth="1"/>
    <col min="5" max="5" width="9.875" style="3470" customWidth="1"/>
    <col min="6" max="6" width="14.125" style="3470" customWidth="1"/>
    <col min="7" max="7" width="11.625" style="3470" customWidth="1"/>
    <col min="8" max="9" width="20" style="3470" hidden="1" customWidth="1"/>
    <col min="10" max="10" width="12.375" style="3470" customWidth="1"/>
    <col min="11" max="11" width="12.625" style="3470" customWidth="1"/>
    <col min="12" max="12" width="11.875" style="3470" customWidth="1"/>
    <col min="13" max="13" width="23.875" style="3470" customWidth="1"/>
    <col min="14" max="14" width="6.5" style="3470" customWidth="1"/>
    <col min="15" max="15" width="7.25" style="3470" customWidth="1"/>
    <col min="16" max="16" width="8.375" style="3470" customWidth="1"/>
    <col min="17" max="18" width="6.5" style="3470" customWidth="1"/>
    <col min="19" max="19" width="8.875" style="3470" customWidth="1"/>
    <col min="20" max="16384" width="9" style="3470"/>
  </cols>
  <sheetData>
    <row r="1" spans="1:20">
      <c r="A1" s="3470" t="s">
        <v>3437</v>
      </c>
      <c r="B1" s="3470" t="s">
        <v>3438</v>
      </c>
      <c r="C1" s="3470" t="s">
        <v>3439</v>
      </c>
      <c r="D1" s="3470" t="s">
        <v>3440</v>
      </c>
      <c r="E1" s="3470" t="s">
        <v>3441</v>
      </c>
      <c r="F1" s="3470" t="s">
        <v>3442</v>
      </c>
      <c r="G1" s="3470" t="s">
        <v>3443</v>
      </c>
      <c r="H1" s="3470" t="s">
        <v>3444</v>
      </c>
      <c r="I1" s="3470" t="s">
        <v>3445</v>
      </c>
      <c r="J1" s="3470" t="s">
        <v>3446</v>
      </c>
      <c r="K1" s="3470" t="s">
        <v>3447</v>
      </c>
      <c r="L1" s="3470" t="s">
        <v>3448</v>
      </c>
      <c r="M1" s="3470" t="s">
        <v>3449</v>
      </c>
      <c r="N1" s="3470" t="s">
        <v>3450</v>
      </c>
      <c r="O1" s="3470" t="s">
        <v>3451</v>
      </c>
      <c r="P1" s="3470" t="s">
        <v>3452</v>
      </c>
      <c r="Q1" s="3470" t="s">
        <v>3453</v>
      </c>
      <c r="R1" s="3470" t="s">
        <v>3454</v>
      </c>
      <c r="T1" s="3470" t="s">
        <v>3455</v>
      </c>
    </row>
    <row r="2" spans="1:20">
      <c r="A2" s="3470" t="s">
        <v>3456</v>
      </c>
      <c r="B2" s="3470" t="s">
        <v>3457</v>
      </c>
      <c r="C2" s="3470" t="s">
        <v>3458</v>
      </c>
      <c r="D2" s="3470">
        <v>9744.73</v>
      </c>
      <c r="E2" s="3470">
        <v>9744.73</v>
      </c>
      <c r="F2" s="3470" t="s">
        <v>3459</v>
      </c>
      <c r="G2" s="3470" t="s">
        <v>3460</v>
      </c>
      <c r="H2" s="3470" t="s">
        <v>3461</v>
      </c>
      <c r="I2" s="3470" t="s">
        <v>3462</v>
      </c>
      <c r="J2" s="3470" t="s">
        <v>3463</v>
      </c>
      <c r="K2" s="3470">
        <v>12</v>
      </c>
      <c r="L2" s="3471">
        <v>44925.000497685185</v>
      </c>
      <c r="M2" s="3470" t="s">
        <v>3464</v>
      </c>
      <c r="N2" s="3470">
        <v>4260</v>
      </c>
      <c r="O2" s="3470">
        <v>291.44</v>
      </c>
      <c r="P2" s="3470">
        <v>4372</v>
      </c>
      <c r="Q2" s="3470">
        <v>0</v>
      </c>
      <c r="R2" s="3470" t="s">
        <v>3465</v>
      </c>
      <c r="T2" s="3470">
        <f>ROUND(N2/D2*10000,0)</f>
        <v>4372</v>
      </c>
    </row>
    <row r="3" spans="1:20">
      <c r="A3" s="3470" t="s">
        <v>3466</v>
      </c>
      <c r="B3" s="3470" t="s">
        <v>3467</v>
      </c>
      <c r="C3" s="3470" t="s">
        <v>3458</v>
      </c>
      <c r="D3" s="3470">
        <v>10053</v>
      </c>
      <c r="E3" s="3470">
        <v>10053</v>
      </c>
      <c r="F3" s="3470" t="s">
        <v>3459</v>
      </c>
      <c r="G3" s="3470" t="s">
        <v>3460</v>
      </c>
      <c r="H3" s="3470" t="s">
        <v>3461</v>
      </c>
      <c r="I3" s="3470" t="s">
        <v>3462</v>
      </c>
      <c r="J3" s="3470" t="s">
        <v>3463</v>
      </c>
      <c r="K3" s="3470">
        <v>12</v>
      </c>
      <c r="L3" s="3471">
        <v>44925.000497685185</v>
      </c>
      <c r="M3" s="3470" t="s">
        <v>3468</v>
      </c>
      <c r="N3" s="3470">
        <v>2470</v>
      </c>
      <c r="O3" s="3470">
        <v>163.80000000000001</v>
      </c>
      <c r="P3" s="3470">
        <v>2457</v>
      </c>
      <c r="Q3" s="3470">
        <v>0</v>
      </c>
      <c r="R3" s="3470" t="s">
        <v>3465</v>
      </c>
      <c r="T3" s="3470">
        <f t="shared" ref="T3:T66" si="0">ROUND(N3/D3*10000,0)</f>
        <v>2457</v>
      </c>
    </row>
    <row r="4" spans="1:20">
      <c r="A4" s="3470" t="s">
        <v>3469</v>
      </c>
      <c r="B4" s="3470" t="s">
        <v>3470</v>
      </c>
      <c r="C4" s="3470" t="s">
        <v>3458</v>
      </c>
      <c r="D4" s="3470">
        <v>3371</v>
      </c>
      <c r="E4" s="3470">
        <v>3371</v>
      </c>
      <c r="F4" s="3470" t="s">
        <v>3459</v>
      </c>
      <c r="G4" s="3470" t="s">
        <v>3460</v>
      </c>
      <c r="H4" s="3470" t="s">
        <v>3461</v>
      </c>
      <c r="I4" s="3470" t="s">
        <v>3462</v>
      </c>
      <c r="J4" s="3470" t="s">
        <v>3463</v>
      </c>
      <c r="K4" s="3470">
        <v>12</v>
      </c>
      <c r="L4" s="3471">
        <v>44925.000497685185</v>
      </c>
      <c r="M4" s="3470" t="s">
        <v>3471</v>
      </c>
      <c r="N4" s="3470">
        <v>1410</v>
      </c>
      <c r="O4" s="3470">
        <v>278.85000000000002</v>
      </c>
      <c r="P4" s="3470">
        <v>4183</v>
      </c>
      <c r="Q4" s="3470">
        <v>0</v>
      </c>
      <c r="R4" s="3470" t="s">
        <v>3465</v>
      </c>
      <c r="T4" s="3470">
        <f t="shared" si="0"/>
        <v>4183</v>
      </c>
    </row>
    <row r="5" spans="1:20">
      <c r="A5" s="3470" t="s">
        <v>3472</v>
      </c>
      <c r="B5" s="3470" t="s">
        <v>3473</v>
      </c>
      <c r="C5" s="3470" t="s">
        <v>3458</v>
      </c>
      <c r="D5" s="3470">
        <v>13342.47</v>
      </c>
      <c r="E5" s="3470">
        <v>40027.410000000003</v>
      </c>
      <c r="F5" s="3470" t="s">
        <v>3474</v>
      </c>
      <c r="G5" s="3470" t="s">
        <v>3460</v>
      </c>
      <c r="H5" s="3470" t="s">
        <v>3461</v>
      </c>
      <c r="I5" s="3470" t="s">
        <v>3462</v>
      </c>
      <c r="J5" s="3470" t="s">
        <v>3475</v>
      </c>
      <c r="K5" s="3470">
        <v>60</v>
      </c>
      <c r="L5" s="3471">
        <v>44903.000497685185</v>
      </c>
      <c r="M5" s="3470" t="s">
        <v>3476</v>
      </c>
      <c r="N5" s="3470">
        <v>4940</v>
      </c>
      <c r="O5" s="3470">
        <v>246.83</v>
      </c>
      <c r="P5" s="3470">
        <v>1234</v>
      </c>
      <c r="Q5" s="3470">
        <v>0</v>
      </c>
      <c r="R5" s="3470" t="s">
        <v>3465</v>
      </c>
      <c r="T5" s="3470">
        <f t="shared" si="0"/>
        <v>3702</v>
      </c>
    </row>
    <row r="6" spans="1:20">
      <c r="A6" s="3470" t="s">
        <v>3477</v>
      </c>
      <c r="B6" s="3470" t="s">
        <v>3478</v>
      </c>
      <c r="C6" s="3470" t="s">
        <v>3458</v>
      </c>
      <c r="D6" s="3470">
        <v>1943.85</v>
      </c>
      <c r="E6" s="3470">
        <v>3887.7</v>
      </c>
      <c r="F6" s="3470" t="s">
        <v>3479</v>
      </c>
      <c r="G6" s="3470" t="s">
        <v>3480</v>
      </c>
      <c r="H6" s="3470" t="s">
        <v>3461</v>
      </c>
      <c r="I6" s="3470" t="s">
        <v>3462</v>
      </c>
      <c r="J6" s="3470" t="s">
        <v>3481</v>
      </c>
      <c r="K6" s="3470">
        <v>24</v>
      </c>
      <c r="L6" s="3471">
        <v>44762.000497685185</v>
      </c>
      <c r="M6" s="3470" t="s">
        <v>3482</v>
      </c>
      <c r="N6" s="3470">
        <v>371</v>
      </c>
      <c r="O6" s="3470">
        <v>127.24</v>
      </c>
      <c r="P6" s="3470">
        <v>954</v>
      </c>
      <c r="Q6" s="3470">
        <v>0</v>
      </c>
      <c r="R6" s="3470" t="s">
        <v>3465</v>
      </c>
      <c r="T6" s="3470">
        <f t="shared" si="0"/>
        <v>1909</v>
      </c>
    </row>
    <row r="7" spans="1:20">
      <c r="A7" s="3470" t="s">
        <v>3483</v>
      </c>
      <c r="B7" s="3470" t="s">
        <v>3484</v>
      </c>
      <c r="C7" s="3470" t="s">
        <v>3458</v>
      </c>
      <c r="D7" s="3470">
        <v>17324.900000000001</v>
      </c>
      <c r="E7" s="3470">
        <v>34649.800000000003</v>
      </c>
      <c r="F7" s="3470" t="s">
        <v>3485</v>
      </c>
      <c r="G7" s="3470" t="s">
        <v>3480</v>
      </c>
      <c r="H7" s="3470" t="s">
        <v>3461</v>
      </c>
      <c r="I7" s="3470" t="s">
        <v>3462</v>
      </c>
      <c r="J7" s="3470" t="s">
        <v>3486</v>
      </c>
      <c r="K7" s="3470">
        <v>60</v>
      </c>
      <c r="L7" s="3471">
        <v>44755.000497685185</v>
      </c>
      <c r="M7" s="3470" t="s">
        <v>3487</v>
      </c>
      <c r="N7" s="3470">
        <v>3040</v>
      </c>
      <c r="O7" s="3470">
        <v>116.98</v>
      </c>
      <c r="P7" s="3470">
        <v>877</v>
      </c>
      <c r="Q7" s="3470">
        <v>0</v>
      </c>
      <c r="R7" s="3470" t="s">
        <v>3465</v>
      </c>
      <c r="T7" s="3470">
        <f t="shared" si="0"/>
        <v>1755</v>
      </c>
    </row>
    <row r="8" spans="1:20">
      <c r="A8" s="3470" t="s">
        <v>3488</v>
      </c>
      <c r="B8" s="3470" t="s">
        <v>3489</v>
      </c>
      <c r="C8" s="3470" t="s">
        <v>3458</v>
      </c>
      <c r="D8" s="3470">
        <v>22113.599999999999</v>
      </c>
      <c r="E8" s="3470">
        <v>55284</v>
      </c>
      <c r="F8" s="3470" t="s">
        <v>3490</v>
      </c>
      <c r="G8" s="3470" t="s">
        <v>3480</v>
      </c>
      <c r="H8" s="3470" t="s">
        <v>3461</v>
      </c>
      <c r="I8" s="3470" t="s">
        <v>3462</v>
      </c>
      <c r="J8" s="3470" t="s">
        <v>3491</v>
      </c>
      <c r="K8" s="3470">
        <v>50</v>
      </c>
      <c r="L8" s="3471">
        <v>44755.000497685185</v>
      </c>
      <c r="M8" s="3470" t="s">
        <v>3487</v>
      </c>
      <c r="N8" s="3470">
        <v>3900</v>
      </c>
      <c r="O8" s="3470">
        <v>117.57</v>
      </c>
      <c r="P8" s="3470">
        <v>705</v>
      </c>
      <c r="Q8" s="3470">
        <v>0</v>
      </c>
      <c r="R8" s="3470" t="s">
        <v>3465</v>
      </c>
      <c r="T8" s="3470">
        <f t="shared" si="0"/>
        <v>1764</v>
      </c>
    </row>
    <row r="9" spans="1:20">
      <c r="A9" s="3470" t="s">
        <v>3492</v>
      </c>
      <c r="B9" s="3470" t="s">
        <v>3493</v>
      </c>
      <c r="C9" s="3470" t="s">
        <v>3458</v>
      </c>
      <c r="D9" s="3470">
        <v>18015.009999999998</v>
      </c>
      <c r="E9" s="3470">
        <v>10809.01</v>
      </c>
      <c r="F9" s="3470" t="s">
        <v>3494</v>
      </c>
      <c r="G9" s="3470" t="s">
        <v>3460</v>
      </c>
      <c r="H9" s="3470" t="s">
        <v>3461</v>
      </c>
      <c r="I9" s="3470" t="s">
        <v>3462</v>
      </c>
      <c r="J9" s="3470" t="s">
        <v>3486</v>
      </c>
      <c r="K9" s="3470">
        <v>15</v>
      </c>
      <c r="L9" s="3471">
        <v>44734.000497685185</v>
      </c>
      <c r="M9" s="3470" t="s">
        <v>3495</v>
      </c>
      <c r="N9" s="3470">
        <v>1442</v>
      </c>
      <c r="O9" s="3470">
        <v>53.36</v>
      </c>
      <c r="P9" s="3470">
        <v>1334</v>
      </c>
      <c r="Q9" s="3470">
        <v>0</v>
      </c>
      <c r="R9" s="3470" t="s">
        <v>3465</v>
      </c>
      <c r="T9" s="3470">
        <f t="shared" si="0"/>
        <v>800</v>
      </c>
    </row>
    <row r="10" spans="1:20">
      <c r="A10" s="3470" t="s">
        <v>3496</v>
      </c>
      <c r="B10" s="3470" t="s">
        <v>3497</v>
      </c>
      <c r="C10" s="3470" t="s">
        <v>3458</v>
      </c>
      <c r="D10" s="3470">
        <v>5946.82</v>
      </c>
      <c r="E10" s="3470">
        <v>4757.46</v>
      </c>
      <c r="F10" s="3470" t="s">
        <v>3498</v>
      </c>
      <c r="G10" s="3470" t="s">
        <v>3460</v>
      </c>
      <c r="H10" s="3470" t="s">
        <v>3461</v>
      </c>
      <c r="I10" s="3470" t="s">
        <v>3462</v>
      </c>
      <c r="J10" s="3470" t="s">
        <v>3499</v>
      </c>
      <c r="K10" s="3470">
        <v>8</v>
      </c>
      <c r="L10" s="3471">
        <v>44734.000497685185</v>
      </c>
      <c r="M10" s="3470" t="s">
        <v>3495</v>
      </c>
      <c r="N10" s="3470">
        <v>500</v>
      </c>
      <c r="O10" s="3470">
        <v>56.05</v>
      </c>
      <c r="P10" s="3470">
        <v>1051</v>
      </c>
      <c r="Q10" s="3470">
        <v>0</v>
      </c>
      <c r="R10" s="3470" t="s">
        <v>3465</v>
      </c>
      <c r="T10" s="3470">
        <f t="shared" si="0"/>
        <v>841</v>
      </c>
    </row>
    <row r="11" spans="1:20">
      <c r="A11" s="3470" t="s">
        <v>3492</v>
      </c>
      <c r="B11" s="3470" t="s">
        <v>3500</v>
      </c>
      <c r="C11" s="3470" t="s">
        <v>3458</v>
      </c>
      <c r="D11" s="3470">
        <v>2465.1999999999998</v>
      </c>
      <c r="E11" s="3470">
        <v>986.08</v>
      </c>
      <c r="F11" s="3470" t="s">
        <v>3501</v>
      </c>
      <c r="G11" s="3470" t="s">
        <v>3460</v>
      </c>
      <c r="H11" s="3470" t="s">
        <v>3461</v>
      </c>
      <c r="I11" s="3470" t="s">
        <v>3462</v>
      </c>
      <c r="J11" s="3470" t="s">
        <v>3502</v>
      </c>
      <c r="K11" s="3470">
        <v>6</v>
      </c>
      <c r="L11" s="3471">
        <v>44734.000497685185</v>
      </c>
      <c r="M11" s="3470" t="s">
        <v>3495</v>
      </c>
      <c r="N11" s="3470">
        <v>194</v>
      </c>
      <c r="O11" s="3470">
        <v>52.46</v>
      </c>
      <c r="P11" s="3470">
        <v>1967</v>
      </c>
      <c r="Q11" s="3470">
        <v>0</v>
      </c>
      <c r="R11" s="3470" t="s">
        <v>3465</v>
      </c>
      <c r="T11" s="3470">
        <f t="shared" si="0"/>
        <v>787</v>
      </c>
    </row>
    <row r="12" spans="1:20">
      <c r="A12" s="3470" t="s">
        <v>3492</v>
      </c>
      <c r="B12" s="3470" t="s">
        <v>3503</v>
      </c>
      <c r="C12" s="3470" t="s">
        <v>3458</v>
      </c>
      <c r="D12" s="3470">
        <v>1654.21</v>
      </c>
      <c r="E12" s="3470">
        <v>1654.21</v>
      </c>
      <c r="F12" s="3470" t="s">
        <v>3459</v>
      </c>
      <c r="G12" s="3470" t="s">
        <v>3460</v>
      </c>
      <c r="H12" s="3470" t="s">
        <v>3461</v>
      </c>
      <c r="I12" s="3470" t="s">
        <v>3462</v>
      </c>
      <c r="J12" s="3470" t="s">
        <v>3504</v>
      </c>
      <c r="K12" s="3470">
        <v>15</v>
      </c>
      <c r="L12" s="3471">
        <v>44734.000497685185</v>
      </c>
      <c r="M12" s="3470" t="s">
        <v>3495</v>
      </c>
      <c r="N12" s="3470">
        <v>135</v>
      </c>
      <c r="O12" s="3470">
        <v>54.41</v>
      </c>
      <c r="P12" s="3470">
        <v>816</v>
      </c>
      <c r="Q12" s="3470">
        <v>0</v>
      </c>
      <c r="R12" s="3470" t="s">
        <v>3465</v>
      </c>
      <c r="T12" s="3470">
        <f t="shared" si="0"/>
        <v>816</v>
      </c>
    </row>
    <row r="13" spans="1:20">
      <c r="A13" s="3470" t="s">
        <v>3492</v>
      </c>
      <c r="B13" s="3470" t="s">
        <v>3505</v>
      </c>
      <c r="C13" s="3470" t="s">
        <v>3458</v>
      </c>
      <c r="D13" s="3470">
        <v>760.95</v>
      </c>
      <c r="E13" s="3470">
        <v>228.29</v>
      </c>
      <c r="F13" s="3470" t="s">
        <v>3506</v>
      </c>
      <c r="G13" s="3470" t="s">
        <v>3460</v>
      </c>
      <c r="H13" s="3470" t="s">
        <v>3461</v>
      </c>
      <c r="I13" s="3470" t="s">
        <v>3462</v>
      </c>
      <c r="J13" s="3470" t="s">
        <v>3507</v>
      </c>
      <c r="K13" s="3470">
        <v>6</v>
      </c>
      <c r="L13" s="3471">
        <v>44734.000497685185</v>
      </c>
      <c r="M13" s="3470" t="s">
        <v>3495</v>
      </c>
      <c r="N13" s="3470">
        <v>58</v>
      </c>
      <c r="O13" s="3470">
        <v>50.81</v>
      </c>
      <c r="P13" s="3470">
        <v>2541</v>
      </c>
      <c r="Q13" s="3470">
        <v>0</v>
      </c>
      <c r="R13" s="3470" t="s">
        <v>3465</v>
      </c>
      <c r="T13" s="3470">
        <f t="shared" si="0"/>
        <v>762</v>
      </c>
    </row>
    <row r="14" spans="1:20">
      <c r="A14" s="3470" t="s">
        <v>3492</v>
      </c>
      <c r="B14" s="3470" t="s">
        <v>3508</v>
      </c>
      <c r="C14" s="3470" t="s">
        <v>3458</v>
      </c>
      <c r="D14" s="3470">
        <v>1253.02</v>
      </c>
      <c r="E14" s="3470">
        <v>1253.02</v>
      </c>
      <c r="F14" s="3470" t="s">
        <v>3459</v>
      </c>
      <c r="G14" s="3470" t="s">
        <v>3460</v>
      </c>
      <c r="H14" s="3470" t="s">
        <v>3461</v>
      </c>
      <c r="I14" s="3470" t="s">
        <v>3462</v>
      </c>
      <c r="J14" s="3470" t="s">
        <v>3509</v>
      </c>
      <c r="K14" s="3470">
        <v>12</v>
      </c>
      <c r="L14" s="3471">
        <v>44734.000497685185</v>
      </c>
      <c r="M14" s="3470" t="s">
        <v>3495</v>
      </c>
      <c r="N14" s="3470">
        <v>103</v>
      </c>
      <c r="O14" s="3470">
        <v>54.8</v>
      </c>
      <c r="P14" s="3470">
        <v>822</v>
      </c>
      <c r="Q14" s="3470">
        <v>0</v>
      </c>
      <c r="R14" s="3470" t="s">
        <v>3465</v>
      </c>
      <c r="T14" s="3470">
        <f t="shared" si="0"/>
        <v>822</v>
      </c>
    </row>
    <row r="15" spans="1:20">
      <c r="A15" s="3470" t="s">
        <v>3492</v>
      </c>
      <c r="B15" s="3470" t="s">
        <v>3510</v>
      </c>
      <c r="C15" s="3470" t="s">
        <v>3458</v>
      </c>
      <c r="D15" s="3470">
        <v>2192.87</v>
      </c>
      <c r="E15" s="3470">
        <v>1096.44</v>
      </c>
      <c r="F15" s="3470" t="s">
        <v>3511</v>
      </c>
      <c r="G15" s="3470" t="s">
        <v>3460</v>
      </c>
      <c r="H15" s="3470" t="s">
        <v>3461</v>
      </c>
      <c r="I15" s="3470" t="s">
        <v>3462</v>
      </c>
      <c r="J15" s="3470" t="s">
        <v>3486</v>
      </c>
      <c r="K15" s="3470">
        <v>12</v>
      </c>
      <c r="L15" s="3471">
        <v>44734.000497685185</v>
      </c>
      <c r="M15" s="3470" t="s">
        <v>3495</v>
      </c>
      <c r="N15" s="3470">
        <v>172</v>
      </c>
      <c r="O15" s="3470">
        <v>52.29</v>
      </c>
      <c r="P15" s="3470">
        <v>1569</v>
      </c>
      <c r="Q15" s="3470">
        <v>0</v>
      </c>
      <c r="R15" s="3470" t="s">
        <v>3465</v>
      </c>
      <c r="T15" s="3470">
        <f t="shared" si="0"/>
        <v>784</v>
      </c>
    </row>
    <row r="16" spans="1:20">
      <c r="A16" s="3470" t="s">
        <v>3492</v>
      </c>
      <c r="B16" s="3470" t="s">
        <v>3512</v>
      </c>
      <c r="C16" s="3470" t="s">
        <v>3458</v>
      </c>
      <c r="D16" s="3470">
        <v>471.77</v>
      </c>
      <c r="E16" s="3470">
        <v>283.06</v>
      </c>
      <c r="F16" s="3470" t="s">
        <v>3494</v>
      </c>
      <c r="G16" s="3470" t="s">
        <v>3460</v>
      </c>
      <c r="H16" s="3470" t="s">
        <v>3461</v>
      </c>
      <c r="I16" s="3470" t="s">
        <v>3462</v>
      </c>
      <c r="J16" s="3470" t="s">
        <v>3513</v>
      </c>
      <c r="K16" s="3470">
        <v>7</v>
      </c>
      <c r="L16" s="3471">
        <v>44734.000497685185</v>
      </c>
      <c r="M16" s="3470" t="s">
        <v>3495</v>
      </c>
      <c r="N16" s="3470">
        <v>38</v>
      </c>
      <c r="O16" s="3470">
        <v>53.7</v>
      </c>
      <c r="P16" s="3470">
        <v>1342</v>
      </c>
      <c r="Q16" s="3470">
        <v>0</v>
      </c>
      <c r="R16" s="3470" t="s">
        <v>3465</v>
      </c>
      <c r="T16" s="3470">
        <f t="shared" si="0"/>
        <v>805</v>
      </c>
    </row>
    <row r="17" spans="1:20">
      <c r="A17" s="3470" t="s">
        <v>3492</v>
      </c>
      <c r="B17" s="3470" t="s">
        <v>3514</v>
      </c>
      <c r="C17" s="3470" t="s">
        <v>3458</v>
      </c>
      <c r="D17" s="3470">
        <v>474.81</v>
      </c>
      <c r="E17" s="3470">
        <v>474.81</v>
      </c>
      <c r="F17" s="3470" t="s">
        <v>3459</v>
      </c>
      <c r="G17" s="3470" t="s">
        <v>3460</v>
      </c>
      <c r="H17" s="3470" t="s">
        <v>3461</v>
      </c>
      <c r="I17" s="3470" t="s">
        <v>3462</v>
      </c>
      <c r="J17" s="3470" t="s">
        <v>3499</v>
      </c>
      <c r="K17" s="3470">
        <v>15</v>
      </c>
      <c r="L17" s="3471">
        <v>44734.000497685185</v>
      </c>
      <c r="M17" s="3470" t="s">
        <v>3495</v>
      </c>
      <c r="N17" s="3470">
        <v>39</v>
      </c>
      <c r="O17" s="3470">
        <v>54.76</v>
      </c>
      <c r="P17" s="3470">
        <v>821</v>
      </c>
      <c r="Q17" s="3470">
        <v>0</v>
      </c>
      <c r="R17" s="3470" t="s">
        <v>3465</v>
      </c>
      <c r="T17" s="3470">
        <f t="shared" si="0"/>
        <v>821</v>
      </c>
    </row>
    <row r="18" spans="1:20">
      <c r="A18" s="3470" t="s">
        <v>3492</v>
      </c>
      <c r="B18" s="3470" t="s">
        <v>3515</v>
      </c>
      <c r="C18" s="3470" t="s">
        <v>3458</v>
      </c>
      <c r="D18" s="3470">
        <v>3507.65</v>
      </c>
      <c r="E18" s="3470">
        <v>3507.65</v>
      </c>
      <c r="F18" s="3470" t="s">
        <v>3459</v>
      </c>
      <c r="G18" s="3470" t="s">
        <v>3460</v>
      </c>
      <c r="H18" s="3470" t="s">
        <v>3461</v>
      </c>
      <c r="I18" s="3470" t="s">
        <v>3462</v>
      </c>
      <c r="J18" s="3470" t="s">
        <v>3509</v>
      </c>
      <c r="K18" s="3470">
        <v>12</v>
      </c>
      <c r="L18" s="3471">
        <v>44734.000497685185</v>
      </c>
      <c r="M18" s="3470" t="s">
        <v>3495</v>
      </c>
      <c r="N18" s="3470">
        <v>283</v>
      </c>
      <c r="O18" s="3470">
        <v>53.79</v>
      </c>
      <c r="P18" s="3470">
        <v>807</v>
      </c>
      <c r="Q18" s="3470">
        <v>0</v>
      </c>
      <c r="R18" s="3470" t="s">
        <v>3465</v>
      </c>
      <c r="T18" s="3470">
        <f t="shared" si="0"/>
        <v>807</v>
      </c>
    </row>
    <row r="19" spans="1:20">
      <c r="A19" s="3470" t="s">
        <v>3492</v>
      </c>
      <c r="B19" s="3470" t="s">
        <v>3516</v>
      </c>
      <c r="C19" s="3470" t="s">
        <v>3458</v>
      </c>
      <c r="D19" s="3470">
        <v>207.76</v>
      </c>
      <c r="E19" s="3470">
        <v>519.4</v>
      </c>
      <c r="F19" s="3470" t="s">
        <v>3517</v>
      </c>
      <c r="G19" s="3470" t="s">
        <v>3460</v>
      </c>
      <c r="H19" s="3470" t="s">
        <v>3461</v>
      </c>
      <c r="I19" s="3470" t="s">
        <v>3462</v>
      </c>
      <c r="J19" s="3470" t="s">
        <v>3504</v>
      </c>
      <c r="K19" s="3470">
        <v>15</v>
      </c>
      <c r="L19" s="3471">
        <v>44734.000497685185</v>
      </c>
      <c r="M19" s="3470" t="s">
        <v>3495</v>
      </c>
      <c r="N19" s="3470">
        <v>21</v>
      </c>
      <c r="O19" s="3470">
        <v>67.39</v>
      </c>
      <c r="P19" s="3470">
        <v>404</v>
      </c>
      <c r="Q19" s="3470">
        <v>0</v>
      </c>
      <c r="R19" s="3470" t="s">
        <v>3465</v>
      </c>
      <c r="T19" s="3470">
        <f t="shared" si="0"/>
        <v>1011</v>
      </c>
    </row>
    <row r="20" spans="1:20">
      <c r="A20" s="3470" t="s">
        <v>3492</v>
      </c>
      <c r="B20" s="3470" t="s">
        <v>3518</v>
      </c>
      <c r="C20" s="3470" t="s">
        <v>3458</v>
      </c>
      <c r="D20" s="3470">
        <v>9063.75</v>
      </c>
      <c r="E20" s="3470">
        <v>11782.88</v>
      </c>
      <c r="F20" s="3470" t="s">
        <v>3519</v>
      </c>
      <c r="G20" s="3470" t="s">
        <v>3460</v>
      </c>
      <c r="H20" s="3470" t="s">
        <v>3461</v>
      </c>
      <c r="I20" s="3470" t="s">
        <v>3462</v>
      </c>
      <c r="J20" s="3470" t="s">
        <v>3481</v>
      </c>
      <c r="K20" s="3470">
        <v>15</v>
      </c>
      <c r="L20" s="3471">
        <v>44734.000497685185</v>
      </c>
      <c r="M20" s="3470" t="s">
        <v>3495</v>
      </c>
      <c r="N20" s="3470">
        <v>782</v>
      </c>
      <c r="O20" s="3470">
        <v>57.52</v>
      </c>
      <c r="P20" s="3470">
        <v>664</v>
      </c>
      <c r="Q20" s="3470">
        <v>0</v>
      </c>
      <c r="R20" s="3470" t="s">
        <v>3465</v>
      </c>
      <c r="T20" s="3470">
        <f t="shared" si="0"/>
        <v>863</v>
      </c>
    </row>
    <row r="21" spans="1:20">
      <c r="A21" s="3470" t="s">
        <v>3492</v>
      </c>
      <c r="B21" s="3470" t="s">
        <v>3520</v>
      </c>
      <c r="C21" s="3470" t="s">
        <v>3458</v>
      </c>
      <c r="D21" s="3470">
        <v>190.98</v>
      </c>
      <c r="E21" s="3470">
        <v>190.98</v>
      </c>
      <c r="F21" s="3470" t="s">
        <v>3459</v>
      </c>
      <c r="G21" s="3470" t="s">
        <v>3460</v>
      </c>
      <c r="H21" s="3470" t="s">
        <v>3461</v>
      </c>
      <c r="I21" s="3470" t="s">
        <v>3462</v>
      </c>
      <c r="J21" s="3470" t="s">
        <v>3481</v>
      </c>
      <c r="K21" s="3470">
        <v>15</v>
      </c>
      <c r="L21" s="3471">
        <v>44734.000497685185</v>
      </c>
      <c r="M21" s="3470" t="s">
        <v>3495</v>
      </c>
      <c r="N21" s="3470">
        <v>16</v>
      </c>
      <c r="O21" s="3470">
        <v>55.85</v>
      </c>
      <c r="P21" s="3470">
        <v>838</v>
      </c>
      <c r="Q21" s="3470">
        <v>0</v>
      </c>
      <c r="R21" s="3470" t="s">
        <v>3465</v>
      </c>
      <c r="T21" s="3470">
        <f t="shared" si="0"/>
        <v>838</v>
      </c>
    </row>
    <row r="22" spans="1:20">
      <c r="A22" s="3470" t="s">
        <v>3492</v>
      </c>
      <c r="B22" s="3470" t="s">
        <v>3521</v>
      </c>
      <c r="C22" s="3470" t="s">
        <v>3458</v>
      </c>
      <c r="D22" s="3470">
        <v>2057.1999999999998</v>
      </c>
      <c r="E22" s="3470">
        <v>1028.5999999999999</v>
      </c>
      <c r="F22" s="3470" t="s">
        <v>3511</v>
      </c>
      <c r="G22" s="3470" t="s">
        <v>3460</v>
      </c>
      <c r="H22" s="3470" t="s">
        <v>3461</v>
      </c>
      <c r="I22" s="3470" t="s">
        <v>3462</v>
      </c>
      <c r="J22" s="3470" t="s">
        <v>3522</v>
      </c>
      <c r="K22" s="3470">
        <v>8</v>
      </c>
      <c r="L22" s="3471">
        <v>44734.000497685185</v>
      </c>
      <c r="M22" s="3470" t="s">
        <v>3495</v>
      </c>
      <c r="N22" s="3470">
        <v>163</v>
      </c>
      <c r="O22" s="3470">
        <v>52.82</v>
      </c>
      <c r="P22" s="3470">
        <v>1585</v>
      </c>
      <c r="Q22" s="3470">
        <v>0</v>
      </c>
      <c r="R22" s="3470" t="s">
        <v>3465</v>
      </c>
      <c r="T22" s="3470">
        <f t="shared" si="0"/>
        <v>792</v>
      </c>
    </row>
    <row r="23" spans="1:20">
      <c r="A23" s="3470" t="s">
        <v>3492</v>
      </c>
      <c r="B23" s="3470" t="s">
        <v>3523</v>
      </c>
      <c r="C23" s="3470" t="s">
        <v>3458</v>
      </c>
      <c r="D23" s="3470">
        <v>3094.91</v>
      </c>
      <c r="E23" s="3470">
        <v>2785.42</v>
      </c>
      <c r="F23" s="3470" t="s">
        <v>3524</v>
      </c>
      <c r="G23" s="3470" t="s">
        <v>3460</v>
      </c>
      <c r="H23" s="3470" t="s">
        <v>3461</v>
      </c>
      <c r="I23" s="3470" t="s">
        <v>3462</v>
      </c>
      <c r="J23" s="3470" t="s">
        <v>3525</v>
      </c>
      <c r="K23" s="3470">
        <v>8</v>
      </c>
      <c r="L23" s="3471">
        <v>44734.000497685185</v>
      </c>
      <c r="M23" s="3470" t="s">
        <v>3495</v>
      </c>
      <c r="N23" s="3470">
        <v>254</v>
      </c>
      <c r="O23" s="3470">
        <v>54.71</v>
      </c>
      <c r="P23" s="3470">
        <v>912</v>
      </c>
      <c r="Q23" s="3470">
        <v>0</v>
      </c>
      <c r="R23" s="3470" t="s">
        <v>3465</v>
      </c>
      <c r="T23" s="3470">
        <f t="shared" si="0"/>
        <v>821</v>
      </c>
    </row>
    <row r="24" spans="1:20" s="3472" customFormat="1">
      <c r="A24" s="3472" t="s">
        <v>3526</v>
      </c>
      <c r="B24" s="3472" t="s">
        <v>3527</v>
      </c>
      <c r="C24" s="3472" t="s">
        <v>3458</v>
      </c>
      <c r="D24" s="3472">
        <v>9745.5</v>
      </c>
      <c r="E24" s="3472">
        <v>19491</v>
      </c>
      <c r="F24" s="3472" t="s">
        <v>3479</v>
      </c>
      <c r="G24" s="3472" t="s">
        <v>3460</v>
      </c>
      <c r="H24" s="3472" t="s">
        <v>3461</v>
      </c>
      <c r="I24" s="3472" t="s">
        <v>3462</v>
      </c>
      <c r="J24" s="3472" t="s">
        <v>3475</v>
      </c>
      <c r="K24" s="3472">
        <v>27</v>
      </c>
      <c r="L24" s="3473">
        <v>44713.000497685185</v>
      </c>
      <c r="M24" s="3472" t="s">
        <v>3528</v>
      </c>
      <c r="N24" s="3472">
        <v>5010</v>
      </c>
      <c r="O24" s="3472">
        <v>342.72</v>
      </c>
      <c r="P24" s="3472">
        <v>2570</v>
      </c>
      <c r="Q24" s="3472">
        <v>0</v>
      </c>
      <c r="R24" s="3472" t="s">
        <v>3465</v>
      </c>
      <c r="S24" s="3472" t="s">
        <v>3529</v>
      </c>
      <c r="T24" s="3472">
        <f t="shared" si="0"/>
        <v>5141</v>
      </c>
    </row>
    <row r="25" spans="1:20" s="3474" customFormat="1">
      <c r="A25" s="3474" t="s">
        <v>3530</v>
      </c>
      <c r="B25" s="3474" t="s">
        <v>3531</v>
      </c>
      <c r="C25" s="3474" t="s">
        <v>3458</v>
      </c>
      <c r="D25" s="3474">
        <v>2353.6</v>
      </c>
      <c r="E25" s="3474">
        <v>4707.2</v>
      </c>
      <c r="F25" s="3474" t="s">
        <v>3479</v>
      </c>
      <c r="G25" s="3474" t="s">
        <v>3460</v>
      </c>
      <c r="H25" s="3474" t="s">
        <v>3461</v>
      </c>
      <c r="I25" s="3474" t="s">
        <v>3462</v>
      </c>
      <c r="J25" s="3474" t="s">
        <v>3475</v>
      </c>
      <c r="K25" s="3474">
        <v>27</v>
      </c>
      <c r="L25" s="3475">
        <v>44713.000497685185</v>
      </c>
      <c r="M25" s="3474" t="s">
        <v>3532</v>
      </c>
      <c r="N25" s="3474">
        <v>1930</v>
      </c>
      <c r="O25" s="3474">
        <v>546.67999999999995</v>
      </c>
      <c r="P25" s="3474">
        <v>4100</v>
      </c>
      <c r="Q25" s="3474">
        <v>0</v>
      </c>
      <c r="R25" s="3474" t="s">
        <v>3465</v>
      </c>
      <c r="S25" s="3474" t="s">
        <v>3529</v>
      </c>
      <c r="T25" s="3470">
        <f t="shared" si="0"/>
        <v>8200</v>
      </c>
    </row>
    <row r="26" spans="1:20" s="3476" customFormat="1">
      <c r="A26" s="3476" t="s">
        <v>3526</v>
      </c>
      <c r="B26" s="3476" t="s">
        <v>3533</v>
      </c>
      <c r="C26" s="3476" t="s">
        <v>3458</v>
      </c>
      <c r="D26" s="3476">
        <v>2953.2</v>
      </c>
      <c r="E26" s="3476">
        <v>5906.4</v>
      </c>
      <c r="F26" s="3476" t="s">
        <v>3479</v>
      </c>
      <c r="G26" s="3476" t="s">
        <v>3460</v>
      </c>
      <c r="H26" s="3476" t="s">
        <v>3461</v>
      </c>
      <c r="I26" s="3476" t="s">
        <v>3462</v>
      </c>
      <c r="J26" s="3476" t="s">
        <v>3475</v>
      </c>
      <c r="K26" s="3476">
        <v>27</v>
      </c>
      <c r="L26" s="3477">
        <v>44713.000497685185</v>
      </c>
      <c r="M26" s="3476" t="s">
        <v>3534</v>
      </c>
      <c r="N26" s="3476">
        <v>1860</v>
      </c>
      <c r="O26" s="3476">
        <v>419.88</v>
      </c>
      <c r="P26" s="3476">
        <v>3149</v>
      </c>
      <c r="Q26" s="3476">
        <v>0</v>
      </c>
      <c r="R26" s="3476" t="s">
        <v>3465</v>
      </c>
      <c r="S26" s="3476" t="s">
        <v>3529</v>
      </c>
      <c r="T26" s="3476">
        <f t="shared" si="0"/>
        <v>6298</v>
      </c>
    </row>
    <row r="27" spans="1:20" s="3474" customFormat="1">
      <c r="A27" s="3474" t="s">
        <v>3535</v>
      </c>
      <c r="B27" s="3474" t="s">
        <v>3536</v>
      </c>
      <c r="C27" s="3474" t="s">
        <v>3458</v>
      </c>
      <c r="D27" s="3474">
        <v>12633.5</v>
      </c>
      <c r="E27" s="3474">
        <v>25267</v>
      </c>
      <c r="F27" s="3474" t="s">
        <v>3479</v>
      </c>
      <c r="G27" s="3474" t="s">
        <v>3460</v>
      </c>
      <c r="H27" s="3474" t="s">
        <v>3461</v>
      </c>
      <c r="I27" s="3474" t="s">
        <v>3462</v>
      </c>
      <c r="J27" s="3474" t="s">
        <v>3475</v>
      </c>
      <c r="K27" s="3474">
        <v>27</v>
      </c>
      <c r="L27" s="3475">
        <v>44713.000497685185</v>
      </c>
      <c r="M27" s="3474" t="s">
        <v>3534</v>
      </c>
      <c r="N27" s="3474">
        <v>10810</v>
      </c>
      <c r="O27" s="3474">
        <v>570.44000000000005</v>
      </c>
      <c r="P27" s="3474">
        <v>4278</v>
      </c>
      <c r="Q27" s="3474">
        <v>0</v>
      </c>
      <c r="R27" s="3474" t="s">
        <v>3465</v>
      </c>
      <c r="S27" s="3474" t="s">
        <v>3529</v>
      </c>
      <c r="T27" s="3470">
        <f t="shared" si="0"/>
        <v>8557</v>
      </c>
    </row>
    <row r="28" spans="1:20">
      <c r="A28" s="3470" t="s">
        <v>3537</v>
      </c>
      <c r="B28" s="3470" t="s">
        <v>3538</v>
      </c>
      <c r="C28" s="3470" t="s">
        <v>3458</v>
      </c>
      <c r="D28" s="3470">
        <v>14372.16</v>
      </c>
      <c r="E28" s="3470">
        <v>43116.480000000003</v>
      </c>
      <c r="F28" s="3470" t="s">
        <v>3474</v>
      </c>
      <c r="G28" s="3470" t="s">
        <v>3480</v>
      </c>
      <c r="H28" s="3470" t="s">
        <v>3461</v>
      </c>
      <c r="I28" s="3470" t="s">
        <v>3462</v>
      </c>
      <c r="J28" s="3470" t="s">
        <v>3504</v>
      </c>
      <c r="K28" s="3470">
        <v>80</v>
      </c>
      <c r="L28" s="3471">
        <v>44700.000497685185</v>
      </c>
      <c r="M28" s="3470" t="s">
        <v>3539</v>
      </c>
      <c r="N28" s="3470">
        <v>8240</v>
      </c>
      <c r="O28" s="3470">
        <v>382.22</v>
      </c>
      <c r="P28" s="3470">
        <v>1911</v>
      </c>
      <c r="Q28" s="3470">
        <v>0</v>
      </c>
      <c r="R28" s="3470" t="s">
        <v>3465</v>
      </c>
      <c r="T28" s="3470">
        <f t="shared" si="0"/>
        <v>5733</v>
      </c>
    </row>
    <row r="29" spans="1:20">
      <c r="A29" s="3470" t="s">
        <v>3540</v>
      </c>
      <c r="B29" s="3470" t="s">
        <v>3541</v>
      </c>
      <c r="C29" s="3470" t="s">
        <v>3458</v>
      </c>
      <c r="D29" s="3470">
        <v>64249.52</v>
      </c>
      <c r="E29" s="3470">
        <v>128499.04</v>
      </c>
      <c r="F29" s="3470" t="s">
        <v>3479</v>
      </c>
      <c r="G29" s="3470" t="s">
        <v>3480</v>
      </c>
      <c r="H29" s="3470" t="s">
        <v>3461</v>
      </c>
      <c r="I29" s="3470" t="s">
        <v>3462</v>
      </c>
      <c r="J29" s="3470" t="s">
        <v>3481</v>
      </c>
      <c r="K29" s="3470" t="s">
        <v>3542</v>
      </c>
      <c r="L29" s="3471">
        <v>44531.000497685185</v>
      </c>
      <c r="M29" s="3470" t="s">
        <v>3543</v>
      </c>
      <c r="N29" s="3470">
        <v>11550</v>
      </c>
      <c r="O29" s="3470">
        <v>119.85</v>
      </c>
      <c r="P29" s="3470">
        <v>899</v>
      </c>
      <c r="Q29" s="3470">
        <v>0</v>
      </c>
      <c r="R29" s="3470" t="s">
        <v>3465</v>
      </c>
      <c r="T29" s="3470">
        <f t="shared" si="0"/>
        <v>1798</v>
      </c>
    </row>
    <row r="30" spans="1:20">
      <c r="A30" s="3470" t="s">
        <v>3544</v>
      </c>
      <c r="B30" s="3470" t="s">
        <v>3545</v>
      </c>
      <c r="C30" s="3470" t="s">
        <v>3458</v>
      </c>
      <c r="D30" s="3470">
        <v>23032.28</v>
      </c>
      <c r="E30" s="3470">
        <v>69096.84</v>
      </c>
      <c r="F30" s="3470" t="s">
        <v>3474</v>
      </c>
      <c r="G30" s="3470" t="s">
        <v>3460</v>
      </c>
      <c r="H30" s="3470" t="s">
        <v>3461</v>
      </c>
      <c r="I30" s="3470" t="s">
        <v>3462</v>
      </c>
      <c r="J30" s="3470" t="s">
        <v>3475</v>
      </c>
      <c r="K30" s="3470" t="s">
        <v>3499</v>
      </c>
      <c r="L30" s="3471">
        <v>44524.000497685185</v>
      </c>
      <c r="M30" s="3470" t="s">
        <v>3546</v>
      </c>
      <c r="N30" s="3470">
        <v>8630</v>
      </c>
      <c r="O30" s="3470">
        <v>249.79</v>
      </c>
      <c r="P30" s="3470">
        <v>1249</v>
      </c>
      <c r="Q30" s="3470">
        <v>0</v>
      </c>
      <c r="R30" s="3470" t="s">
        <v>3465</v>
      </c>
      <c r="T30" s="3470">
        <f t="shared" si="0"/>
        <v>3747</v>
      </c>
    </row>
    <row r="31" spans="1:20">
      <c r="A31" s="3470" t="s">
        <v>3547</v>
      </c>
      <c r="B31" s="3470" t="s">
        <v>3548</v>
      </c>
      <c r="C31" s="3470" t="s">
        <v>3458</v>
      </c>
      <c r="D31" s="3470">
        <v>1144.68</v>
      </c>
      <c r="E31" s="3470">
        <v>915.74</v>
      </c>
      <c r="F31" s="3470" t="s">
        <v>3498</v>
      </c>
      <c r="G31" s="3470" t="s">
        <v>3460</v>
      </c>
      <c r="H31" s="3470" t="s">
        <v>3461</v>
      </c>
      <c r="I31" s="3470" t="s">
        <v>3462</v>
      </c>
      <c r="J31" s="3470" t="s">
        <v>3504</v>
      </c>
      <c r="K31" s="3470" t="s">
        <v>3549</v>
      </c>
      <c r="L31" s="3471">
        <v>44503.000497685185</v>
      </c>
      <c r="M31" s="3470" t="s">
        <v>3550</v>
      </c>
      <c r="N31" s="3470">
        <v>164</v>
      </c>
      <c r="O31" s="3470">
        <v>95.51</v>
      </c>
      <c r="P31" s="3470">
        <v>1791</v>
      </c>
      <c r="Q31" s="3470">
        <v>0.61</v>
      </c>
      <c r="R31" s="3470" t="s">
        <v>3465</v>
      </c>
      <c r="T31" s="3470">
        <f t="shared" si="0"/>
        <v>1433</v>
      </c>
    </row>
    <row r="32" spans="1:20">
      <c r="A32" s="3470" t="s">
        <v>3551</v>
      </c>
      <c r="B32" s="3470" t="s">
        <v>3552</v>
      </c>
      <c r="C32" s="3470" t="s">
        <v>3458</v>
      </c>
      <c r="D32" s="3470">
        <v>1470.42</v>
      </c>
      <c r="E32" s="3470">
        <v>2940.84</v>
      </c>
      <c r="F32" s="3470" t="s">
        <v>3479</v>
      </c>
      <c r="G32" s="3470" t="s">
        <v>3460</v>
      </c>
      <c r="H32" s="3470" t="s">
        <v>3461</v>
      </c>
      <c r="I32" s="3470" t="s">
        <v>3462</v>
      </c>
      <c r="J32" s="3470" t="s">
        <v>3481</v>
      </c>
      <c r="K32" s="3470" t="s">
        <v>3549</v>
      </c>
      <c r="L32" s="3471">
        <v>44503.000497685185</v>
      </c>
      <c r="M32" s="3470" t="s">
        <v>3553</v>
      </c>
      <c r="N32" s="3470">
        <v>312</v>
      </c>
      <c r="O32" s="3470">
        <v>141.46</v>
      </c>
      <c r="P32" s="3470">
        <v>1061</v>
      </c>
      <c r="Q32" s="3470">
        <v>0</v>
      </c>
      <c r="R32" s="3470" t="s">
        <v>3465</v>
      </c>
      <c r="T32" s="3470">
        <f t="shared" si="0"/>
        <v>2122</v>
      </c>
    </row>
    <row r="33" spans="1:20">
      <c r="A33" s="3470" t="s">
        <v>3554</v>
      </c>
      <c r="B33" s="3470" t="s">
        <v>3555</v>
      </c>
      <c r="C33" s="3470" t="s">
        <v>3458</v>
      </c>
      <c r="D33" s="3470">
        <v>1579.65</v>
      </c>
      <c r="E33" s="3470">
        <v>4738.95</v>
      </c>
      <c r="F33" s="3470" t="s">
        <v>3474</v>
      </c>
      <c r="G33" s="3470" t="s">
        <v>3460</v>
      </c>
      <c r="H33" s="3470" t="s">
        <v>3461</v>
      </c>
      <c r="I33" s="3470" t="s">
        <v>3462</v>
      </c>
      <c r="J33" s="3470" t="s">
        <v>3475</v>
      </c>
      <c r="K33" s="3470" t="s">
        <v>3481</v>
      </c>
      <c r="L33" s="3471">
        <v>44393.000497685185</v>
      </c>
      <c r="M33" s="3470" t="s">
        <v>3556</v>
      </c>
      <c r="N33" s="3470">
        <v>1215</v>
      </c>
      <c r="O33" s="3470">
        <v>512.77</v>
      </c>
      <c r="P33" s="3470">
        <v>2564</v>
      </c>
      <c r="Q33" s="3470">
        <v>0</v>
      </c>
      <c r="R33" s="3470" t="s">
        <v>3465</v>
      </c>
      <c r="T33" s="3470">
        <f t="shared" si="0"/>
        <v>7692</v>
      </c>
    </row>
    <row r="34" spans="1:20">
      <c r="A34" s="3470" t="s">
        <v>3557</v>
      </c>
      <c r="B34" s="3470" t="s">
        <v>3558</v>
      </c>
      <c r="C34" s="3470" t="s">
        <v>3458</v>
      </c>
      <c r="D34" s="3470">
        <v>15036.05</v>
      </c>
      <c r="E34" s="3470">
        <v>45108.15</v>
      </c>
      <c r="F34" s="3470" t="s">
        <v>3474</v>
      </c>
      <c r="G34" s="3470" t="s">
        <v>3460</v>
      </c>
      <c r="H34" s="3470" t="s">
        <v>3461</v>
      </c>
      <c r="I34" s="3470" t="s">
        <v>3462</v>
      </c>
      <c r="J34" s="3470" t="s">
        <v>3475</v>
      </c>
      <c r="K34" s="3470" t="s">
        <v>3499</v>
      </c>
      <c r="L34" s="3471">
        <v>44365.000497685185</v>
      </c>
      <c r="M34" s="3470" t="s">
        <v>3559</v>
      </c>
      <c r="N34" s="3470">
        <v>3540</v>
      </c>
      <c r="O34" s="3470">
        <v>156.96</v>
      </c>
      <c r="P34" s="3470">
        <v>785</v>
      </c>
      <c r="Q34" s="3470">
        <v>0</v>
      </c>
      <c r="R34" s="3470" t="s">
        <v>3465</v>
      </c>
      <c r="T34" s="3470">
        <f t="shared" si="0"/>
        <v>2354</v>
      </c>
    </row>
    <row r="35" spans="1:20">
      <c r="A35" s="3470" t="s">
        <v>3560</v>
      </c>
      <c r="B35" s="3470" t="s">
        <v>3561</v>
      </c>
      <c r="C35" s="3470" t="s">
        <v>3458</v>
      </c>
      <c r="D35" s="3470">
        <v>9329.41</v>
      </c>
      <c r="E35" s="3470">
        <v>18658.82</v>
      </c>
      <c r="F35" s="3470" t="s">
        <v>3479</v>
      </c>
      <c r="G35" s="3470" t="s">
        <v>3460</v>
      </c>
      <c r="H35" s="3470" t="s">
        <v>3461</v>
      </c>
      <c r="I35" s="3470" t="s">
        <v>3462</v>
      </c>
      <c r="J35" s="3470" t="s">
        <v>3481</v>
      </c>
      <c r="K35" s="3470" t="s">
        <v>3499</v>
      </c>
      <c r="L35" s="3471">
        <v>44365.000497685185</v>
      </c>
      <c r="M35" s="3470" t="s">
        <v>3562</v>
      </c>
      <c r="N35" s="3470">
        <v>2570</v>
      </c>
      <c r="O35" s="3470">
        <v>183.65</v>
      </c>
      <c r="P35" s="3470">
        <v>1377</v>
      </c>
      <c r="Q35" s="3470">
        <v>0</v>
      </c>
      <c r="R35" s="3470" t="s">
        <v>3465</v>
      </c>
      <c r="T35" s="3470">
        <f t="shared" si="0"/>
        <v>2755</v>
      </c>
    </row>
    <row r="36" spans="1:20">
      <c r="A36" s="3470" t="s">
        <v>3563</v>
      </c>
      <c r="B36" s="3470" t="s">
        <v>3564</v>
      </c>
      <c r="C36" s="3470" t="s">
        <v>3458</v>
      </c>
      <c r="D36" s="3470">
        <v>45133.8</v>
      </c>
      <c r="E36" s="3470">
        <v>112834.5</v>
      </c>
      <c r="F36" s="3470" t="s">
        <v>3517</v>
      </c>
      <c r="G36" s="3470" t="s">
        <v>3460</v>
      </c>
      <c r="H36" s="3470" t="s">
        <v>3461</v>
      </c>
      <c r="I36" s="3470" t="s">
        <v>3462</v>
      </c>
      <c r="J36" s="3470" t="s">
        <v>3565</v>
      </c>
      <c r="K36" s="3470" t="s">
        <v>3566</v>
      </c>
      <c r="L36" s="3471">
        <v>44232.000497685185</v>
      </c>
      <c r="M36" s="3470" t="s">
        <v>3567</v>
      </c>
      <c r="N36" s="3470">
        <v>21210</v>
      </c>
      <c r="O36" s="3470">
        <v>313.29000000000002</v>
      </c>
      <c r="P36" s="3470">
        <v>1880</v>
      </c>
      <c r="Q36" s="3470">
        <v>0</v>
      </c>
      <c r="R36" s="3470" t="s">
        <v>3465</v>
      </c>
      <c r="T36" s="3470">
        <f t="shared" si="0"/>
        <v>4699</v>
      </c>
    </row>
    <row r="37" spans="1:20">
      <c r="A37" s="3470" t="s">
        <v>3568</v>
      </c>
      <c r="B37" s="3470" t="s">
        <v>3569</v>
      </c>
      <c r="C37" s="3470" t="s">
        <v>3458</v>
      </c>
      <c r="D37" s="3470">
        <v>5098.03</v>
      </c>
      <c r="E37" s="3470">
        <v>5098.03</v>
      </c>
      <c r="F37" s="3470" t="s">
        <v>3459</v>
      </c>
      <c r="G37" s="3470" t="s">
        <v>3460</v>
      </c>
      <c r="H37" s="3470" t="s">
        <v>3461</v>
      </c>
      <c r="I37" s="3470" t="s">
        <v>3462</v>
      </c>
      <c r="J37" s="3470" t="s">
        <v>3463</v>
      </c>
      <c r="K37" s="3470" t="s">
        <v>3570</v>
      </c>
      <c r="L37" s="3471">
        <v>44231.000497685185</v>
      </c>
      <c r="M37" s="3470" t="s">
        <v>3571</v>
      </c>
      <c r="N37" s="3470">
        <v>2200</v>
      </c>
      <c r="O37" s="3470">
        <v>287.69</v>
      </c>
      <c r="P37" s="3470">
        <v>4315</v>
      </c>
      <c r="Q37" s="3470">
        <v>100</v>
      </c>
      <c r="R37" s="3470" t="s">
        <v>3465</v>
      </c>
      <c r="T37" s="3470">
        <f t="shared" si="0"/>
        <v>4315</v>
      </c>
    </row>
    <row r="38" spans="1:20">
      <c r="A38" s="3470" t="s">
        <v>3572</v>
      </c>
      <c r="B38" s="3470" t="s">
        <v>3573</v>
      </c>
      <c r="C38" s="3470" t="s">
        <v>3458</v>
      </c>
      <c r="D38" s="3470">
        <v>47955.57</v>
      </c>
      <c r="E38" s="3470">
        <v>47955.57</v>
      </c>
      <c r="F38" s="3470" t="s">
        <v>3459</v>
      </c>
      <c r="G38" s="3470" t="s">
        <v>3480</v>
      </c>
      <c r="H38" s="3470" t="s">
        <v>3461</v>
      </c>
      <c r="I38" s="3470" t="s">
        <v>3462</v>
      </c>
      <c r="J38" s="3470" t="s">
        <v>3574</v>
      </c>
      <c r="K38" s="3470" t="s">
        <v>3542</v>
      </c>
      <c r="L38" s="3471">
        <v>44153.000497685185</v>
      </c>
      <c r="M38" s="3470" t="s">
        <v>3575</v>
      </c>
      <c r="N38" s="3470">
        <v>4970</v>
      </c>
      <c r="O38" s="3470">
        <v>69.09</v>
      </c>
      <c r="P38" s="3470">
        <v>1036</v>
      </c>
      <c r="Q38" s="3470">
        <v>0</v>
      </c>
      <c r="R38" s="3470" t="s">
        <v>3465</v>
      </c>
      <c r="T38" s="3470">
        <f t="shared" si="0"/>
        <v>1036</v>
      </c>
    </row>
    <row r="39" spans="1:20">
      <c r="A39" s="3470" t="s">
        <v>3572</v>
      </c>
      <c r="B39" s="3470" t="s">
        <v>3576</v>
      </c>
      <c r="C39" s="3470" t="s">
        <v>3458</v>
      </c>
      <c r="D39" s="3470">
        <v>19771.47</v>
      </c>
      <c r="E39" s="3470">
        <v>19771.47</v>
      </c>
      <c r="F39" s="3470" t="s">
        <v>3459</v>
      </c>
      <c r="G39" s="3470" t="s">
        <v>3480</v>
      </c>
      <c r="H39" s="3470" t="s">
        <v>3461</v>
      </c>
      <c r="I39" s="3470" t="s">
        <v>3462</v>
      </c>
      <c r="J39" s="3470" t="s">
        <v>3574</v>
      </c>
      <c r="K39" s="3470" t="s">
        <v>3542</v>
      </c>
      <c r="L39" s="3471">
        <v>44153.000497685185</v>
      </c>
      <c r="M39" s="3470" t="s">
        <v>3577</v>
      </c>
      <c r="N39" s="3470">
        <v>2000</v>
      </c>
      <c r="O39" s="3470">
        <v>67.44</v>
      </c>
      <c r="P39" s="3470">
        <v>1012</v>
      </c>
      <c r="Q39" s="3470">
        <v>0</v>
      </c>
      <c r="R39" s="3470" t="s">
        <v>3465</v>
      </c>
      <c r="T39" s="3470">
        <f t="shared" si="0"/>
        <v>1012</v>
      </c>
    </row>
    <row r="40" spans="1:20" s="3476" customFormat="1">
      <c r="A40" s="3476" t="s">
        <v>3578</v>
      </c>
      <c r="B40" s="3476" t="s">
        <v>3579</v>
      </c>
      <c r="C40" s="3476" t="s">
        <v>3458</v>
      </c>
      <c r="D40" s="3476">
        <v>14826.5</v>
      </c>
      <c r="E40" s="3476">
        <v>29653</v>
      </c>
      <c r="F40" s="3476" t="s">
        <v>3479</v>
      </c>
      <c r="G40" s="3476" t="s">
        <v>3460</v>
      </c>
      <c r="H40" s="3476" t="s">
        <v>3461</v>
      </c>
      <c r="I40" s="3476" t="s">
        <v>3462</v>
      </c>
      <c r="J40" s="3476" t="s">
        <v>3475</v>
      </c>
      <c r="K40" s="3476" t="s">
        <v>3522</v>
      </c>
      <c r="L40" s="3477">
        <v>44132.000497685185</v>
      </c>
      <c r="M40" s="3476" t="s">
        <v>3562</v>
      </c>
      <c r="N40" s="3476">
        <v>9300</v>
      </c>
      <c r="O40" s="3476">
        <v>418.17</v>
      </c>
      <c r="P40" s="3476">
        <v>3136</v>
      </c>
      <c r="Q40" s="3476">
        <v>0</v>
      </c>
      <c r="R40" s="3476" t="s">
        <v>3465</v>
      </c>
      <c r="S40" s="3476" t="s">
        <v>3580</v>
      </c>
      <c r="T40" s="3476">
        <f t="shared" si="0"/>
        <v>6273</v>
      </c>
    </row>
    <row r="41" spans="1:20">
      <c r="A41" s="3470" t="s">
        <v>3581</v>
      </c>
      <c r="B41" s="3470" t="s">
        <v>3582</v>
      </c>
      <c r="C41" s="3470" t="s">
        <v>3458</v>
      </c>
      <c r="D41" s="3470">
        <v>55519.86</v>
      </c>
      <c r="E41" s="3470">
        <v>55519.86</v>
      </c>
      <c r="F41" s="3470" t="s">
        <v>3459</v>
      </c>
      <c r="G41" s="3470" t="s">
        <v>3583</v>
      </c>
      <c r="H41" s="3470" t="s">
        <v>3461</v>
      </c>
      <c r="I41" s="3470" t="s">
        <v>3462</v>
      </c>
      <c r="J41" s="3470" t="s">
        <v>3481</v>
      </c>
      <c r="K41" s="3470" t="s">
        <v>3481</v>
      </c>
      <c r="L41" s="3471">
        <v>44125.000497685185</v>
      </c>
      <c r="M41" s="3470" t="s">
        <v>3584</v>
      </c>
      <c r="N41" s="3470">
        <v>14600</v>
      </c>
      <c r="O41" s="3470">
        <v>175.31</v>
      </c>
      <c r="P41" s="3470">
        <v>2630</v>
      </c>
      <c r="Q41" s="3470">
        <v>0</v>
      </c>
      <c r="R41" s="3470" t="s">
        <v>3465</v>
      </c>
      <c r="T41" s="3470">
        <f t="shared" si="0"/>
        <v>2630</v>
      </c>
    </row>
    <row r="42" spans="1:20">
      <c r="A42" s="3470" t="s">
        <v>3585</v>
      </c>
      <c r="B42" s="3470" t="s">
        <v>3586</v>
      </c>
      <c r="C42" s="3470" t="s">
        <v>3587</v>
      </c>
      <c r="D42" s="3470">
        <v>17182.2</v>
      </c>
      <c r="E42" s="3470">
        <v>17182.2</v>
      </c>
      <c r="F42" s="3470" t="s">
        <v>3459</v>
      </c>
      <c r="G42" s="3470" t="s">
        <v>3480</v>
      </c>
      <c r="H42" s="3470" t="s">
        <v>3461</v>
      </c>
      <c r="I42" s="3470" t="s">
        <v>3462</v>
      </c>
      <c r="J42" s="3470" t="s">
        <v>3463</v>
      </c>
      <c r="K42" s="3470" t="s">
        <v>3570</v>
      </c>
      <c r="L42" s="3471">
        <v>44118.000497685185</v>
      </c>
      <c r="M42" s="3470" t="s">
        <v>3588</v>
      </c>
      <c r="N42" s="3470">
        <v>4270</v>
      </c>
      <c r="O42" s="3470">
        <v>165.68</v>
      </c>
      <c r="P42" s="3470">
        <v>2485</v>
      </c>
      <c r="Q42" s="3470">
        <v>0</v>
      </c>
      <c r="R42" s="3470" t="s">
        <v>3465</v>
      </c>
      <c r="T42" s="3470">
        <f t="shared" si="0"/>
        <v>2485</v>
      </c>
    </row>
    <row r="43" spans="1:20">
      <c r="A43" s="3470" t="s">
        <v>3589</v>
      </c>
      <c r="B43" s="3470" t="s">
        <v>3590</v>
      </c>
      <c r="C43" s="3470" t="s">
        <v>3591</v>
      </c>
      <c r="D43" s="3470">
        <v>2694.06</v>
      </c>
      <c r="E43" s="3470">
        <v>4041.09</v>
      </c>
      <c r="F43" s="3470" t="s">
        <v>3592</v>
      </c>
      <c r="G43" s="3470" t="s">
        <v>3593</v>
      </c>
      <c r="H43" s="3470" t="s">
        <v>3461</v>
      </c>
      <c r="I43" s="3470" t="s">
        <v>3462</v>
      </c>
      <c r="J43" s="3470" t="s">
        <v>3481</v>
      </c>
      <c r="K43" s="3470" t="s">
        <v>3486</v>
      </c>
      <c r="L43" s="3471">
        <v>44056.000497685185</v>
      </c>
      <c r="M43" s="3470" t="s">
        <v>3594</v>
      </c>
      <c r="N43" s="3470">
        <v>95</v>
      </c>
      <c r="O43" s="3470">
        <v>23.51</v>
      </c>
      <c r="P43" s="3470">
        <v>235</v>
      </c>
      <c r="Q43" s="3470">
        <v>0</v>
      </c>
      <c r="R43" s="3470" t="s">
        <v>3465</v>
      </c>
      <c r="T43" s="3470">
        <f t="shared" si="0"/>
        <v>353</v>
      </c>
    </row>
    <row r="44" spans="1:20">
      <c r="A44" s="3470" t="s">
        <v>3595</v>
      </c>
      <c r="B44" s="3470" t="s">
        <v>3596</v>
      </c>
      <c r="C44" s="3470" t="s">
        <v>3597</v>
      </c>
      <c r="D44" s="3470">
        <v>40615.279999999999</v>
      </c>
      <c r="E44" s="3470">
        <v>40615.279999999999</v>
      </c>
      <c r="F44" s="3470" t="s">
        <v>3459</v>
      </c>
      <c r="G44" s="3470" t="s">
        <v>3480</v>
      </c>
      <c r="H44" s="3470" t="s">
        <v>3461</v>
      </c>
      <c r="I44" s="3470" t="s">
        <v>3462</v>
      </c>
      <c r="J44" s="3470" t="s">
        <v>3574</v>
      </c>
      <c r="K44" s="3470" t="s">
        <v>3542</v>
      </c>
      <c r="L44" s="3471">
        <v>44048.000497685185</v>
      </c>
      <c r="M44" s="3470" t="s">
        <v>3598</v>
      </c>
      <c r="N44" s="3470">
        <v>5930</v>
      </c>
      <c r="O44" s="3470">
        <v>97.34</v>
      </c>
      <c r="P44" s="3470">
        <v>1460</v>
      </c>
      <c r="Q44" s="3470">
        <v>0</v>
      </c>
      <c r="R44" s="3470" t="s">
        <v>3465</v>
      </c>
      <c r="T44" s="3470">
        <f t="shared" si="0"/>
        <v>1460</v>
      </c>
    </row>
    <row r="45" spans="1:20">
      <c r="A45" s="3470" t="s">
        <v>3599</v>
      </c>
      <c r="B45" s="3470" t="s">
        <v>3600</v>
      </c>
      <c r="C45" s="3470" t="s">
        <v>3601</v>
      </c>
      <c r="D45" s="3470">
        <v>8575</v>
      </c>
      <c r="E45" s="3470">
        <v>17150</v>
      </c>
      <c r="F45" s="3470" t="s">
        <v>3479</v>
      </c>
      <c r="G45" s="3470" t="s">
        <v>3460</v>
      </c>
      <c r="H45" s="3470" t="s">
        <v>3461</v>
      </c>
      <c r="I45" s="3470" t="s">
        <v>3462</v>
      </c>
      <c r="J45" s="3470" t="s">
        <v>3602</v>
      </c>
      <c r="K45" s="3470" t="s">
        <v>3603</v>
      </c>
      <c r="L45" s="3471">
        <v>44042.000497685185</v>
      </c>
      <c r="M45" s="3470" t="s">
        <v>3584</v>
      </c>
      <c r="N45" s="3470">
        <v>1260</v>
      </c>
      <c r="O45" s="3470">
        <v>97.96</v>
      </c>
      <c r="P45" s="3470">
        <v>735</v>
      </c>
      <c r="Q45" s="3470">
        <v>0</v>
      </c>
      <c r="R45" s="3470" t="s">
        <v>3465</v>
      </c>
      <c r="T45" s="3470">
        <f t="shared" si="0"/>
        <v>1469</v>
      </c>
    </row>
    <row r="46" spans="1:20">
      <c r="A46" s="3470" t="s">
        <v>3604</v>
      </c>
      <c r="B46" s="3470" t="s">
        <v>3605</v>
      </c>
      <c r="C46" s="3470" t="s">
        <v>3601</v>
      </c>
      <c r="D46" s="3470">
        <v>43945.45</v>
      </c>
      <c r="E46" s="3470">
        <v>43945.45</v>
      </c>
      <c r="F46" s="3470" t="s">
        <v>3459</v>
      </c>
      <c r="G46" s="3470" t="s">
        <v>3583</v>
      </c>
      <c r="H46" s="3470" t="s">
        <v>3461</v>
      </c>
      <c r="I46" s="3470" t="s">
        <v>3462</v>
      </c>
      <c r="J46" s="3470" t="s">
        <v>3606</v>
      </c>
      <c r="K46" s="3470" t="s">
        <v>3463</v>
      </c>
      <c r="L46" s="3471">
        <v>44042.000497685185</v>
      </c>
      <c r="M46" s="3470" t="s">
        <v>3584</v>
      </c>
      <c r="N46" s="3470">
        <v>4580</v>
      </c>
      <c r="O46" s="3470">
        <v>69.48</v>
      </c>
      <c r="P46" s="3470">
        <v>1042</v>
      </c>
      <c r="Q46" s="3470">
        <v>0</v>
      </c>
      <c r="R46" s="3470" t="s">
        <v>3465</v>
      </c>
      <c r="T46" s="3470">
        <f t="shared" si="0"/>
        <v>1042</v>
      </c>
    </row>
    <row r="47" spans="1:20" s="3474" customFormat="1">
      <c r="A47" s="3474" t="s">
        <v>3607</v>
      </c>
      <c r="B47" s="3474" t="s">
        <v>3608</v>
      </c>
      <c r="C47" s="3474" t="s">
        <v>3609</v>
      </c>
      <c r="D47" s="3474">
        <v>40601.83</v>
      </c>
      <c r="E47" s="3474">
        <v>121805.49</v>
      </c>
      <c r="F47" s="3474" t="s">
        <v>3474</v>
      </c>
      <c r="G47" s="3474" t="s">
        <v>3460</v>
      </c>
      <c r="H47" s="3474" t="s">
        <v>3461</v>
      </c>
      <c r="I47" s="3474" t="s">
        <v>3462</v>
      </c>
      <c r="J47" s="3474" t="s">
        <v>3481</v>
      </c>
      <c r="K47" s="3474" t="s">
        <v>3499</v>
      </c>
      <c r="L47" s="3475">
        <v>44035.000497685185</v>
      </c>
      <c r="M47" s="3474" t="s">
        <v>3584</v>
      </c>
      <c r="N47" s="3474">
        <v>21450</v>
      </c>
      <c r="O47" s="3474">
        <v>352.2</v>
      </c>
      <c r="P47" s="3474">
        <v>1761</v>
      </c>
      <c r="Q47" s="3474">
        <v>0</v>
      </c>
      <c r="R47" s="3474" t="s">
        <v>3465</v>
      </c>
      <c r="S47" s="3474" t="s">
        <v>3580</v>
      </c>
      <c r="T47" s="3470">
        <f t="shared" si="0"/>
        <v>5283</v>
      </c>
    </row>
    <row r="48" spans="1:20">
      <c r="A48" s="3470" t="s">
        <v>3610</v>
      </c>
      <c r="B48" s="3470" t="s">
        <v>3611</v>
      </c>
      <c r="C48" s="3470" t="s">
        <v>3587</v>
      </c>
      <c r="D48" s="3470">
        <v>10728.4</v>
      </c>
      <c r="E48" s="3470">
        <v>10728.4</v>
      </c>
      <c r="F48" s="3470" t="s">
        <v>3459</v>
      </c>
      <c r="G48" s="3470" t="s">
        <v>3480</v>
      </c>
      <c r="H48" s="3470" t="s">
        <v>3461</v>
      </c>
      <c r="I48" s="3470" t="s">
        <v>3462</v>
      </c>
      <c r="J48" s="3470" t="s">
        <v>3463</v>
      </c>
      <c r="K48" s="3470" t="s">
        <v>3570</v>
      </c>
      <c r="L48" s="3471">
        <v>44035.000497685185</v>
      </c>
      <c r="M48" s="3470" t="s">
        <v>3588</v>
      </c>
      <c r="N48" s="3470">
        <v>4900</v>
      </c>
      <c r="O48" s="3470">
        <v>304.49</v>
      </c>
      <c r="P48" s="3470">
        <v>4567</v>
      </c>
      <c r="Q48" s="3470">
        <v>84.21</v>
      </c>
      <c r="R48" s="3470" t="s">
        <v>3465</v>
      </c>
      <c r="T48" s="3470">
        <f t="shared" si="0"/>
        <v>4567</v>
      </c>
    </row>
    <row r="49" spans="1:21">
      <c r="A49" s="3470" t="s">
        <v>3612</v>
      </c>
      <c r="B49" s="3470" t="s">
        <v>3613</v>
      </c>
      <c r="C49" s="3470" t="s">
        <v>3614</v>
      </c>
      <c r="D49" s="3470">
        <v>10186.68</v>
      </c>
      <c r="E49" s="3470">
        <v>10186.68</v>
      </c>
      <c r="F49" s="3470" t="s">
        <v>3459</v>
      </c>
      <c r="G49" s="3470" t="s">
        <v>3460</v>
      </c>
      <c r="H49" s="3470" t="s">
        <v>3461</v>
      </c>
      <c r="I49" s="3470" t="s">
        <v>3462</v>
      </c>
      <c r="J49" s="3470" t="s">
        <v>3463</v>
      </c>
      <c r="K49" s="3470" t="s">
        <v>3574</v>
      </c>
      <c r="L49" s="3471">
        <v>44027.000497685185</v>
      </c>
      <c r="M49" s="3470" t="s">
        <v>3615</v>
      </c>
      <c r="N49" s="3470">
        <v>4040</v>
      </c>
      <c r="O49" s="3470">
        <v>264.39999999999998</v>
      </c>
      <c r="P49" s="3470">
        <v>3966</v>
      </c>
      <c r="Q49" s="3470">
        <v>68.33</v>
      </c>
      <c r="R49" s="3470" t="s">
        <v>3465</v>
      </c>
      <c r="T49" s="3470">
        <f t="shared" si="0"/>
        <v>3966</v>
      </c>
    </row>
    <row r="50" spans="1:21" s="3476" customFormat="1">
      <c r="A50" s="3476" t="s">
        <v>3616</v>
      </c>
      <c r="B50" s="3476" t="s">
        <v>3617</v>
      </c>
      <c r="C50" s="3476" t="s">
        <v>3618</v>
      </c>
      <c r="D50" s="3476">
        <v>26455.1</v>
      </c>
      <c r="E50" s="3476">
        <v>79365.3</v>
      </c>
      <c r="F50" s="3476" t="s">
        <v>3474</v>
      </c>
      <c r="G50" s="3476" t="s">
        <v>3619</v>
      </c>
      <c r="H50" s="3476" t="s">
        <v>3461</v>
      </c>
      <c r="I50" s="3476" t="s">
        <v>3462</v>
      </c>
      <c r="J50" s="3476" t="s">
        <v>3504</v>
      </c>
      <c r="K50" s="3476" t="s">
        <v>3566</v>
      </c>
      <c r="L50" s="3477">
        <v>43971.000497685185</v>
      </c>
      <c r="M50" s="3476" t="s">
        <v>3620</v>
      </c>
      <c r="N50" s="3476">
        <v>19750</v>
      </c>
      <c r="O50" s="3476">
        <v>497.7</v>
      </c>
      <c r="P50" s="3476">
        <v>2488</v>
      </c>
      <c r="Q50" s="3476">
        <v>0</v>
      </c>
      <c r="R50" s="3476" t="s">
        <v>3465</v>
      </c>
      <c r="S50" s="3476" t="s">
        <v>3580</v>
      </c>
      <c r="T50" s="3476">
        <f t="shared" si="0"/>
        <v>7465</v>
      </c>
    </row>
    <row r="51" spans="1:21">
      <c r="A51" s="3470" t="s">
        <v>3621</v>
      </c>
      <c r="B51" s="3470" t="s">
        <v>3622</v>
      </c>
      <c r="C51" s="3470" t="s">
        <v>3614</v>
      </c>
      <c r="D51" s="3470">
        <v>10971.04</v>
      </c>
      <c r="E51" s="3470">
        <v>32913.120000000003</v>
      </c>
      <c r="F51" s="3470" t="s">
        <v>3474</v>
      </c>
      <c r="G51" s="3470" t="s">
        <v>3460</v>
      </c>
      <c r="H51" s="3470" t="s">
        <v>3461</v>
      </c>
      <c r="I51" s="3470" t="s">
        <v>3462</v>
      </c>
      <c r="J51" s="3470" t="s">
        <v>3475</v>
      </c>
      <c r="K51" s="3470" t="s">
        <v>3499</v>
      </c>
      <c r="L51" s="3471">
        <v>43923.000497685185</v>
      </c>
      <c r="M51" s="3470" t="s">
        <v>3562</v>
      </c>
      <c r="N51" s="3470">
        <v>2325</v>
      </c>
      <c r="O51" s="3470">
        <v>141.28</v>
      </c>
      <c r="P51" s="3470">
        <v>706</v>
      </c>
      <c r="Q51" s="3470">
        <v>0</v>
      </c>
      <c r="R51" s="3470" t="s">
        <v>3465</v>
      </c>
      <c r="T51" s="3470">
        <f t="shared" si="0"/>
        <v>2119</v>
      </c>
    </row>
    <row r="52" spans="1:21">
      <c r="A52" s="3470" t="s">
        <v>3568</v>
      </c>
      <c r="B52" s="3470" t="s">
        <v>3623</v>
      </c>
      <c r="C52" s="3470" t="s">
        <v>3614</v>
      </c>
      <c r="D52" s="3470">
        <v>12720.37</v>
      </c>
      <c r="E52" s="3470">
        <v>22896.67</v>
      </c>
      <c r="F52" s="3470" t="s">
        <v>3624</v>
      </c>
      <c r="G52" s="3470" t="s">
        <v>3460</v>
      </c>
      <c r="H52" s="3470" t="s">
        <v>3461</v>
      </c>
      <c r="I52" s="3470" t="s">
        <v>3462</v>
      </c>
      <c r="J52" s="3470" t="s">
        <v>3475</v>
      </c>
      <c r="K52" s="3470" t="s">
        <v>3499</v>
      </c>
      <c r="L52" s="3471">
        <v>43917.000497685185</v>
      </c>
      <c r="M52" s="3470" t="s">
        <v>3562</v>
      </c>
      <c r="N52" s="3470">
        <v>4750</v>
      </c>
      <c r="O52" s="3470">
        <v>248.94</v>
      </c>
      <c r="P52" s="3470">
        <v>2075</v>
      </c>
      <c r="Q52" s="3470">
        <v>0</v>
      </c>
      <c r="R52" s="3470" t="s">
        <v>3465</v>
      </c>
      <c r="T52" s="3470">
        <f t="shared" si="0"/>
        <v>3734</v>
      </c>
    </row>
    <row r="53" spans="1:21">
      <c r="A53" s="3470" t="s">
        <v>3568</v>
      </c>
      <c r="B53" s="3470" t="s">
        <v>3625</v>
      </c>
      <c r="C53" s="3470" t="s">
        <v>3614</v>
      </c>
      <c r="D53" s="3470">
        <v>6875.46</v>
      </c>
      <c r="E53" s="3470">
        <v>8250.5499999999993</v>
      </c>
      <c r="F53" s="3470" t="s">
        <v>3626</v>
      </c>
      <c r="G53" s="3470" t="s">
        <v>3619</v>
      </c>
      <c r="H53" s="3470" t="s">
        <v>3461</v>
      </c>
      <c r="I53" s="3470" t="s">
        <v>3462</v>
      </c>
      <c r="J53" s="3470" t="s">
        <v>3486</v>
      </c>
      <c r="K53" s="3470" t="s">
        <v>3481</v>
      </c>
      <c r="L53" s="3471">
        <v>43849.000497685185</v>
      </c>
      <c r="M53" s="3470" t="s">
        <v>3562</v>
      </c>
      <c r="N53" s="3470">
        <v>1490</v>
      </c>
      <c r="O53" s="3470">
        <v>144.47999999999999</v>
      </c>
      <c r="P53" s="3470">
        <v>1806</v>
      </c>
      <c r="Q53" s="3470">
        <v>0</v>
      </c>
      <c r="R53" s="3470" t="s">
        <v>3465</v>
      </c>
      <c r="T53" s="3470">
        <f t="shared" si="0"/>
        <v>2167</v>
      </c>
    </row>
    <row r="54" spans="1:21">
      <c r="A54" s="3470" t="s">
        <v>3627</v>
      </c>
      <c r="B54" s="3470" t="s">
        <v>3628</v>
      </c>
      <c r="C54" s="3470" t="s">
        <v>3591</v>
      </c>
      <c r="D54" s="3470">
        <v>50619.12</v>
      </c>
      <c r="E54" s="3470">
        <v>101238.24</v>
      </c>
      <c r="F54" s="3470" t="s">
        <v>3479</v>
      </c>
      <c r="G54" s="3470" t="s">
        <v>3480</v>
      </c>
      <c r="H54" s="3470" t="s">
        <v>3461</v>
      </c>
      <c r="I54" s="3470" t="s">
        <v>3462</v>
      </c>
      <c r="J54" s="3470" t="s">
        <v>3481</v>
      </c>
      <c r="K54" s="3470" t="s">
        <v>3542</v>
      </c>
      <c r="L54" s="3471">
        <v>43845.000497685185</v>
      </c>
      <c r="M54" s="3470" t="s">
        <v>3629</v>
      </c>
      <c r="N54" s="3470">
        <v>9050</v>
      </c>
      <c r="O54" s="3470">
        <v>119.19</v>
      </c>
      <c r="P54" s="3470">
        <v>894</v>
      </c>
      <c r="Q54" s="3470">
        <v>0</v>
      </c>
      <c r="R54" s="3470" t="s">
        <v>3465</v>
      </c>
      <c r="T54" s="3470">
        <f t="shared" si="0"/>
        <v>1788</v>
      </c>
    </row>
    <row r="55" spans="1:21" s="3472" customFormat="1">
      <c r="A55" s="3472" t="s">
        <v>3630</v>
      </c>
      <c r="B55" s="3472" t="s">
        <v>3631</v>
      </c>
      <c r="C55" s="3472" t="s">
        <v>3609</v>
      </c>
      <c r="D55" s="3472">
        <v>14640.4</v>
      </c>
      <c r="E55" s="3472">
        <v>43921.2</v>
      </c>
      <c r="F55" s="3472" t="s">
        <v>3474</v>
      </c>
      <c r="G55" s="3472" t="s">
        <v>3460</v>
      </c>
      <c r="H55" s="3472" t="s">
        <v>3461</v>
      </c>
      <c r="I55" s="3472" t="s">
        <v>3462</v>
      </c>
      <c r="J55" s="3472" t="s">
        <v>3475</v>
      </c>
      <c r="K55" s="3472" t="s">
        <v>3632</v>
      </c>
      <c r="L55" s="3473">
        <v>43829.000497685185</v>
      </c>
      <c r="M55" s="3472" t="s">
        <v>3562</v>
      </c>
      <c r="N55" s="3472">
        <v>9450</v>
      </c>
      <c r="O55" s="3472">
        <v>430.32</v>
      </c>
      <c r="P55" s="3472">
        <v>2152</v>
      </c>
      <c r="Q55" s="3472">
        <v>0</v>
      </c>
      <c r="R55" s="3472" t="s">
        <v>3465</v>
      </c>
      <c r="S55" s="3472" t="s">
        <v>3580</v>
      </c>
      <c r="T55" s="3478">
        <f t="shared" si="0"/>
        <v>6455</v>
      </c>
    </row>
    <row r="56" spans="1:21">
      <c r="A56" s="3470" t="s">
        <v>3633</v>
      </c>
      <c r="B56" s="3470" t="s">
        <v>3634</v>
      </c>
      <c r="C56" s="3470" t="s">
        <v>3635</v>
      </c>
      <c r="D56" s="3470">
        <v>34373.480000000003</v>
      </c>
      <c r="E56" s="3470">
        <v>103120.44</v>
      </c>
      <c r="F56" s="3470" t="s">
        <v>3474</v>
      </c>
      <c r="G56" s="3470" t="s">
        <v>3460</v>
      </c>
      <c r="H56" s="3470" t="s">
        <v>3461</v>
      </c>
      <c r="I56" s="3470" t="s">
        <v>3462</v>
      </c>
      <c r="J56" s="3470" t="s">
        <v>3475</v>
      </c>
      <c r="K56" s="3470" t="s">
        <v>3499</v>
      </c>
      <c r="L56" s="3471">
        <v>43798.000497685185</v>
      </c>
      <c r="M56" s="3470" t="s">
        <v>3562</v>
      </c>
      <c r="N56" s="3470">
        <v>13540</v>
      </c>
      <c r="O56" s="3470">
        <v>262.61</v>
      </c>
      <c r="P56" s="3470">
        <v>1313</v>
      </c>
      <c r="Q56" s="3470">
        <v>0</v>
      </c>
      <c r="R56" s="3470" t="s">
        <v>3465</v>
      </c>
      <c r="T56" s="3470">
        <f t="shared" si="0"/>
        <v>3939</v>
      </c>
    </row>
    <row r="57" spans="1:21">
      <c r="A57" s="3470" t="s">
        <v>3636</v>
      </c>
      <c r="B57" s="3470" t="s">
        <v>3637</v>
      </c>
      <c r="C57" s="3470" t="s">
        <v>3458</v>
      </c>
      <c r="D57" s="3470">
        <v>3044.66</v>
      </c>
      <c r="E57" s="3470">
        <v>13700.97</v>
      </c>
      <c r="F57" s="3470" t="s">
        <v>3638</v>
      </c>
      <c r="G57" s="3470" t="s">
        <v>3460</v>
      </c>
      <c r="H57" s="3470" t="s">
        <v>3461</v>
      </c>
      <c r="I57" s="3470" t="s">
        <v>3462</v>
      </c>
      <c r="J57" s="3470" t="s">
        <v>3481</v>
      </c>
      <c r="K57" s="3470" t="s">
        <v>3566</v>
      </c>
      <c r="L57" s="3471">
        <v>43761.000497685185</v>
      </c>
      <c r="M57" s="3470" t="s">
        <v>3639</v>
      </c>
      <c r="N57" s="3470">
        <v>2200</v>
      </c>
      <c r="O57" s="3470">
        <v>481.72</v>
      </c>
      <c r="P57" s="3470">
        <v>1606</v>
      </c>
      <c r="Q57" s="3470">
        <v>0</v>
      </c>
      <c r="R57" s="3470" t="s">
        <v>3465</v>
      </c>
      <c r="T57" s="3470">
        <f t="shared" si="0"/>
        <v>7226</v>
      </c>
    </row>
    <row r="58" spans="1:21">
      <c r="A58" s="3470" t="s">
        <v>3568</v>
      </c>
      <c r="B58" s="3470" t="s">
        <v>3640</v>
      </c>
      <c r="C58" s="3470" t="s">
        <v>3458</v>
      </c>
      <c r="D58" s="3470">
        <v>77038</v>
      </c>
      <c r="E58" s="3470">
        <v>192595</v>
      </c>
      <c r="F58" s="3470" t="s">
        <v>3517</v>
      </c>
      <c r="G58" s="3470" t="s">
        <v>3460</v>
      </c>
      <c r="H58" s="3470" t="s">
        <v>3461</v>
      </c>
      <c r="I58" s="3470" t="s">
        <v>3462</v>
      </c>
      <c r="J58" s="3470" t="s">
        <v>3504</v>
      </c>
      <c r="K58" s="3470" t="s">
        <v>3632</v>
      </c>
      <c r="L58" s="3471">
        <v>43705.000497685185</v>
      </c>
      <c r="M58" s="3470" t="s">
        <v>3641</v>
      </c>
      <c r="N58" s="3470">
        <v>24170</v>
      </c>
      <c r="O58" s="3470">
        <v>209.16</v>
      </c>
      <c r="P58" s="3470">
        <v>1255</v>
      </c>
      <c r="Q58" s="3470">
        <v>0</v>
      </c>
      <c r="R58" s="3470" t="s">
        <v>3465</v>
      </c>
      <c r="T58" s="3470">
        <f t="shared" si="0"/>
        <v>3137</v>
      </c>
    </row>
    <row r="59" spans="1:21">
      <c r="A59" s="3470" t="s">
        <v>3642</v>
      </c>
      <c r="B59" s="3470" t="s">
        <v>3643</v>
      </c>
      <c r="C59" s="3470" t="s">
        <v>3458</v>
      </c>
      <c r="D59" s="3470">
        <v>36692.86</v>
      </c>
      <c r="E59" s="3470">
        <v>55039.29</v>
      </c>
      <c r="F59" s="3470" t="s">
        <v>3592</v>
      </c>
      <c r="G59" s="3470" t="s">
        <v>3644</v>
      </c>
      <c r="H59" s="3470" t="s">
        <v>3461</v>
      </c>
      <c r="I59" s="3470" t="s">
        <v>3462</v>
      </c>
      <c r="J59" s="3470" t="s">
        <v>3475</v>
      </c>
      <c r="K59" s="3470" t="s">
        <v>3499</v>
      </c>
      <c r="L59" s="3471">
        <v>43495.000497685185</v>
      </c>
      <c r="M59" s="3470" t="s">
        <v>3645</v>
      </c>
      <c r="N59" s="3470">
        <v>7760</v>
      </c>
      <c r="O59" s="3470">
        <v>140.99</v>
      </c>
      <c r="P59" s="3470">
        <v>1410</v>
      </c>
      <c r="Q59" s="3470">
        <v>0</v>
      </c>
      <c r="R59" s="3470" t="s">
        <v>3465</v>
      </c>
      <c r="T59" s="3470">
        <f t="shared" si="0"/>
        <v>2115</v>
      </c>
    </row>
    <row r="60" spans="1:21">
      <c r="A60" s="3470" t="s">
        <v>3646</v>
      </c>
      <c r="B60" s="3470" t="s">
        <v>3647</v>
      </c>
      <c r="C60" s="3470" t="s">
        <v>3458</v>
      </c>
      <c r="D60" s="3470">
        <v>20857.5</v>
      </c>
      <c r="E60" s="3470">
        <v>62572.5</v>
      </c>
      <c r="F60" s="3470" t="s">
        <v>3474</v>
      </c>
      <c r="G60" s="3470" t="s">
        <v>3644</v>
      </c>
      <c r="H60" s="3470" t="s">
        <v>3461</v>
      </c>
      <c r="I60" s="3470" t="s">
        <v>3462</v>
      </c>
      <c r="J60" s="3470" t="s">
        <v>3475</v>
      </c>
      <c r="K60" s="3470" t="s">
        <v>3499</v>
      </c>
      <c r="L60" s="3471">
        <v>43404.000497685185</v>
      </c>
      <c r="M60" s="3470" t="s">
        <v>3648</v>
      </c>
      <c r="N60" s="3470">
        <v>8360</v>
      </c>
      <c r="O60" s="3470">
        <v>267.20999999999998</v>
      </c>
      <c r="P60" s="3470">
        <v>1336</v>
      </c>
      <c r="Q60" s="3470">
        <v>0</v>
      </c>
      <c r="R60" s="3470" t="s">
        <v>3465</v>
      </c>
      <c r="T60" s="3470">
        <f t="shared" si="0"/>
        <v>4008</v>
      </c>
    </row>
    <row r="61" spans="1:21">
      <c r="A61" s="3470" t="s">
        <v>3649</v>
      </c>
      <c r="B61" s="3470" t="s">
        <v>3650</v>
      </c>
      <c r="C61" s="3470" t="s">
        <v>3458</v>
      </c>
      <c r="D61" s="3470">
        <v>4729.4799999999996</v>
      </c>
      <c r="E61" s="3470">
        <v>24546</v>
      </c>
      <c r="F61" s="3470" t="s">
        <v>3651</v>
      </c>
      <c r="G61" s="3470" t="s">
        <v>3644</v>
      </c>
      <c r="H61" s="3470" t="s">
        <v>3461</v>
      </c>
      <c r="I61" s="3470" t="s">
        <v>3462</v>
      </c>
      <c r="J61" s="3470" t="s">
        <v>3491</v>
      </c>
      <c r="K61" s="3470" t="s">
        <v>3632</v>
      </c>
      <c r="L61" s="3471">
        <v>43392.000497685185</v>
      </c>
      <c r="M61" s="3470" t="s">
        <v>3652</v>
      </c>
      <c r="N61" s="3470">
        <v>3260</v>
      </c>
      <c r="O61" s="3470">
        <v>459.53</v>
      </c>
      <c r="P61" s="3470">
        <v>1328</v>
      </c>
      <c r="Q61" s="3470">
        <v>0</v>
      </c>
      <c r="R61" s="3470" t="s">
        <v>3465</v>
      </c>
      <c r="T61" s="3470">
        <f t="shared" si="0"/>
        <v>6893</v>
      </c>
    </row>
    <row r="62" spans="1:21">
      <c r="A62" s="3470" t="s">
        <v>3653</v>
      </c>
      <c r="B62" s="3470" t="s">
        <v>3654</v>
      </c>
      <c r="C62" s="3470" t="s">
        <v>3458</v>
      </c>
      <c r="D62" s="3470">
        <v>41387.06</v>
      </c>
      <c r="E62" s="3470">
        <v>62080.59</v>
      </c>
      <c r="F62" s="3470" t="s">
        <v>3592</v>
      </c>
      <c r="G62" s="3470" t="s">
        <v>3644</v>
      </c>
      <c r="H62" s="3470" t="s">
        <v>3461</v>
      </c>
      <c r="I62" s="3470" t="s">
        <v>3462</v>
      </c>
      <c r="J62" s="3470" t="s">
        <v>3481</v>
      </c>
      <c r="K62" s="3470" t="s">
        <v>3486</v>
      </c>
      <c r="L62" s="3471">
        <v>43313.000497685185</v>
      </c>
      <c r="M62" s="3470" t="s">
        <v>3594</v>
      </c>
      <c r="N62" s="3470">
        <v>1190</v>
      </c>
      <c r="O62" s="3470">
        <v>19.170000000000002</v>
      </c>
      <c r="P62" s="3470">
        <v>192</v>
      </c>
      <c r="Q62" s="3470">
        <v>0</v>
      </c>
      <c r="R62" s="3470" t="s">
        <v>3465</v>
      </c>
      <c r="T62" s="3470">
        <f t="shared" si="0"/>
        <v>288</v>
      </c>
    </row>
    <row r="63" spans="1:21">
      <c r="A63" s="3470" t="s">
        <v>3655</v>
      </c>
      <c r="B63" s="3470" t="s">
        <v>3656</v>
      </c>
      <c r="C63" s="3470" t="s">
        <v>3458</v>
      </c>
      <c r="D63" s="3470">
        <v>1471.67</v>
      </c>
      <c r="E63" s="3470">
        <v>4415.01</v>
      </c>
      <c r="F63" s="3470" t="s">
        <v>3474</v>
      </c>
      <c r="G63" s="3470" t="s">
        <v>3644</v>
      </c>
      <c r="H63" s="3470" t="s">
        <v>3461</v>
      </c>
      <c r="I63" s="3470" t="s">
        <v>3462</v>
      </c>
      <c r="J63" s="3470" t="s">
        <v>3475</v>
      </c>
      <c r="K63" s="3470" t="s">
        <v>3499</v>
      </c>
      <c r="L63" s="3471">
        <v>43266.000497685185</v>
      </c>
      <c r="M63" s="3470" t="s">
        <v>3657</v>
      </c>
      <c r="N63" s="3470">
        <v>615</v>
      </c>
      <c r="O63" s="3470">
        <v>278.60000000000002</v>
      </c>
      <c r="P63" s="3470">
        <v>1393</v>
      </c>
      <c r="Q63" s="3470">
        <v>0</v>
      </c>
      <c r="R63" s="3470" t="s">
        <v>3465</v>
      </c>
      <c r="T63" s="3470">
        <f t="shared" si="0"/>
        <v>4179</v>
      </c>
    </row>
    <row r="64" spans="1:21" s="3479" customFormat="1">
      <c r="A64" s="3479" t="s">
        <v>3377</v>
      </c>
      <c r="B64" s="3479" t="s">
        <v>3658</v>
      </c>
      <c r="C64" s="3479" t="s">
        <v>3618</v>
      </c>
      <c r="D64" s="3479">
        <v>30203.49</v>
      </c>
      <c r="E64" s="3479">
        <v>66447.679999999993</v>
      </c>
      <c r="F64" s="3479" t="s">
        <v>3659</v>
      </c>
      <c r="G64" s="3479" t="s">
        <v>3644</v>
      </c>
      <c r="H64" s="3479" t="s">
        <v>3461</v>
      </c>
      <c r="I64" s="3479" t="s">
        <v>3462</v>
      </c>
      <c r="J64" s="3479" t="s">
        <v>3486</v>
      </c>
      <c r="K64" s="3479" t="s">
        <v>3549</v>
      </c>
      <c r="L64" s="3480">
        <v>43194.000497685185</v>
      </c>
      <c r="M64" s="3479" t="s">
        <v>3562</v>
      </c>
      <c r="N64" s="3479">
        <v>20000</v>
      </c>
      <c r="O64" s="3479">
        <v>441.45</v>
      </c>
      <c r="P64" s="3479">
        <v>3010</v>
      </c>
      <c r="Q64" s="3479">
        <v>0</v>
      </c>
      <c r="R64" s="3479" t="s">
        <v>3465</v>
      </c>
      <c r="S64" s="3474" t="s">
        <v>3580</v>
      </c>
      <c r="T64" s="3481">
        <f t="shared" si="0"/>
        <v>6622</v>
      </c>
      <c r="U64" s="3479">
        <f>N64/E64</f>
        <v>0.30098868764116371</v>
      </c>
    </row>
    <row r="65" spans="1:20">
      <c r="A65" s="3470" t="s">
        <v>3660</v>
      </c>
      <c r="B65" s="3470" t="s">
        <v>3661</v>
      </c>
      <c r="C65" s="3470" t="s">
        <v>3587</v>
      </c>
      <c r="D65" s="3470">
        <v>81270</v>
      </c>
      <c r="E65" s="3470">
        <v>162540</v>
      </c>
      <c r="F65" s="3470" t="s">
        <v>3485</v>
      </c>
      <c r="G65" s="3470" t="s">
        <v>3480</v>
      </c>
      <c r="H65" s="3470" t="s">
        <v>3461</v>
      </c>
      <c r="I65" s="3470" t="s">
        <v>3462</v>
      </c>
      <c r="J65" s="3470" t="s">
        <v>3491</v>
      </c>
      <c r="K65" s="3470" t="s">
        <v>3504</v>
      </c>
      <c r="L65" s="3471">
        <v>43161.000497685185</v>
      </c>
      <c r="M65" s="3470" t="s">
        <v>3662</v>
      </c>
      <c r="N65" s="3470">
        <v>10180</v>
      </c>
      <c r="O65" s="3470">
        <v>83.51</v>
      </c>
      <c r="P65" s="3470">
        <v>626</v>
      </c>
      <c r="Q65" s="3470">
        <v>0</v>
      </c>
      <c r="R65" s="3470" t="s">
        <v>3465</v>
      </c>
      <c r="T65" s="3470">
        <f t="shared" si="0"/>
        <v>1253</v>
      </c>
    </row>
    <row r="66" spans="1:20">
      <c r="A66" s="3470" t="s">
        <v>3663</v>
      </c>
      <c r="B66" s="3470" t="s">
        <v>3664</v>
      </c>
      <c r="C66" s="3470" t="s">
        <v>3458</v>
      </c>
      <c r="D66" s="3470">
        <v>5697.85</v>
      </c>
      <c r="E66" s="3470">
        <v>11395.7</v>
      </c>
      <c r="F66" s="3470" t="s">
        <v>3479</v>
      </c>
      <c r="G66" s="3470" t="s">
        <v>3644</v>
      </c>
      <c r="H66" s="3470" t="s">
        <v>3461</v>
      </c>
      <c r="I66" s="3470" t="s">
        <v>3462</v>
      </c>
      <c r="J66" s="3470" t="s">
        <v>3504</v>
      </c>
      <c r="K66" s="3470" t="s">
        <v>3522</v>
      </c>
      <c r="L66" s="3471">
        <v>43124.000497685185</v>
      </c>
      <c r="M66" s="3470" t="s">
        <v>3562</v>
      </c>
      <c r="N66" s="3470">
        <v>2630</v>
      </c>
      <c r="O66" s="3470">
        <v>307.72000000000003</v>
      </c>
      <c r="P66" s="3470">
        <v>2308</v>
      </c>
      <c r="Q66" s="3470">
        <v>0</v>
      </c>
      <c r="R66" s="3470" t="s">
        <v>3465</v>
      </c>
      <c r="T66" s="3470">
        <f t="shared" si="0"/>
        <v>4616</v>
      </c>
    </row>
    <row r="67" spans="1:20">
      <c r="A67" s="3470" t="s">
        <v>3665</v>
      </c>
      <c r="B67" s="3470" t="s">
        <v>3666</v>
      </c>
      <c r="C67" s="3470" t="s">
        <v>3458</v>
      </c>
      <c r="D67" s="3470">
        <v>13734.77</v>
      </c>
      <c r="E67" s="3470">
        <v>27469.54</v>
      </c>
      <c r="F67" s="3470" t="s">
        <v>3479</v>
      </c>
      <c r="G67" s="3470" t="s">
        <v>3644</v>
      </c>
      <c r="H67" s="3470" t="s">
        <v>3461</v>
      </c>
      <c r="I67" s="3470" t="s">
        <v>3462</v>
      </c>
      <c r="J67" s="3470" t="s">
        <v>3504</v>
      </c>
      <c r="K67" s="3470" t="s">
        <v>3522</v>
      </c>
      <c r="L67" s="3471">
        <v>43124.000497685185</v>
      </c>
      <c r="M67" s="3470" t="s">
        <v>3562</v>
      </c>
      <c r="N67" s="3470">
        <v>10220</v>
      </c>
      <c r="O67" s="3470">
        <v>496.06</v>
      </c>
      <c r="P67" s="3470">
        <v>3720</v>
      </c>
      <c r="Q67" s="3470">
        <v>0</v>
      </c>
      <c r="R67" s="3470" t="s">
        <v>3465</v>
      </c>
      <c r="T67" s="3470">
        <f t="shared" ref="T67:T72" si="1">ROUND(N67/D67*10000,0)</f>
        <v>7441</v>
      </c>
    </row>
    <row r="68" spans="1:20">
      <c r="A68" s="3470" t="s">
        <v>3665</v>
      </c>
      <c r="B68" s="3470" t="s">
        <v>3667</v>
      </c>
      <c r="C68" s="3470" t="s">
        <v>3458</v>
      </c>
      <c r="D68" s="3470">
        <v>10687.34</v>
      </c>
      <c r="E68" s="3470">
        <v>21374.68</v>
      </c>
      <c r="F68" s="3470" t="s">
        <v>3479</v>
      </c>
      <c r="G68" s="3470" t="s">
        <v>3644</v>
      </c>
      <c r="H68" s="3470" t="s">
        <v>3461</v>
      </c>
      <c r="I68" s="3470" t="s">
        <v>3462</v>
      </c>
      <c r="J68" s="3470" t="s">
        <v>3504</v>
      </c>
      <c r="K68" s="3470" t="s">
        <v>3522</v>
      </c>
      <c r="L68" s="3471">
        <v>43075.000497685185</v>
      </c>
      <c r="M68" s="3470" t="s">
        <v>3562</v>
      </c>
      <c r="N68" s="3470">
        <v>4930</v>
      </c>
      <c r="O68" s="3470">
        <v>307.52999999999997</v>
      </c>
      <c r="P68" s="3470">
        <v>2306</v>
      </c>
      <c r="Q68" s="3470">
        <v>0</v>
      </c>
      <c r="R68" s="3470" t="s">
        <v>3465</v>
      </c>
      <c r="T68" s="3470">
        <f t="shared" si="1"/>
        <v>4613</v>
      </c>
    </row>
    <row r="69" spans="1:20">
      <c r="A69" s="3470" t="s">
        <v>3668</v>
      </c>
      <c r="B69" s="3470" t="s">
        <v>3669</v>
      </c>
      <c r="C69" s="3470" t="s">
        <v>3591</v>
      </c>
      <c r="D69" s="3470">
        <v>4171.97</v>
      </c>
      <c r="E69" s="3470">
        <v>4171.97</v>
      </c>
      <c r="F69" s="3470" t="s">
        <v>3459</v>
      </c>
      <c r="G69" s="3470" t="s">
        <v>3644</v>
      </c>
      <c r="H69" s="3470" t="s">
        <v>3461</v>
      </c>
      <c r="I69" s="3470" t="s">
        <v>3462</v>
      </c>
      <c r="J69" s="3470" t="s">
        <v>3491</v>
      </c>
      <c r="K69" s="3470" t="s">
        <v>3606</v>
      </c>
      <c r="L69" s="3471">
        <v>43026.000497685185</v>
      </c>
      <c r="M69" s="3470" t="s">
        <v>3670</v>
      </c>
      <c r="N69" s="3470">
        <v>445</v>
      </c>
      <c r="O69" s="3470">
        <v>71.11</v>
      </c>
      <c r="P69" s="3470">
        <v>1067</v>
      </c>
      <c r="Q69" s="3470">
        <v>2.2999999999999998</v>
      </c>
      <c r="R69" s="3470" t="s">
        <v>3465</v>
      </c>
      <c r="T69" s="3470">
        <f t="shared" si="1"/>
        <v>1067</v>
      </c>
    </row>
    <row r="70" spans="1:20">
      <c r="A70" s="3470" t="s">
        <v>3671</v>
      </c>
      <c r="B70" s="3470" t="s">
        <v>3672</v>
      </c>
      <c r="C70" s="3470" t="s">
        <v>3614</v>
      </c>
      <c r="D70" s="3470">
        <v>1801.75</v>
      </c>
      <c r="E70" s="3470">
        <v>3603.5</v>
      </c>
      <c r="F70" s="3470" t="s">
        <v>3479</v>
      </c>
      <c r="G70" s="3470" t="s">
        <v>3619</v>
      </c>
      <c r="H70" s="3470" t="s">
        <v>3461</v>
      </c>
      <c r="I70" s="3470" t="s">
        <v>3462</v>
      </c>
      <c r="J70" s="3470" t="s">
        <v>3463</v>
      </c>
      <c r="K70" s="3470" t="s">
        <v>3499</v>
      </c>
      <c r="L70" s="3471">
        <v>42991.000497685185</v>
      </c>
      <c r="M70" s="3470" t="s">
        <v>3673</v>
      </c>
      <c r="N70" s="3470">
        <v>325</v>
      </c>
      <c r="O70" s="3470">
        <v>120.25</v>
      </c>
      <c r="P70" s="3470">
        <v>902</v>
      </c>
      <c r="Q70" s="3470">
        <v>0</v>
      </c>
      <c r="R70" s="3470" t="s">
        <v>3465</v>
      </c>
      <c r="T70" s="3470">
        <f t="shared" si="1"/>
        <v>1804</v>
      </c>
    </row>
    <row r="71" spans="1:20">
      <c r="A71" s="3470" t="s">
        <v>3674</v>
      </c>
      <c r="B71" s="3470" t="s">
        <v>3675</v>
      </c>
      <c r="C71" s="3470" t="s">
        <v>3676</v>
      </c>
      <c r="D71" s="3470">
        <v>5401.6</v>
      </c>
      <c r="E71" s="3470">
        <v>2700.8</v>
      </c>
      <c r="F71" s="3470" t="s">
        <v>3511</v>
      </c>
      <c r="G71" s="3470" t="s">
        <v>3644</v>
      </c>
      <c r="H71" s="3470" t="s">
        <v>3461</v>
      </c>
      <c r="I71" s="3470" t="s">
        <v>3462</v>
      </c>
      <c r="J71" s="3470" t="s">
        <v>3481</v>
      </c>
      <c r="K71" s="3470" t="s">
        <v>3603</v>
      </c>
      <c r="L71" s="3471">
        <v>42901.000497685185</v>
      </c>
      <c r="M71" s="3470" t="s">
        <v>3677</v>
      </c>
      <c r="N71" s="3470">
        <v>677</v>
      </c>
      <c r="O71" s="3470">
        <v>83.56</v>
      </c>
      <c r="P71" s="3470">
        <v>2507</v>
      </c>
      <c r="Q71" s="3470">
        <v>6.61</v>
      </c>
      <c r="R71" s="3470" t="s">
        <v>3465</v>
      </c>
      <c r="T71" s="3470">
        <f t="shared" si="1"/>
        <v>1253</v>
      </c>
    </row>
    <row r="72" spans="1:20">
      <c r="A72" s="3470" t="s">
        <v>3678</v>
      </c>
      <c r="B72" s="3470" t="s">
        <v>3679</v>
      </c>
      <c r="C72" s="3470" t="s">
        <v>3591</v>
      </c>
      <c r="D72" s="3470">
        <v>5436.34</v>
      </c>
      <c r="E72" s="3470">
        <v>5436.34</v>
      </c>
      <c r="F72" s="3470" t="s">
        <v>3459</v>
      </c>
      <c r="G72" s="3470" t="s">
        <v>3644</v>
      </c>
      <c r="H72" s="3470" t="s">
        <v>3461</v>
      </c>
      <c r="I72" s="3470" t="s">
        <v>3462</v>
      </c>
      <c r="J72" s="3470" t="s">
        <v>3491</v>
      </c>
      <c r="K72" s="3470" t="s">
        <v>3606</v>
      </c>
      <c r="L72" s="3471">
        <v>42872.000497685185</v>
      </c>
      <c r="M72" s="3470" t="s">
        <v>3680</v>
      </c>
      <c r="N72" s="3470">
        <v>2537</v>
      </c>
      <c r="O72" s="3470">
        <v>311.12</v>
      </c>
      <c r="P72" s="3470">
        <v>4667</v>
      </c>
      <c r="Q72" s="3470">
        <v>261.91000000000003</v>
      </c>
      <c r="R72" s="3470" t="s">
        <v>3465</v>
      </c>
      <c r="T72" s="3470">
        <f t="shared" si="1"/>
        <v>4667</v>
      </c>
    </row>
    <row r="73" spans="1:20">
      <c r="A73" s="3470" t="s">
        <v>3681</v>
      </c>
      <c r="B73" s="3470" t="s">
        <v>3682</v>
      </c>
      <c r="C73" s="3470" t="s">
        <v>3591</v>
      </c>
      <c r="D73" s="3470">
        <v>5995.69</v>
      </c>
      <c r="E73" s="3470">
        <v>2997.85</v>
      </c>
      <c r="F73" s="3470" t="s">
        <v>3511</v>
      </c>
      <c r="G73" s="3470" t="s">
        <v>3644</v>
      </c>
      <c r="H73" s="3470" t="s">
        <v>3461</v>
      </c>
      <c r="I73" s="3470" t="s">
        <v>3462</v>
      </c>
      <c r="J73" s="3470" t="s">
        <v>3481</v>
      </c>
      <c r="K73" s="3470" t="s">
        <v>3603</v>
      </c>
      <c r="L73" s="3471">
        <v>42639.000497685185</v>
      </c>
      <c r="M73" s="3470" t="s">
        <v>3683</v>
      </c>
      <c r="N73" s="3470">
        <v>812</v>
      </c>
      <c r="O73" s="3470">
        <v>90.29</v>
      </c>
      <c r="P73" s="3470">
        <v>2709</v>
      </c>
      <c r="Q73" s="3470">
        <v>16.5</v>
      </c>
      <c r="R73" s="3470" t="s">
        <v>3465</v>
      </c>
    </row>
    <row r="74" spans="1:20">
      <c r="A74" s="3470" t="s">
        <v>3684</v>
      </c>
      <c r="B74" s="3470" t="s">
        <v>3685</v>
      </c>
      <c r="C74" s="3470" t="s">
        <v>3458</v>
      </c>
      <c r="D74" s="3470">
        <v>439.09</v>
      </c>
      <c r="E74" s="3470">
        <v>2195.4499999999998</v>
      </c>
      <c r="F74" s="3470" t="s">
        <v>3686</v>
      </c>
      <c r="G74" s="3470" t="s">
        <v>3644</v>
      </c>
      <c r="H74" s="3470" t="s">
        <v>3461</v>
      </c>
      <c r="I74" s="3470" t="s">
        <v>3462</v>
      </c>
      <c r="J74" s="3470" t="s">
        <v>3491</v>
      </c>
      <c r="K74" s="3470" t="s">
        <v>3499</v>
      </c>
      <c r="L74" s="3471">
        <v>42515.000497685185</v>
      </c>
      <c r="M74" s="3470" t="s">
        <v>3687</v>
      </c>
      <c r="N74" s="3470">
        <v>290</v>
      </c>
      <c r="O74" s="3470">
        <v>440.3</v>
      </c>
      <c r="P74" s="3470">
        <v>1321</v>
      </c>
      <c r="Q74" s="3470">
        <v>0</v>
      </c>
      <c r="R74" s="3470" t="s">
        <v>3465</v>
      </c>
    </row>
    <row r="75" spans="1:20">
      <c r="A75" s="3470" t="s">
        <v>3688</v>
      </c>
      <c r="B75" s="3470" t="s">
        <v>3689</v>
      </c>
      <c r="C75" s="3470" t="s">
        <v>3591</v>
      </c>
      <c r="D75" s="3470">
        <v>4702.8999999999996</v>
      </c>
      <c r="E75" s="3470">
        <v>9405.7999999999993</v>
      </c>
      <c r="F75" s="3470" t="s">
        <v>3479</v>
      </c>
      <c r="G75" s="3470" t="s">
        <v>3480</v>
      </c>
      <c r="H75" s="3470" t="s">
        <v>3461</v>
      </c>
      <c r="I75" s="3470" t="s">
        <v>3462</v>
      </c>
      <c r="J75" s="3470" t="s">
        <v>3481</v>
      </c>
      <c r="K75" s="3470" t="s">
        <v>3690</v>
      </c>
      <c r="L75" s="3471">
        <v>42384.000497685185</v>
      </c>
      <c r="M75" s="3470" t="s">
        <v>3482</v>
      </c>
      <c r="N75" s="3470">
        <v>390</v>
      </c>
      <c r="O75" s="3470">
        <v>55.29</v>
      </c>
      <c r="P75" s="3470">
        <v>415</v>
      </c>
      <c r="Q75" s="3470">
        <v>0</v>
      </c>
      <c r="R75" s="3470" t="s">
        <v>3465</v>
      </c>
    </row>
    <row r="76" spans="1:20">
      <c r="A76" s="3470" t="s">
        <v>3691</v>
      </c>
      <c r="B76" s="3470" t="s">
        <v>3692</v>
      </c>
      <c r="C76" s="3470" t="s">
        <v>3591</v>
      </c>
      <c r="D76" s="3470">
        <v>5906.18</v>
      </c>
      <c r="E76" s="3470">
        <v>11812.36</v>
      </c>
      <c r="F76" s="3470" t="s">
        <v>3479</v>
      </c>
      <c r="G76" s="3470" t="s">
        <v>3480</v>
      </c>
      <c r="H76" s="3470" t="s">
        <v>3461</v>
      </c>
      <c r="I76" s="3470" t="s">
        <v>3462</v>
      </c>
      <c r="J76" s="3470" t="s">
        <v>3481</v>
      </c>
      <c r="K76" s="3470" t="s">
        <v>3690</v>
      </c>
      <c r="L76" s="3471">
        <v>42362.000497685185</v>
      </c>
      <c r="M76" s="3470" t="s">
        <v>3693</v>
      </c>
      <c r="N76" s="3470">
        <v>435</v>
      </c>
      <c r="O76" s="3470">
        <v>49.1</v>
      </c>
      <c r="P76" s="3470">
        <v>368</v>
      </c>
      <c r="Q76" s="3470">
        <v>0</v>
      </c>
      <c r="R76" s="3470" t="s">
        <v>3465</v>
      </c>
    </row>
    <row r="77" spans="1:20">
      <c r="A77" s="3470" t="s">
        <v>3694</v>
      </c>
      <c r="B77" s="3470" t="s">
        <v>3695</v>
      </c>
      <c r="C77" s="3470" t="s">
        <v>3696</v>
      </c>
      <c r="D77" s="3470">
        <v>2911.17</v>
      </c>
      <c r="E77" s="3470">
        <v>1455.59</v>
      </c>
      <c r="F77" s="3470" t="s">
        <v>3511</v>
      </c>
      <c r="G77" s="3470" t="s">
        <v>3644</v>
      </c>
      <c r="H77" s="3470" t="s">
        <v>3461</v>
      </c>
      <c r="I77" s="3470" t="s">
        <v>3462</v>
      </c>
      <c r="J77" s="3470" t="s">
        <v>3504</v>
      </c>
      <c r="K77" s="3470" t="s">
        <v>3603</v>
      </c>
      <c r="L77" s="3471">
        <v>42348.000497685185</v>
      </c>
      <c r="M77" s="3470" t="s">
        <v>3697</v>
      </c>
      <c r="N77" s="3470">
        <v>230</v>
      </c>
      <c r="O77" s="3470">
        <v>52.67</v>
      </c>
      <c r="P77" s="3470">
        <v>1580</v>
      </c>
      <c r="Q77" s="3470">
        <v>0</v>
      </c>
      <c r="R77" s="3470" t="s">
        <v>3465</v>
      </c>
    </row>
    <row r="78" spans="1:20">
      <c r="A78" s="3470" t="s">
        <v>3691</v>
      </c>
      <c r="B78" s="3470" t="s">
        <v>3698</v>
      </c>
      <c r="C78" s="3470" t="s">
        <v>3591</v>
      </c>
      <c r="D78" s="3470">
        <v>6667.13</v>
      </c>
      <c r="E78" s="3470">
        <v>13334.26</v>
      </c>
      <c r="F78" s="3470" t="s">
        <v>3479</v>
      </c>
      <c r="G78" s="3470" t="s">
        <v>3480</v>
      </c>
      <c r="H78" s="3470" t="s">
        <v>3461</v>
      </c>
      <c r="I78" s="3470" t="s">
        <v>3462</v>
      </c>
      <c r="J78" s="3470" t="s">
        <v>3481</v>
      </c>
      <c r="K78" s="3470" t="s">
        <v>3690</v>
      </c>
      <c r="L78" s="3471">
        <v>42341.000497685185</v>
      </c>
      <c r="M78" s="3470" t="s">
        <v>3699</v>
      </c>
      <c r="N78" s="3470">
        <v>505</v>
      </c>
      <c r="O78" s="3470">
        <v>50.5</v>
      </c>
      <c r="P78" s="3470">
        <v>379</v>
      </c>
      <c r="Q78" s="3470">
        <v>0</v>
      </c>
      <c r="R78" s="3470" t="s">
        <v>3465</v>
      </c>
    </row>
    <row r="79" spans="1:20">
      <c r="A79" s="3470" t="s">
        <v>3691</v>
      </c>
      <c r="B79" s="3470" t="s">
        <v>3700</v>
      </c>
      <c r="C79" s="3470" t="s">
        <v>3591</v>
      </c>
      <c r="D79" s="3470">
        <v>6667.88</v>
      </c>
      <c r="E79" s="3470">
        <v>13335.76</v>
      </c>
      <c r="F79" s="3470" t="s">
        <v>3479</v>
      </c>
      <c r="G79" s="3470" t="s">
        <v>3480</v>
      </c>
      <c r="H79" s="3470" t="s">
        <v>3461</v>
      </c>
      <c r="I79" s="3470" t="s">
        <v>3462</v>
      </c>
      <c r="J79" s="3470" t="s">
        <v>3481</v>
      </c>
      <c r="K79" s="3470" t="s">
        <v>3690</v>
      </c>
      <c r="L79" s="3471">
        <v>42341.000497685185</v>
      </c>
      <c r="M79" s="3470" t="s">
        <v>3701</v>
      </c>
      <c r="N79" s="3470">
        <v>530</v>
      </c>
      <c r="O79" s="3470">
        <v>52.99</v>
      </c>
      <c r="P79" s="3470">
        <v>397</v>
      </c>
      <c r="Q79" s="3470">
        <v>0</v>
      </c>
      <c r="R79" s="3470" t="s">
        <v>3465</v>
      </c>
    </row>
    <row r="80" spans="1:20">
      <c r="A80" s="3470" t="s">
        <v>3702</v>
      </c>
      <c r="B80" s="3470" t="s">
        <v>3703</v>
      </c>
      <c r="C80" s="3470" t="s">
        <v>3618</v>
      </c>
      <c r="D80" s="3470">
        <v>838.6</v>
      </c>
      <c r="E80" s="3470">
        <v>5794.73</v>
      </c>
      <c r="F80" s="3470" t="s">
        <v>3704</v>
      </c>
      <c r="G80" s="3470" t="s">
        <v>3480</v>
      </c>
      <c r="H80" s="3470" t="s">
        <v>3461</v>
      </c>
      <c r="I80" s="3470" t="s">
        <v>3462</v>
      </c>
      <c r="J80" s="3470" t="s">
        <v>3705</v>
      </c>
      <c r="K80" s="3470" t="s">
        <v>3475</v>
      </c>
      <c r="L80" s="3471">
        <v>42340.000497685185</v>
      </c>
      <c r="M80" s="3470" t="s">
        <v>3706</v>
      </c>
      <c r="N80" s="3470">
        <v>3710</v>
      </c>
      <c r="O80" s="3470">
        <v>2949.36</v>
      </c>
      <c r="P80" s="3470">
        <v>6402</v>
      </c>
      <c r="Q80" s="3470">
        <v>0</v>
      </c>
      <c r="R80" s="3470" t="s">
        <v>3465</v>
      </c>
    </row>
    <row r="81" spans="1:18">
      <c r="A81" s="3470" t="s">
        <v>3688</v>
      </c>
      <c r="B81" s="3470" t="s">
        <v>3707</v>
      </c>
      <c r="C81" s="3470" t="s">
        <v>3591</v>
      </c>
      <c r="D81" s="3470">
        <v>1357.24</v>
      </c>
      <c r="E81" s="3470">
        <v>2714.48</v>
      </c>
      <c r="F81" s="3470" t="s">
        <v>3479</v>
      </c>
      <c r="G81" s="3470" t="s">
        <v>3619</v>
      </c>
      <c r="H81" s="3470" t="s">
        <v>3461</v>
      </c>
      <c r="I81" s="3470" t="s">
        <v>3462</v>
      </c>
      <c r="J81" s="3470" t="s">
        <v>3481</v>
      </c>
      <c r="K81" s="3470" t="s">
        <v>3690</v>
      </c>
      <c r="L81" s="3471">
        <v>42293.000497685185</v>
      </c>
      <c r="M81" s="3470" t="s">
        <v>3708</v>
      </c>
      <c r="N81" s="3470">
        <v>223</v>
      </c>
      <c r="O81" s="3470">
        <v>109.54</v>
      </c>
      <c r="P81" s="3470">
        <v>822</v>
      </c>
      <c r="Q81" s="3470">
        <v>0</v>
      </c>
      <c r="R81" s="3470" t="s">
        <v>3465</v>
      </c>
    </row>
    <row r="82" spans="1:18">
      <c r="A82" s="3470" t="s">
        <v>3655</v>
      </c>
      <c r="B82" s="3470" t="s">
        <v>3709</v>
      </c>
      <c r="C82" s="3470" t="s">
        <v>3591</v>
      </c>
      <c r="D82" s="3470">
        <v>23617.48</v>
      </c>
      <c r="E82" s="3470">
        <v>70852.44</v>
      </c>
      <c r="F82" s="3470" t="s">
        <v>3710</v>
      </c>
      <c r="G82" s="3470" t="s">
        <v>3644</v>
      </c>
      <c r="H82" s="3470" t="s">
        <v>3461</v>
      </c>
      <c r="I82" s="3470" t="s">
        <v>3462</v>
      </c>
      <c r="J82" s="3470" t="s">
        <v>3475</v>
      </c>
      <c r="K82" s="3470" t="s">
        <v>3458</v>
      </c>
      <c r="L82" s="3471">
        <v>42262.000497685185</v>
      </c>
      <c r="M82" s="3470" t="s">
        <v>3657</v>
      </c>
      <c r="N82" s="3470">
        <v>4710</v>
      </c>
      <c r="O82" s="3470">
        <v>132.94999999999999</v>
      </c>
      <c r="P82" s="3470">
        <v>665</v>
      </c>
      <c r="Q82" s="3470">
        <v>0</v>
      </c>
      <c r="R82" s="3470" t="s">
        <v>3465</v>
      </c>
    </row>
    <row r="83" spans="1:18">
      <c r="A83" s="3470" t="s">
        <v>3655</v>
      </c>
      <c r="B83" s="3470" t="s">
        <v>3711</v>
      </c>
      <c r="C83" s="3470" t="s">
        <v>3591</v>
      </c>
      <c r="D83" s="3470">
        <v>24920.76</v>
      </c>
      <c r="E83" s="3470">
        <v>74762.28</v>
      </c>
      <c r="F83" s="3470" t="s">
        <v>3710</v>
      </c>
      <c r="G83" s="3470" t="s">
        <v>3644</v>
      </c>
      <c r="H83" s="3470" t="s">
        <v>3461</v>
      </c>
      <c r="I83" s="3470" t="s">
        <v>3462</v>
      </c>
      <c r="J83" s="3470" t="s">
        <v>3475</v>
      </c>
      <c r="K83" s="3470" t="s">
        <v>3458</v>
      </c>
      <c r="L83" s="3471">
        <v>42262.000497685185</v>
      </c>
      <c r="M83" s="3470" t="s">
        <v>3657</v>
      </c>
      <c r="N83" s="3470">
        <v>4950</v>
      </c>
      <c r="O83" s="3470">
        <v>132.41999999999999</v>
      </c>
      <c r="P83" s="3470">
        <v>662</v>
      </c>
      <c r="Q83" s="3470">
        <v>0</v>
      </c>
      <c r="R83" s="3470" t="s">
        <v>3465</v>
      </c>
    </row>
    <row r="84" spans="1:18">
      <c r="A84" s="3470" t="s">
        <v>3653</v>
      </c>
      <c r="B84" s="3470" t="s">
        <v>3712</v>
      </c>
      <c r="C84" s="3470" t="s">
        <v>3591</v>
      </c>
      <c r="D84" s="3470">
        <v>63832.72</v>
      </c>
      <c r="E84" s="3470">
        <v>95749.08</v>
      </c>
      <c r="F84" s="3470" t="s">
        <v>3592</v>
      </c>
      <c r="G84" s="3470" t="s">
        <v>3644</v>
      </c>
      <c r="H84" s="3470" t="s">
        <v>3461</v>
      </c>
      <c r="I84" s="3470" t="s">
        <v>3462</v>
      </c>
      <c r="J84" s="3470" t="s">
        <v>3481</v>
      </c>
      <c r="K84" s="3470" t="s">
        <v>3486</v>
      </c>
      <c r="L84" s="3471">
        <v>42257.000497685185</v>
      </c>
      <c r="M84" s="3470" t="s">
        <v>3713</v>
      </c>
      <c r="N84" s="3470">
        <v>6520</v>
      </c>
      <c r="O84" s="3470">
        <v>68.09</v>
      </c>
      <c r="P84" s="3470">
        <v>681</v>
      </c>
      <c r="Q84" s="3470">
        <v>0</v>
      </c>
      <c r="R84" s="3470" t="s">
        <v>3465</v>
      </c>
    </row>
    <row r="85" spans="1:18">
      <c r="A85" s="3470" t="s">
        <v>3714</v>
      </c>
      <c r="B85" s="3470" t="s">
        <v>3715</v>
      </c>
      <c r="C85" s="3470" t="s">
        <v>3614</v>
      </c>
      <c r="D85" s="3470">
        <v>10084</v>
      </c>
      <c r="E85" s="3470">
        <v>10084</v>
      </c>
      <c r="F85" s="3470" t="s">
        <v>3459</v>
      </c>
      <c r="G85" s="3470" t="s">
        <v>3644</v>
      </c>
      <c r="H85" s="3470" t="s">
        <v>3461</v>
      </c>
      <c r="I85" s="3470" t="s">
        <v>3462</v>
      </c>
      <c r="J85" s="3470" t="s">
        <v>3463</v>
      </c>
      <c r="K85" s="3470" t="s">
        <v>3570</v>
      </c>
      <c r="L85" s="3471">
        <v>42235.000497685185</v>
      </c>
      <c r="M85" s="3470" t="s">
        <v>3716</v>
      </c>
      <c r="N85" s="3470">
        <v>1170</v>
      </c>
      <c r="O85" s="3470">
        <v>77.349999999999994</v>
      </c>
      <c r="P85" s="3470">
        <v>1160</v>
      </c>
      <c r="Q85" s="3470">
        <v>0</v>
      </c>
      <c r="R85" s="3470" t="s">
        <v>3465</v>
      </c>
    </row>
    <row r="86" spans="1:18">
      <c r="A86" s="3470" t="s">
        <v>3646</v>
      </c>
      <c r="B86" s="3470" t="s">
        <v>3717</v>
      </c>
      <c r="C86" s="3470" t="s">
        <v>3614</v>
      </c>
      <c r="D86" s="3470">
        <v>3339.15</v>
      </c>
      <c r="E86" s="3470">
        <v>3339.15</v>
      </c>
      <c r="F86" s="3470" t="s">
        <v>3459</v>
      </c>
      <c r="G86" s="3470" t="s">
        <v>3644</v>
      </c>
      <c r="H86" s="3470" t="s">
        <v>3461</v>
      </c>
      <c r="I86" s="3470" t="s">
        <v>3462</v>
      </c>
      <c r="J86" s="3470" t="s">
        <v>3463</v>
      </c>
      <c r="K86" s="3470" t="s">
        <v>3570</v>
      </c>
      <c r="L86" s="3471">
        <v>42199.000497685185</v>
      </c>
      <c r="M86" s="3470" t="s">
        <v>3718</v>
      </c>
      <c r="N86" s="3470">
        <v>385</v>
      </c>
      <c r="O86" s="3470">
        <v>76.87</v>
      </c>
      <c r="P86" s="3470">
        <v>1153</v>
      </c>
      <c r="Q86" s="3470">
        <v>0</v>
      </c>
      <c r="R86" s="3470" t="s">
        <v>3465</v>
      </c>
    </row>
    <row r="87" spans="1:18">
      <c r="A87" s="3470" t="s">
        <v>3719</v>
      </c>
      <c r="B87" s="3470" t="s">
        <v>3720</v>
      </c>
      <c r="C87" s="3470" t="s">
        <v>3676</v>
      </c>
      <c r="D87" s="3470">
        <v>26453.41</v>
      </c>
      <c r="E87" s="3470">
        <v>119040.35</v>
      </c>
      <c r="F87" s="3470" t="s">
        <v>3721</v>
      </c>
      <c r="G87" s="3470" t="s">
        <v>3644</v>
      </c>
      <c r="H87" s="3470" t="s">
        <v>3461</v>
      </c>
      <c r="I87" s="3470" t="s">
        <v>3462</v>
      </c>
      <c r="J87" s="3470" t="s">
        <v>3481</v>
      </c>
      <c r="K87" s="3470" t="s">
        <v>3566</v>
      </c>
      <c r="L87" s="3471">
        <v>42167.000497685185</v>
      </c>
      <c r="M87" s="3470" t="s">
        <v>3722</v>
      </c>
      <c r="N87" s="3470">
        <v>6060</v>
      </c>
      <c r="O87" s="3470">
        <v>152.72</v>
      </c>
      <c r="P87" s="3470">
        <v>509</v>
      </c>
      <c r="Q87" s="3470">
        <v>0</v>
      </c>
      <c r="R87" s="3470" t="s">
        <v>3465</v>
      </c>
    </row>
    <row r="88" spans="1:18">
      <c r="A88" s="3470" t="s">
        <v>3663</v>
      </c>
      <c r="B88" s="3470" t="s">
        <v>3723</v>
      </c>
      <c r="C88" s="3470" t="s">
        <v>3458</v>
      </c>
      <c r="D88" s="3470">
        <v>15214.78</v>
      </c>
      <c r="E88" s="3470">
        <v>45644.34</v>
      </c>
      <c r="F88" s="3470" t="s">
        <v>3710</v>
      </c>
      <c r="G88" s="3470" t="s">
        <v>3644</v>
      </c>
      <c r="H88" s="3470" t="s">
        <v>3461</v>
      </c>
      <c r="I88" s="3470" t="s">
        <v>3462</v>
      </c>
      <c r="J88" s="3470" t="s">
        <v>3724</v>
      </c>
      <c r="K88" s="3470" t="s">
        <v>3632</v>
      </c>
      <c r="L88" s="3471">
        <v>42137.000497685185</v>
      </c>
      <c r="M88" s="3470" t="s">
        <v>3725</v>
      </c>
      <c r="N88" s="3470">
        <v>3750</v>
      </c>
      <c r="O88" s="3470">
        <v>164.31</v>
      </c>
      <c r="P88" s="3470">
        <v>822</v>
      </c>
      <c r="Q88" s="3470">
        <v>0</v>
      </c>
      <c r="R88" s="3470" t="s">
        <v>3465</v>
      </c>
    </row>
    <row r="89" spans="1:18">
      <c r="A89" s="3470" t="s">
        <v>3726</v>
      </c>
      <c r="B89" s="3470" t="s">
        <v>3727</v>
      </c>
      <c r="C89" s="3470" t="s">
        <v>3728</v>
      </c>
      <c r="D89" s="3470">
        <v>8790.4</v>
      </c>
      <c r="E89" s="3470">
        <v>26371.200000000001</v>
      </c>
      <c r="F89" s="3470" t="s">
        <v>3474</v>
      </c>
      <c r="G89" s="3470" t="s">
        <v>3729</v>
      </c>
      <c r="H89" s="3470" t="s">
        <v>3461</v>
      </c>
      <c r="I89" s="3470" t="s">
        <v>3462</v>
      </c>
      <c r="J89" s="3470" t="s">
        <v>3481</v>
      </c>
      <c r="K89" s="3470" t="s">
        <v>3504</v>
      </c>
      <c r="L89" s="3471">
        <v>42081.000497685185</v>
      </c>
      <c r="M89" s="3470" t="s">
        <v>3730</v>
      </c>
      <c r="N89" s="3470">
        <v>925</v>
      </c>
      <c r="O89" s="3470">
        <v>70.150000000000006</v>
      </c>
      <c r="P89" s="3470">
        <v>351</v>
      </c>
      <c r="Q89" s="3470">
        <v>0</v>
      </c>
      <c r="R89" s="3470" t="s">
        <v>3465</v>
      </c>
    </row>
    <row r="90" spans="1:18">
      <c r="A90" s="3470" t="s">
        <v>3655</v>
      </c>
      <c r="B90" s="3470" t="s">
        <v>3731</v>
      </c>
      <c r="C90" s="3470" t="s">
        <v>3591</v>
      </c>
      <c r="D90" s="3470">
        <v>5179.59</v>
      </c>
      <c r="E90" s="3470">
        <v>2589.8000000000002</v>
      </c>
      <c r="F90" s="3470" t="s">
        <v>3511</v>
      </c>
      <c r="G90" s="3470" t="s">
        <v>3644</v>
      </c>
      <c r="H90" s="3470" t="s">
        <v>3461</v>
      </c>
      <c r="I90" s="3470" t="s">
        <v>3462</v>
      </c>
      <c r="J90" s="3470" t="s">
        <v>3463</v>
      </c>
      <c r="K90" s="3470" t="s">
        <v>3574</v>
      </c>
      <c r="L90" s="3471">
        <v>42080.000497685185</v>
      </c>
      <c r="M90" s="3470" t="s">
        <v>3732</v>
      </c>
      <c r="N90" s="3470">
        <v>617</v>
      </c>
      <c r="O90" s="3470">
        <v>79.41</v>
      </c>
      <c r="P90" s="3470">
        <v>2382</v>
      </c>
      <c r="Q90" s="3470">
        <v>0</v>
      </c>
      <c r="R90" s="3470" t="s">
        <v>3465</v>
      </c>
    </row>
    <row r="91" spans="1:18">
      <c r="A91" s="3470" t="s">
        <v>3733</v>
      </c>
      <c r="B91" s="3470" t="s">
        <v>3734</v>
      </c>
      <c r="C91" s="3470" t="s">
        <v>3458</v>
      </c>
      <c r="D91" s="3470">
        <v>22059.09</v>
      </c>
      <c r="E91" s="3470">
        <v>22059.09</v>
      </c>
      <c r="F91" s="3470" t="s">
        <v>3459</v>
      </c>
      <c r="G91" s="3470" t="s">
        <v>3480</v>
      </c>
      <c r="H91" s="3470" t="s">
        <v>3461</v>
      </c>
      <c r="I91" s="3470" t="s">
        <v>3462</v>
      </c>
      <c r="J91" s="3470" t="s">
        <v>3574</v>
      </c>
      <c r="K91" s="3470" t="s">
        <v>3542</v>
      </c>
      <c r="L91" s="3471">
        <v>41932.000497685185</v>
      </c>
      <c r="M91" s="3470" t="s">
        <v>3735</v>
      </c>
      <c r="N91" s="3470">
        <v>1320</v>
      </c>
      <c r="O91" s="3470">
        <v>39.89</v>
      </c>
      <c r="P91" s="3470">
        <v>598</v>
      </c>
      <c r="Q91" s="3470">
        <v>0</v>
      </c>
      <c r="R91" s="3470" t="s">
        <v>3465</v>
      </c>
    </row>
    <row r="92" spans="1:18">
      <c r="A92" s="3470" t="s">
        <v>3736</v>
      </c>
      <c r="B92" s="3470" t="s">
        <v>3737</v>
      </c>
      <c r="C92" s="3470" t="s">
        <v>3458</v>
      </c>
      <c r="D92" s="3470">
        <v>54683.19</v>
      </c>
      <c r="E92" s="3470">
        <v>218732.76</v>
      </c>
      <c r="F92" s="3470" t="s">
        <v>3738</v>
      </c>
      <c r="G92" s="3470" t="s">
        <v>3644</v>
      </c>
      <c r="H92" s="3470" t="s">
        <v>3461</v>
      </c>
      <c r="I92" s="3470" t="s">
        <v>3462</v>
      </c>
      <c r="J92" s="3470" t="s">
        <v>3739</v>
      </c>
      <c r="K92" s="3470" t="s">
        <v>3740</v>
      </c>
      <c r="L92" s="3471">
        <v>41647.000497685185</v>
      </c>
      <c r="M92" s="3470" t="s">
        <v>3562</v>
      </c>
      <c r="N92" s="3470">
        <v>14350</v>
      </c>
      <c r="O92" s="3470">
        <v>174.95</v>
      </c>
      <c r="P92" s="3470">
        <v>656</v>
      </c>
      <c r="Q92" s="3470">
        <v>0</v>
      </c>
      <c r="R92" s="3470" t="s">
        <v>3465</v>
      </c>
    </row>
    <row r="93" spans="1:18">
      <c r="A93" s="3470" t="s">
        <v>3736</v>
      </c>
      <c r="B93" s="3470" t="s">
        <v>3741</v>
      </c>
      <c r="C93" s="3470" t="s">
        <v>3458</v>
      </c>
      <c r="D93" s="3470">
        <v>56688.639999999999</v>
      </c>
      <c r="E93" s="3470">
        <v>226754.56</v>
      </c>
      <c r="F93" s="3470" t="s">
        <v>3738</v>
      </c>
      <c r="G93" s="3470" t="s">
        <v>3644</v>
      </c>
      <c r="H93" s="3470" t="s">
        <v>3461</v>
      </c>
      <c r="I93" s="3470" t="s">
        <v>3462</v>
      </c>
      <c r="J93" s="3470" t="s">
        <v>3739</v>
      </c>
      <c r="K93" s="3470" t="s">
        <v>3458</v>
      </c>
      <c r="L93" s="3471">
        <v>41647.000497685185</v>
      </c>
      <c r="M93" s="3470" t="s">
        <v>3562</v>
      </c>
      <c r="N93" s="3470">
        <v>14140</v>
      </c>
      <c r="O93" s="3470">
        <v>166.29</v>
      </c>
      <c r="P93" s="3470">
        <v>624</v>
      </c>
      <c r="Q93" s="3470">
        <v>0</v>
      </c>
      <c r="R93" s="3470" t="s">
        <v>3465</v>
      </c>
    </row>
    <row r="94" spans="1:18">
      <c r="A94" s="3470" t="s">
        <v>3742</v>
      </c>
      <c r="B94" s="3470" t="s">
        <v>3743</v>
      </c>
      <c r="C94" s="3470" t="s">
        <v>3458</v>
      </c>
      <c r="D94" s="3470">
        <v>33266.17</v>
      </c>
      <c r="E94" s="3470">
        <v>33266.17</v>
      </c>
      <c r="F94" s="3470" t="s">
        <v>3744</v>
      </c>
      <c r="G94" s="3470" t="s">
        <v>3480</v>
      </c>
      <c r="H94" s="3470" t="s">
        <v>3461</v>
      </c>
      <c r="I94" s="3470" t="s">
        <v>3462</v>
      </c>
      <c r="J94" s="3470" t="s">
        <v>3745</v>
      </c>
      <c r="K94" s="3470" t="s">
        <v>3690</v>
      </c>
      <c r="L94" s="3471">
        <v>41627.000497685185</v>
      </c>
      <c r="M94" s="3470" t="s">
        <v>3746</v>
      </c>
      <c r="N94" s="3470">
        <v>1940</v>
      </c>
      <c r="O94" s="3470">
        <v>38.880000000000003</v>
      </c>
      <c r="P94" s="3470">
        <v>583</v>
      </c>
      <c r="Q94" s="3470">
        <v>0</v>
      </c>
      <c r="R94" s="3470" t="s">
        <v>3465</v>
      </c>
    </row>
    <row r="95" spans="1:18">
      <c r="A95" s="3470" t="s">
        <v>3747</v>
      </c>
      <c r="B95" s="3470" t="s">
        <v>3748</v>
      </c>
      <c r="C95" s="3470" t="s">
        <v>3458</v>
      </c>
      <c r="D95" s="3470">
        <v>14724</v>
      </c>
      <c r="E95" s="3470">
        <v>51534</v>
      </c>
      <c r="F95" s="3470" t="s">
        <v>3749</v>
      </c>
      <c r="G95" s="3470" t="s">
        <v>3619</v>
      </c>
      <c r="H95" s="3470" t="s">
        <v>3461</v>
      </c>
      <c r="I95" s="3470" t="s">
        <v>3462</v>
      </c>
      <c r="J95" s="3470" t="s">
        <v>3491</v>
      </c>
      <c r="K95" s="3470" t="s">
        <v>3566</v>
      </c>
      <c r="L95" s="3471">
        <v>41597.000497685185</v>
      </c>
      <c r="M95" s="3470" t="s">
        <v>3750</v>
      </c>
      <c r="N95" s="3470">
        <v>1800</v>
      </c>
      <c r="O95" s="3470">
        <v>81.5</v>
      </c>
      <c r="P95" s="3470">
        <v>349</v>
      </c>
      <c r="Q95" s="3470">
        <v>0</v>
      </c>
      <c r="R95" s="3470" t="s">
        <v>3465</v>
      </c>
    </row>
    <row r="96" spans="1:18">
      <c r="A96" s="3470" t="s">
        <v>3751</v>
      </c>
      <c r="B96" s="3470" t="s">
        <v>3752</v>
      </c>
      <c r="C96" s="3470" t="s">
        <v>3458</v>
      </c>
      <c r="D96" s="3470">
        <v>2502.41</v>
      </c>
      <c r="E96" s="3470">
        <v>2502.41</v>
      </c>
      <c r="F96" s="3470" t="s">
        <v>3744</v>
      </c>
      <c r="G96" s="3470" t="s">
        <v>3644</v>
      </c>
      <c r="H96" s="3470" t="s">
        <v>3461</v>
      </c>
      <c r="I96" s="3470" t="s">
        <v>3462</v>
      </c>
      <c r="J96" s="3470" t="s">
        <v>3739</v>
      </c>
      <c r="K96" s="3470" t="s">
        <v>3574</v>
      </c>
      <c r="L96" s="3471">
        <v>41593.000497685185</v>
      </c>
      <c r="M96" s="3470" t="s">
        <v>3753</v>
      </c>
      <c r="N96" s="3470">
        <v>230</v>
      </c>
      <c r="O96" s="3470">
        <v>61.27</v>
      </c>
      <c r="P96" s="3470">
        <v>919</v>
      </c>
      <c r="Q96" s="3470">
        <v>12.2</v>
      </c>
      <c r="R96" s="3470" t="s">
        <v>3465</v>
      </c>
    </row>
    <row r="97" spans="1:18">
      <c r="A97" s="3470" t="s">
        <v>3655</v>
      </c>
      <c r="B97" s="3470" t="s">
        <v>3754</v>
      </c>
      <c r="C97" s="3470" t="s">
        <v>3458</v>
      </c>
      <c r="D97" s="3470">
        <v>23459.26</v>
      </c>
      <c r="E97" s="3470">
        <v>70377.78</v>
      </c>
      <c r="F97" s="3470" t="s">
        <v>3755</v>
      </c>
      <c r="G97" s="3470" t="s">
        <v>3644</v>
      </c>
      <c r="H97" s="3470" t="s">
        <v>3461</v>
      </c>
      <c r="I97" s="3470" t="s">
        <v>3462</v>
      </c>
      <c r="J97" s="3470" t="s">
        <v>3756</v>
      </c>
      <c r="K97" s="3470" t="s">
        <v>3458</v>
      </c>
      <c r="L97" s="3471">
        <v>41578.000497685185</v>
      </c>
      <c r="M97" s="3470" t="s">
        <v>3757</v>
      </c>
      <c r="N97" s="3470">
        <v>3035</v>
      </c>
      <c r="O97" s="3470">
        <v>86.25</v>
      </c>
      <c r="P97" s="3470">
        <v>431</v>
      </c>
      <c r="Q97" s="3470">
        <v>0</v>
      </c>
      <c r="R97" s="3470" t="s">
        <v>3465</v>
      </c>
    </row>
    <row r="98" spans="1:18">
      <c r="A98" s="3470" t="s">
        <v>3742</v>
      </c>
      <c r="B98" s="3470" t="s">
        <v>3758</v>
      </c>
      <c r="C98" s="3470" t="s">
        <v>3458</v>
      </c>
      <c r="D98" s="3470">
        <v>29928.17</v>
      </c>
      <c r="E98" s="3470">
        <v>164604.94</v>
      </c>
      <c r="F98" s="3470" t="s">
        <v>3759</v>
      </c>
      <c r="G98" s="3470" t="s">
        <v>3644</v>
      </c>
      <c r="H98" s="3470" t="s">
        <v>3461</v>
      </c>
      <c r="I98" s="3470" t="s">
        <v>3462</v>
      </c>
      <c r="J98" s="3470" t="s">
        <v>3760</v>
      </c>
      <c r="K98" s="3470" t="s">
        <v>3761</v>
      </c>
      <c r="L98" s="3471">
        <v>41521.000497685185</v>
      </c>
      <c r="M98" s="3470" t="s">
        <v>3762</v>
      </c>
      <c r="N98" s="3470">
        <v>8330</v>
      </c>
      <c r="O98" s="3470">
        <v>185.56</v>
      </c>
      <c r="P98" s="3470">
        <v>506</v>
      </c>
      <c r="Q98" s="3470">
        <v>0</v>
      </c>
      <c r="R98" s="3470" t="s">
        <v>3465</v>
      </c>
    </row>
    <row r="99" spans="1:18">
      <c r="A99" s="3470" t="s">
        <v>3763</v>
      </c>
      <c r="B99" s="3470" t="s">
        <v>3764</v>
      </c>
      <c r="C99" s="3470" t="s">
        <v>3458</v>
      </c>
      <c r="D99" s="3470">
        <v>6938.2</v>
      </c>
      <c r="E99" s="3470">
        <v>6938.2</v>
      </c>
      <c r="F99" s="3470" t="s">
        <v>3459</v>
      </c>
      <c r="G99" s="3470" t="s">
        <v>3480</v>
      </c>
      <c r="H99" s="3470" t="s">
        <v>3461</v>
      </c>
      <c r="I99" s="3470" t="s">
        <v>3462</v>
      </c>
      <c r="J99" s="3470" t="s">
        <v>3486</v>
      </c>
      <c r="K99" s="3470" t="s">
        <v>3570</v>
      </c>
      <c r="L99" s="3471">
        <v>41526.000497685185</v>
      </c>
      <c r="M99" s="3470" t="s">
        <v>3765</v>
      </c>
      <c r="N99" s="3470">
        <v>840</v>
      </c>
      <c r="O99" s="3470">
        <v>80.709999999999994</v>
      </c>
      <c r="P99" s="3470">
        <v>1211</v>
      </c>
      <c r="Q99" s="3470">
        <v>0</v>
      </c>
      <c r="R99" s="3470" t="s">
        <v>3465</v>
      </c>
    </row>
    <row r="100" spans="1:18">
      <c r="A100" s="3470" t="s">
        <v>3766</v>
      </c>
      <c r="B100" s="3470" t="s">
        <v>3767</v>
      </c>
      <c r="C100" s="3470" t="s">
        <v>3458</v>
      </c>
      <c r="D100" s="3470">
        <v>15635.06</v>
      </c>
      <c r="E100" s="3470">
        <v>62540.24</v>
      </c>
      <c r="F100" s="3470" t="s">
        <v>3738</v>
      </c>
      <c r="G100" s="3470" t="s">
        <v>3644</v>
      </c>
      <c r="H100" s="3470" t="s">
        <v>3461</v>
      </c>
      <c r="I100" s="3470" t="s">
        <v>3462</v>
      </c>
      <c r="J100" s="3470" t="s">
        <v>3739</v>
      </c>
      <c r="K100" s="3470" t="s">
        <v>3458</v>
      </c>
      <c r="L100" s="3471">
        <v>41516.000497685185</v>
      </c>
      <c r="M100" s="3470" t="s">
        <v>3768</v>
      </c>
      <c r="N100" s="3470">
        <v>3200</v>
      </c>
      <c r="O100" s="3470">
        <v>136.44999999999999</v>
      </c>
      <c r="P100" s="3470">
        <v>512</v>
      </c>
      <c r="Q100" s="3470">
        <v>0</v>
      </c>
      <c r="R100" s="3470" t="s">
        <v>3465</v>
      </c>
    </row>
    <row r="101" spans="1:18">
      <c r="A101" s="3470" t="s">
        <v>3769</v>
      </c>
      <c r="B101" s="3470" t="s">
        <v>3770</v>
      </c>
      <c r="C101" s="3470" t="s">
        <v>3458</v>
      </c>
      <c r="D101" s="3470">
        <v>2790.72</v>
      </c>
      <c r="E101" s="3470">
        <v>1395.36</v>
      </c>
      <c r="F101" s="3470" t="s">
        <v>3771</v>
      </c>
      <c r="G101" s="3470" t="s">
        <v>3644</v>
      </c>
      <c r="H101" s="3470" t="s">
        <v>3461</v>
      </c>
      <c r="I101" s="3470" t="s">
        <v>3462</v>
      </c>
      <c r="J101" s="3470" t="s">
        <v>3772</v>
      </c>
      <c r="K101" s="3470" t="s">
        <v>3574</v>
      </c>
      <c r="L101" s="3471">
        <v>41297.000497685185</v>
      </c>
      <c r="M101" s="3470" t="s">
        <v>3773</v>
      </c>
      <c r="N101" s="3470">
        <v>203</v>
      </c>
      <c r="O101" s="3470">
        <v>48.49</v>
      </c>
      <c r="P101" s="3470">
        <v>1455</v>
      </c>
      <c r="Q101" s="3470">
        <v>0</v>
      </c>
      <c r="R101" s="3470" t="s">
        <v>3465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8"/>
      <c r="B3" s="3498"/>
      <c r="C3" s="3498"/>
      <c r="D3" s="854" t="s">
        <v>925</v>
      </c>
      <c r="E3" s="854" t="s">
        <v>931</v>
      </c>
      <c r="F3" s="854" t="s">
        <v>925</v>
      </c>
      <c r="G3" s="854" t="s">
        <v>926</v>
      </c>
      <c r="H3" s="854" t="s">
        <v>925</v>
      </c>
      <c r="I3" s="854" t="s">
        <v>926</v>
      </c>
    </row>
    <row r="4" spans="1:9" ht="30">
      <c r="A4" s="1505" t="str">
        <f>项目基本情况!S2</f>
        <v>贵州省毕节市七星关区市西街道天河社区房地产</v>
      </c>
      <c r="B4" s="854">
        <f>项目基本情况!C17</f>
        <v>60555.78</v>
      </c>
      <c r="C4" s="854">
        <f>项目基本情况!C18</f>
        <v>30070.98</v>
      </c>
      <c r="D4" s="854">
        <f ca="1">结果表!D118</f>
        <v>2813</v>
      </c>
      <c r="E4" s="854">
        <f ca="1">结果表!E118</f>
        <v>465</v>
      </c>
      <c r="F4" s="854">
        <f ca="1">结果表!F118</f>
        <v>16587</v>
      </c>
      <c r="G4" s="854">
        <f ca="1">结果表!G118</f>
        <v>2739</v>
      </c>
      <c r="H4" s="854">
        <f ca="1">结果表!H118</f>
        <v>19400</v>
      </c>
      <c r="I4" s="854">
        <f ca="1">结果表!I118</f>
        <v>3204</v>
      </c>
    </row>
    <row r="5" spans="1:9" ht="30" customHeight="1">
      <c r="A5" s="3498" t="s">
        <v>927</v>
      </c>
      <c r="B5" s="3498"/>
      <c r="C5" s="3498"/>
      <c r="D5" s="3498" t="str">
        <f ca="1">结果表!D119</f>
        <v>贰仟捌佰壹拾叁万元整</v>
      </c>
      <c r="E5" s="3498"/>
      <c r="F5" s="3498" t="str">
        <f ca="1">结果表!F119</f>
        <v>壹亿陆仟伍佰捌拾柒万元整</v>
      </c>
      <c r="G5" s="3498"/>
      <c r="H5" s="3498" t="str">
        <f ca="1">结果表!H119</f>
        <v>壹亿玖仟肆佰万元整</v>
      </c>
      <c r="I5" s="3498"/>
    </row>
    <row r="6" spans="1:9" ht="15.75">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75">
      <c r="A8" s="3499" t="str">
        <f>结果表!A122</f>
        <v>房地产抵押价值</v>
      </c>
      <c r="B8" s="3499"/>
      <c r="C8" s="3499"/>
      <c r="D8" s="3499">
        <f ca="1">结果表!D122</f>
        <v>19400</v>
      </c>
      <c r="E8" s="3499"/>
      <c r="F8" s="3499"/>
      <c r="G8" s="3499"/>
      <c r="H8" s="3499"/>
      <c r="I8" s="3499"/>
    </row>
    <row r="9" spans="1:9" ht="15">
      <c r="A9" s="3498" t="s">
        <v>927</v>
      </c>
      <c r="B9" s="3498"/>
      <c r="C9" s="3498"/>
      <c r="D9" s="3498" t="str">
        <f ca="1">结果表!D123</f>
        <v>壹亿玖仟肆佰万元整</v>
      </c>
      <c r="E9" s="3498"/>
      <c r="F9" s="3498"/>
      <c r="G9" s="3498"/>
      <c r="H9" s="3498"/>
      <c r="I9" s="3498"/>
    </row>
    <row r="10" spans="1:9" ht="15.75">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75">
      <c r="A12" s="3499" t="str">
        <f>结果表!A126</f>
        <v/>
      </c>
      <c r="B12" s="3499"/>
      <c r="C12" s="3499"/>
      <c r="D12" s="3499" t="str">
        <f>结果表!D126</f>
        <v>——</v>
      </c>
      <c r="E12" s="3499"/>
      <c r="F12" s="3499"/>
      <c r="G12" s="3499"/>
      <c r="H12" s="3499"/>
      <c r="I12" s="3499"/>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5" t="s">
        <v>949</v>
      </c>
      <c r="B1" s="3505"/>
      <c r="C1" s="3505"/>
      <c r="D1" s="3505"/>
    </row>
    <row r="2" spans="1:4" ht="18">
      <c r="A2" s="3506" t="s">
        <v>933</v>
      </c>
      <c r="B2" s="3506"/>
      <c r="C2" s="3506"/>
      <c r="D2" s="350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6" t="s">
        <v>939</v>
      </c>
      <c r="B6" s="3506"/>
      <c r="C6" s="3506"/>
      <c r="D6" s="350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7"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8" t="str">
        <f>IF(项目基本情况!B8="抵押","3.抵押双方在办理抵押登记手续时，应使用本公司出具的正式《房地产评估报告》，特提醒报告使用者注意。","——")</f>
        <v>——</v>
      </c>
      <c r="B13" s="3509"/>
      <c r="C13" s="3509"/>
      <c r="D13" s="3509"/>
    </row>
    <row r="14" spans="1:4" ht="15.75" customHeight="1">
      <c r="A14" s="3508" t="str">
        <f>IF(项目基本情况!B8="抵押","4.本次评估估价师所知悉的法定优先受偿款情况说明如下：","——")</f>
        <v>——</v>
      </c>
      <c r="B14" s="3509"/>
      <c r="C14" s="3509"/>
      <c r="D14" s="3509"/>
    </row>
    <row r="15" spans="1:4" ht="42" customHeight="1">
      <c r="A15" s="3508" t="str">
        <f>IF(项目基本情况!B8="抵押","（1）"&amp;CONCATENATE(项目基本情况!L20,项目基本情况!L21,项目基本情况!L22),"——")</f>
        <v>——</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44978</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43"/>
      <c r="E18" s="3524" t="s">
        <v>2160</v>
      </c>
      <c r="F18" s="3523"/>
      <c r="G18" s="352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2023-02-21T03:20:44Z</dcterms:modified>
</cp:coreProperties>
</file>