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0905" windowHeight="960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及结果汇总" sheetId="77" r:id="rId20"/>
    <sheet name="典型户型修正" sheetId="31" r:id="rId21"/>
    <sheet name="成本法 (商业1)" sheetId="69" r:id="rId22"/>
    <sheet name="假设开发法" sheetId="12" state="hidden" r:id="rId23"/>
    <sheet name="收益法" sheetId="15" state="hidden" r:id="rId24"/>
    <sheet name="成本法 (商业2层)" sheetId="84" r:id="rId25"/>
    <sheet name="成本法 (办公) " sheetId="81" r:id="rId26"/>
    <sheet name="收益法 (商业1)" sheetId="67" r:id="rId27"/>
    <sheet name="收益法（汇总）" sheetId="70" state="hidden" r:id="rId28"/>
    <sheet name="酒店收入计算" sheetId="66" state="hidden" r:id="rId29"/>
    <sheet name="比较法-住宅" sheetId="21" state="hidden" r:id="rId30"/>
    <sheet name="收益法 (商业2层) " sheetId="83" r:id="rId31"/>
    <sheet name="收益法 (办公)" sheetId="80" r:id="rId32"/>
    <sheet name="比较法（商业1）" sheetId="33" r:id="rId33"/>
    <sheet name="比较法（办公）" sheetId="34" r:id="rId34"/>
    <sheet name="案例" sheetId="79"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商业1）" sheetId="43" r:id="rId41"/>
    <sheet name="修正" sheetId="45" state="hidden" r:id="rId42"/>
    <sheet name="容积率修正" sheetId="46" state="hidden" r:id="rId43"/>
    <sheet name="基准地价修正（商业2层）" sheetId="82" r:id="rId44"/>
    <sheet name="基准地价修正（办公）" sheetId="78" r:id="rId45"/>
    <sheet name="基准地价（汇总）" sheetId="76" state="hidden" r:id="rId46"/>
    <sheet name="地价" sheetId="7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33" hidden="1">'比较法（办公）'!$A$1:$L$50</definedName>
    <definedName name="_xlnm._FilterDatabase" localSheetId="32" hidden="1">'比较法（商业1）'!$A$1:$L$49</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1">'收益法 (办公)'!$A$1:$AK$69</definedName>
    <definedName name="_xlnm.Print_Area" localSheetId="26">'收益法 (商业1)'!$A$1:$AK$69</definedName>
    <definedName name="_xlnm.Print_Area" localSheetId="30">'收益法 (商业2层) '!$A$1:$AK$69</definedName>
    <definedName name="_xlnm.Print_Area" localSheetId="13">'数据-汇总表'!$A$1:$P$32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44">'基准地价修正（办公）'!$Q$19:$AD$19</definedName>
    <definedName name="季度" localSheetId="43">'基准地价修正（商业2层）'!$Q$19:$AD$19</definedName>
    <definedName name="季度">'基准地价修正（商业1）'!$Q$19:$AD$19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'比较法（商业1）'!$B$116:$M$116</definedName>
    <definedName name="商业成新度">'比较法（商业1）'!$B$109:$M$109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'比较法（商业1）'!$B$107:$M$107</definedName>
    <definedName name="商业基础设施水平" localSheetId="19">'[1]比较法-商业'!$B$112:$M$112</definedName>
    <definedName name="商业基础设施水平">'比较法（商业1）'!$B$112:$M$112</definedName>
    <definedName name="商业建筑结构" localSheetId="19">'[1]比较法-商业'!$B$105:$M$105</definedName>
    <definedName name="商业建筑结构">'比较法（商业1）'!$B$105:$M$105</definedName>
    <definedName name="商业交易情况" localSheetId="19">'[1]比较法-商业'!$A$61:$M$61</definedName>
    <definedName name="商业交易情况">'比较法（商业1）'!$A$61:$M$61</definedName>
    <definedName name="商业街名称" localSheetId="19">[1]修正!$C$59:$C$119</definedName>
    <definedName name="商业街名称">修正!$C$59:$C$119</definedName>
    <definedName name="商业进深比" localSheetId="19">'[1]比较法-商业'!$B$120:$M$120</definedName>
    <definedName name="商业进深比">'比较法（商业1）'!$B$120:$M$120</definedName>
    <definedName name="商业类型" localSheetId="19">'[1]比较法-商业'!$B$100:$M$100</definedName>
    <definedName name="商业类型">'比较法（商业1）'!$B$100:$M$100</definedName>
    <definedName name="商业临街状况" localSheetId="19">'[1]比较法-商业'!$B$86:$M$86</definedName>
    <definedName name="商业临街状况">'比较法（商业1）'!$B$86:$M$86</definedName>
    <definedName name="商业楼层" localSheetId="19">'[1]比较法-商业'!$B$92:$M$92</definedName>
    <definedName name="商业楼层">'比较法（商业1）'!$B$92:$M$92</definedName>
    <definedName name="商业内部装修" localSheetId="19">'[1]比较法-商业'!$B$122:$M$122</definedName>
    <definedName name="商业内部装修">'比较法（商业1）'!$B$122:$M$122</definedName>
    <definedName name="商业人流量" localSheetId="19">'[1]比较法-商业'!$B$90:$M$90</definedName>
    <definedName name="商业人流量">'比较法（商业1）'!$B$90:$M$90</definedName>
    <definedName name="商业业态" localSheetId="19">'[1]比较法-商业'!$B$114:$M$114</definedName>
    <definedName name="商业业态">'比较法（商业1）'!$B$114:$M$114</definedName>
    <definedName name="商业用途" localSheetId="19">'[1]比较法-商业'!$B$63:$M$63</definedName>
    <definedName name="商业用途">'比较法（商业1）'!$B$63:$M$63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10" i="1" l="1"/>
  <c r="N9" i="1"/>
  <c r="AM11" i="1"/>
  <c r="AL11" i="1"/>
  <c r="AK11" i="1"/>
  <c r="W11" i="1"/>
  <c r="V11" i="1"/>
  <c r="Q11" i="1"/>
  <c r="J11" i="1"/>
  <c r="I11" i="1"/>
  <c r="H11" i="1"/>
  <c r="F38" i="84"/>
  <c r="E37" i="84"/>
  <c r="F36" i="84"/>
  <c r="F35" i="84"/>
  <c r="F21" i="84"/>
  <c r="F20" i="84"/>
  <c r="E10" i="84"/>
  <c r="E9" i="84"/>
  <c r="F7"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F113" i="82"/>
  <c r="N99" i="82"/>
  <c r="N108" i="82" s="1"/>
  <c r="M99" i="82"/>
  <c r="L99" i="82"/>
  <c r="L108" i="82" s="1"/>
  <c r="K99" i="82"/>
  <c r="J99" i="82"/>
  <c r="J108" i="82" s="1"/>
  <c r="I99" i="82"/>
  <c r="H99" i="82"/>
  <c r="H108" i="82" s="1"/>
  <c r="G99" i="82"/>
  <c r="F99" i="82"/>
  <c r="F108" i="82" s="1"/>
  <c r="E99" i="82"/>
  <c r="D99" i="82"/>
  <c r="D108" i="82" s="1"/>
  <c r="C99" i="82"/>
  <c r="M88" i="82"/>
  <c r="N88" i="82" s="1"/>
  <c r="K88" i="82"/>
  <c r="J88" i="82" s="1"/>
  <c r="D88" i="82"/>
  <c r="N87" i="82"/>
  <c r="M87" i="82"/>
  <c r="K87" i="82"/>
  <c r="J87" i="82" s="1"/>
  <c r="D87" i="82"/>
  <c r="N86" i="82"/>
  <c r="M86" i="82"/>
  <c r="K86" i="82"/>
  <c r="J86" i="82" s="1"/>
  <c r="D86" i="82"/>
  <c r="N85" i="82"/>
  <c r="M85" i="82"/>
  <c r="K85" i="82"/>
  <c r="J85" i="82" s="1"/>
  <c r="D85" i="82"/>
  <c r="M84" i="82"/>
  <c r="N84" i="82" s="1"/>
  <c r="K84" i="82"/>
  <c r="J84" i="82" s="1"/>
  <c r="D84" i="82"/>
  <c r="B84" i="82"/>
  <c r="N83" i="82"/>
  <c r="M83" i="82"/>
  <c r="K83" i="82"/>
  <c r="J83" i="82" s="1"/>
  <c r="D83" i="82"/>
  <c r="B83" i="82"/>
  <c r="M82" i="82"/>
  <c r="N82" i="82" s="1"/>
  <c r="K82" i="82"/>
  <c r="J82" i="82" s="1"/>
  <c r="D82" i="82"/>
  <c r="N81" i="82"/>
  <c r="M81" i="82"/>
  <c r="K81" i="82"/>
  <c r="J81" i="82" s="1"/>
  <c r="F81" i="82"/>
  <c r="H87" i="82" s="1"/>
  <c r="D81" i="82"/>
  <c r="E81" i="82" s="1"/>
  <c r="B79" i="82" s="1"/>
  <c r="N78" i="82"/>
  <c r="M78" i="82"/>
  <c r="K78" i="82"/>
  <c r="J78" i="82" s="1"/>
  <c r="D78" i="82"/>
  <c r="M77" i="82"/>
  <c r="N77" i="82" s="1"/>
  <c r="K77" i="82"/>
  <c r="J77" i="82"/>
  <c r="D77" i="82"/>
  <c r="M76" i="82"/>
  <c r="N76" i="82" s="1"/>
  <c r="K76" i="82"/>
  <c r="J76" i="82" s="1"/>
  <c r="D76" i="82"/>
  <c r="M75" i="82"/>
  <c r="N75" i="82" s="1"/>
  <c r="K75" i="82"/>
  <c r="J75" i="82" s="1"/>
  <c r="D75" i="82"/>
  <c r="N74" i="82"/>
  <c r="M74" i="82"/>
  <c r="K74" i="82"/>
  <c r="J74" i="82" s="1"/>
  <c r="D74" i="82"/>
  <c r="M73" i="82"/>
  <c r="N73" i="82" s="1"/>
  <c r="K73" i="82"/>
  <c r="J73" i="82" s="1"/>
  <c r="D73" i="82"/>
  <c r="N72" i="82"/>
  <c r="M72" i="82"/>
  <c r="K72" i="82"/>
  <c r="J72" i="82" s="1"/>
  <c r="D72" i="82"/>
  <c r="B72" i="82"/>
  <c r="M71" i="82"/>
  <c r="N71" i="82" s="1"/>
  <c r="K71" i="82"/>
  <c r="J71" i="82" s="1"/>
  <c r="D71" i="82"/>
  <c r="N70" i="82"/>
  <c r="M70" i="82"/>
  <c r="K70" i="82"/>
  <c r="J70" i="82" s="1"/>
  <c r="F70" i="82"/>
  <c r="H76" i="82" s="1"/>
  <c r="D70" i="82"/>
  <c r="M67" i="82"/>
  <c r="N67" i="82" s="1"/>
  <c r="K67" i="82"/>
  <c r="J67" i="82" s="1"/>
  <c r="D67" i="82"/>
  <c r="N66" i="82"/>
  <c r="M66" i="82"/>
  <c r="K66" i="82"/>
  <c r="J66" i="82" s="1"/>
  <c r="D66" i="82"/>
  <c r="M65" i="82"/>
  <c r="N65" i="82" s="1"/>
  <c r="K65" i="82"/>
  <c r="J65" i="82" s="1"/>
  <c r="D65" i="82"/>
  <c r="N64" i="82"/>
  <c r="M64" i="82"/>
  <c r="K64" i="82"/>
  <c r="J64" i="82" s="1"/>
  <c r="D64" i="82"/>
  <c r="N63" i="82"/>
  <c r="M63" i="82"/>
  <c r="K63" i="82"/>
  <c r="J63" i="82" s="1"/>
  <c r="D63" i="82"/>
  <c r="M62" i="82"/>
  <c r="N62" i="82" s="1"/>
  <c r="K62" i="82"/>
  <c r="J62" i="82" s="1"/>
  <c r="D62" i="82"/>
  <c r="M61" i="82"/>
  <c r="N61" i="82" s="1"/>
  <c r="K61" i="82"/>
  <c r="J61" i="82" s="1"/>
  <c r="D61" i="82"/>
  <c r="B61" i="82"/>
  <c r="N60" i="82"/>
  <c r="M60" i="82"/>
  <c r="K60" i="82"/>
  <c r="J60" i="82" s="1"/>
  <c r="D60" i="82"/>
  <c r="M59" i="82"/>
  <c r="N59" i="82" s="1"/>
  <c r="K59" i="82"/>
  <c r="J59" i="82" s="1"/>
  <c r="F59" i="82"/>
  <c r="H66" i="82" s="1"/>
  <c r="D59" i="82"/>
  <c r="M56" i="82"/>
  <c r="N56" i="82" s="1"/>
  <c r="K56" i="82"/>
  <c r="J56" i="82" s="1"/>
  <c r="D56" i="82"/>
  <c r="N55" i="82"/>
  <c r="M55" i="82"/>
  <c r="K55" i="82"/>
  <c r="J55" i="82" s="1"/>
  <c r="M54" i="82"/>
  <c r="N54" i="82" s="1"/>
  <c r="K54" i="82"/>
  <c r="J54" i="82"/>
  <c r="D54" i="82"/>
  <c r="M53" i="82"/>
  <c r="N53" i="82" s="1"/>
  <c r="K53" i="82"/>
  <c r="J53" i="82" s="1"/>
  <c r="N52" i="82"/>
  <c r="M52" i="82"/>
  <c r="K52" i="82"/>
  <c r="J52" i="82" s="1"/>
  <c r="D52" i="82"/>
  <c r="M51" i="82"/>
  <c r="N51" i="82" s="1"/>
  <c r="K51" i="82"/>
  <c r="J51" i="82" s="1"/>
  <c r="D51" i="82"/>
  <c r="M50" i="82"/>
  <c r="N50" i="82" s="1"/>
  <c r="K50" i="82"/>
  <c r="J50" i="82" s="1"/>
  <c r="D50" i="82"/>
  <c r="B50" i="82"/>
  <c r="N49" i="82"/>
  <c r="M49" i="82"/>
  <c r="K49" i="82"/>
  <c r="J49" i="82" s="1"/>
  <c r="D49" i="82"/>
  <c r="M48" i="82"/>
  <c r="N48" i="82" s="1"/>
  <c r="K48" i="82"/>
  <c r="J48" i="82" s="1"/>
  <c r="D48" i="82"/>
  <c r="B48" i="82"/>
  <c r="H39" i="82"/>
  <c r="H38" i="82"/>
  <c r="H37" i="82"/>
  <c r="H36" i="82"/>
  <c r="H35" i="82"/>
  <c r="H34" i="82"/>
  <c r="H33" i="82"/>
  <c r="J20" i="82"/>
  <c r="I19" i="82"/>
  <c r="C18" i="82"/>
  <c r="F15" i="82"/>
  <c r="E15" i="82"/>
  <c r="D15" i="82"/>
  <c r="C15" i="82"/>
  <c r="AH12" i="82"/>
  <c r="AD12" i="82"/>
  <c r="Z12" i="82"/>
  <c r="Y12" i="82"/>
  <c r="Y10" i="82"/>
  <c r="C10" i="82"/>
  <c r="C11" i="82" s="1"/>
  <c r="E8" i="82" s="1"/>
  <c r="AJ9" i="82"/>
  <c r="AJ10" i="82" s="1"/>
  <c r="AI9" i="82"/>
  <c r="AI12" i="82" s="1"/>
  <c r="AH9" i="82"/>
  <c r="AH10" i="82" s="1"/>
  <c r="AG9" i="82"/>
  <c r="AG12" i="82" s="1"/>
  <c r="AF9" i="82"/>
  <c r="AF10" i="82" s="1"/>
  <c r="AE9" i="82"/>
  <c r="AE12" i="82" s="1"/>
  <c r="AD9" i="82"/>
  <c r="AD10" i="82" s="1"/>
  <c r="AC9" i="82"/>
  <c r="AC12" i="82" s="1"/>
  <c r="AB9" i="82"/>
  <c r="AB10" i="82" s="1"/>
  <c r="AA9" i="82"/>
  <c r="AA12" i="82" s="1"/>
  <c r="Z9" i="82"/>
  <c r="Z10" i="82" s="1"/>
  <c r="C9" i="82"/>
  <c r="C7" i="82"/>
  <c r="A7" i="82"/>
  <c r="I2" i="82"/>
  <c r="N12" i="82" s="1"/>
  <c r="G2" i="82"/>
  <c r="N17" i="82" s="1"/>
  <c r="D1" i="82"/>
  <c r="E2" i="84"/>
  <c r="N1" i="82" l="1"/>
  <c r="M4" i="82"/>
  <c r="N6" i="82"/>
  <c r="AC10" i="82"/>
  <c r="M1" i="82"/>
  <c r="M2" i="82"/>
  <c r="N3" i="82"/>
  <c r="N5" i="82"/>
  <c r="M7" i="82"/>
  <c r="M8" i="82"/>
  <c r="AG10" i="82"/>
  <c r="AB12" i="82"/>
  <c r="AF12" i="82"/>
  <c r="AJ12" i="82"/>
  <c r="C12" i="82"/>
  <c r="E59" i="82"/>
  <c r="B57" i="82" s="1"/>
  <c r="E70" i="82"/>
  <c r="B68" i="82" s="1"/>
  <c r="H70" i="82"/>
  <c r="H81" i="82"/>
  <c r="C21" i="84"/>
  <c r="C40" i="84"/>
  <c r="J51" i="83"/>
  <c r="P61" i="83"/>
  <c r="N9" i="82"/>
  <c r="M10" i="82"/>
  <c r="E11" i="82"/>
  <c r="E10" i="82"/>
  <c r="J17" i="82"/>
  <c r="H113" i="82"/>
  <c r="F48" i="82"/>
  <c r="F39" i="82"/>
  <c r="F38" i="82"/>
  <c r="F37" i="82"/>
  <c r="F36" i="82"/>
  <c r="F35" i="82"/>
  <c r="F34" i="82"/>
  <c r="F33" i="82"/>
  <c r="O17" i="82"/>
  <c r="M17" i="82"/>
  <c r="K17" i="82"/>
  <c r="I17" i="82"/>
  <c r="D17" i="82"/>
  <c r="M12" i="82"/>
  <c r="N11" i="82"/>
  <c r="N10" i="82"/>
  <c r="M9" i="82"/>
  <c r="C6" i="82" s="1"/>
  <c r="N2" i="82"/>
  <c r="M3" i="82"/>
  <c r="N4" i="82"/>
  <c r="M5" i="82"/>
  <c r="M6" i="82"/>
  <c r="N7" i="82"/>
  <c r="X7" i="82"/>
  <c r="N8" i="82"/>
  <c r="E9" i="82"/>
  <c r="AA10" i="82"/>
  <c r="AE10" i="82"/>
  <c r="AI10" i="82"/>
  <c r="M11" i="82"/>
  <c r="C17" i="82"/>
  <c r="H17" i="82"/>
  <c r="L17" i="82"/>
  <c r="D53" i="82"/>
  <c r="E48" i="82" s="1"/>
  <c r="B46" i="82" s="1"/>
  <c r="C24" i="82" s="1"/>
  <c r="D55" i="82"/>
  <c r="H59" i="82"/>
  <c r="H61" i="82"/>
  <c r="H62" i="82"/>
  <c r="H65" i="82"/>
  <c r="H67" i="82"/>
  <c r="H72" i="82"/>
  <c r="H74" i="82"/>
  <c r="H77" i="82"/>
  <c r="H78"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D100" i="82"/>
  <c r="H100" i="82"/>
  <c r="L100" i="82"/>
  <c r="F1" i="77"/>
  <c r="D5" i="9"/>
  <c r="G1" i="77" s="1"/>
  <c r="B28" i="31"/>
  <c r="B27" i="31"/>
  <c r="B26" i="31"/>
  <c r="B25" i="31"/>
  <c r="B24" i="31"/>
  <c r="Y8" i="1"/>
  <c r="Y6" i="1"/>
  <c r="F38" i="81"/>
  <c r="E37" i="81"/>
  <c r="F36" i="81"/>
  <c r="F35" i="81"/>
  <c r="F21" i="81"/>
  <c r="F20" i="81"/>
  <c r="E10" i="81"/>
  <c r="E9" i="81"/>
  <c r="C8" i="81"/>
  <c r="F7" i="81"/>
  <c r="H1" i="81"/>
  <c r="Q72" i="80"/>
  <c r="Q59" i="80"/>
  <c r="K59" i="80"/>
  <c r="P74" i="80" s="1"/>
  <c r="F59" i="80"/>
  <c r="Q58" i="80"/>
  <c r="Q51" i="80"/>
  <c r="J50" i="80"/>
  <c r="M47" i="80"/>
  <c r="D46" i="80"/>
  <c r="F33" i="80"/>
  <c r="F61" i="80" s="1"/>
  <c r="F31" i="80"/>
  <c r="F23" i="80"/>
  <c r="D24" i="80" s="1"/>
  <c r="D22" i="80"/>
  <c r="F21" i="80"/>
  <c r="F20" i="80"/>
  <c r="M19" i="80"/>
  <c r="F18" i="80"/>
  <c r="M17" i="80"/>
  <c r="F17" i="80"/>
  <c r="F15" i="80"/>
  <c r="AM8" i="1"/>
  <c r="AL8" i="1"/>
  <c r="AK8" i="1"/>
  <c r="C33" i="33"/>
  <c r="C6" i="33"/>
  <c r="C6" i="34" s="1"/>
  <c r="AH6" i="1"/>
  <c r="J8" i="1"/>
  <c r="I8" i="1"/>
  <c r="H8" i="1"/>
  <c r="F113" i="78"/>
  <c r="N99" i="78"/>
  <c r="M99" i="78"/>
  <c r="L99" i="78"/>
  <c r="K99" i="78"/>
  <c r="J99" i="78"/>
  <c r="I99" i="78"/>
  <c r="H99" i="78"/>
  <c r="G99" i="78"/>
  <c r="F99" i="78"/>
  <c r="E99" i="78"/>
  <c r="D99" i="78"/>
  <c r="D108" i="78" s="1"/>
  <c r="C99" i="78"/>
  <c r="C108" i="78" s="1"/>
  <c r="M88" i="78"/>
  <c r="N88" i="78" s="1"/>
  <c r="K88" i="78"/>
  <c r="J88" i="78" s="1"/>
  <c r="D88" i="78"/>
  <c r="N87" i="78"/>
  <c r="M87" i="78"/>
  <c r="K87" i="78"/>
  <c r="J87" i="78" s="1"/>
  <c r="D87" i="78"/>
  <c r="N86" i="78"/>
  <c r="M86" i="78"/>
  <c r="K86" i="78"/>
  <c r="J86" i="78" s="1"/>
  <c r="D86" i="78"/>
  <c r="M85" i="78"/>
  <c r="N85" i="78" s="1"/>
  <c r="K85" i="78"/>
  <c r="J85" i="78" s="1"/>
  <c r="D85" i="78"/>
  <c r="M84" i="78"/>
  <c r="N84" i="78" s="1"/>
  <c r="K84" i="78"/>
  <c r="J84" i="78" s="1"/>
  <c r="D84" i="78"/>
  <c r="B84" i="78"/>
  <c r="N83" i="78"/>
  <c r="M83" i="78"/>
  <c r="K83" i="78"/>
  <c r="J83" i="78" s="1"/>
  <c r="D83" i="78"/>
  <c r="B83" i="78"/>
  <c r="M82" i="78"/>
  <c r="N82" i="78" s="1"/>
  <c r="K82" i="78"/>
  <c r="J82" i="78" s="1"/>
  <c r="D82" i="78"/>
  <c r="N81" i="78"/>
  <c r="M81" i="78"/>
  <c r="K81" i="78"/>
  <c r="J81" i="78" s="1"/>
  <c r="F81" i="78"/>
  <c r="H87" i="78" s="1"/>
  <c r="E81" i="78"/>
  <c r="B79" i="78" s="1"/>
  <c r="D81" i="78"/>
  <c r="M78" i="78"/>
  <c r="N78" i="78" s="1"/>
  <c r="K78" i="78"/>
  <c r="J78" i="78" s="1"/>
  <c r="D78" i="78"/>
  <c r="M77" i="78"/>
  <c r="N77" i="78" s="1"/>
  <c r="K77" i="78"/>
  <c r="J77" i="78" s="1"/>
  <c r="D77" i="78"/>
  <c r="M76" i="78"/>
  <c r="N76" i="78" s="1"/>
  <c r="K76" i="78"/>
  <c r="J76" i="78" s="1"/>
  <c r="D76" i="78"/>
  <c r="M75" i="78"/>
  <c r="N75" i="78" s="1"/>
  <c r="K75" i="78"/>
  <c r="J75" i="78" s="1"/>
  <c r="D75" i="78"/>
  <c r="M74" i="78"/>
  <c r="N74" i="78" s="1"/>
  <c r="K74" i="78"/>
  <c r="J74" i="78" s="1"/>
  <c r="D74" i="78"/>
  <c r="M73" i="78"/>
  <c r="N73" i="78" s="1"/>
  <c r="K73" i="78"/>
  <c r="J73" i="78" s="1"/>
  <c r="D73" i="78"/>
  <c r="M72" i="78"/>
  <c r="N72" i="78" s="1"/>
  <c r="K72" i="78"/>
  <c r="J72" i="78" s="1"/>
  <c r="D72" i="78"/>
  <c r="B72" i="78"/>
  <c r="N71" i="78"/>
  <c r="M71" i="78"/>
  <c r="K71" i="78"/>
  <c r="J71" i="78" s="1"/>
  <c r="D71" i="78"/>
  <c r="N70" i="78"/>
  <c r="M70" i="78"/>
  <c r="K70" i="78"/>
  <c r="J70" i="78" s="1"/>
  <c r="F70" i="78"/>
  <c r="H76" i="78" s="1"/>
  <c r="D70" i="78"/>
  <c r="E70" i="78" s="1"/>
  <c r="B68" i="78" s="1"/>
  <c r="M67" i="78"/>
  <c r="N67" i="78" s="1"/>
  <c r="K67" i="78"/>
  <c r="J67" i="78"/>
  <c r="D67" i="78"/>
  <c r="M66" i="78"/>
  <c r="N66" i="78" s="1"/>
  <c r="K66" i="78"/>
  <c r="J66" i="78" s="1"/>
  <c r="D66" i="78"/>
  <c r="M65" i="78"/>
  <c r="N65" i="78" s="1"/>
  <c r="K65" i="78"/>
  <c r="J65" i="78" s="1"/>
  <c r="D65" i="78"/>
  <c r="M64" i="78"/>
  <c r="N64" i="78" s="1"/>
  <c r="K64" i="78"/>
  <c r="J64" i="78" s="1"/>
  <c r="D64" i="78" s="1"/>
  <c r="M63" i="78"/>
  <c r="N63" i="78" s="1"/>
  <c r="K63" i="78"/>
  <c r="J63" i="78" s="1"/>
  <c r="D63" i="78"/>
  <c r="M62" i="78"/>
  <c r="N62" i="78" s="1"/>
  <c r="K62" i="78"/>
  <c r="J62" i="78" s="1"/>
  <c r="D62" i="78"/>
  <c r="M61" i="78"/>
  <c r="N61" i="78" s="1"/>
  <c r="K61" i="78"/>
  <c r="J61" i="78"/>
  <c r="D61" i="78"/>
  <c r="B61" i="78"/>
  <c r="M60" i="78"/>
  <c r="N60" i="78" s="1"/>
  <c r="K60" i="78"/>
  <c r="J60" i="78" s="1"/>
  <c r="D60" i="78"/>
  <c r="M59" i="78"/>
  <c r="N59" i="78" s="1"/>
  <c r="K59" i="78"/>
  <c r="J59" i="78"/>
  <c r="D59" i="78"/>
  <c r="M56" i="78"/>
  <c r="N56" i="78" s="1"/>
  <c r="K56" i="78"/>
  <c r="J56" i="78"/>
  <c r="D56" i="78"/>
  <c r="N55" i="78"/>
  <c r="M55" i="78"/>
  <c r="K55" i="78"/>
  <c r="J55" i="78" s="1"/>
  <c r="D55" i="78"/>
  <c r="M54" i="78"/>
  <c r="N54" i="78" s="1"/>
  <c r="K54" i="78"/>
  <c r="J54" i="78"/>
  <c r="D54" i="78"/>
  <c r="N53" i="78"/>
  <c r="M53" i="78"/>
  <c r="K53" i="78"/>
  <c r="J53" i="78" s="1"/>
  <c r="D53" i="78"/>
  <c r="N52" i="78"/>
  <c r="M52" i="78"/>
  <c r="K52" i="78"/>
  <c r="J52" i="78" s="1"/>
  <c r="D52" i="78"/>
  <c r="M51" i="78"/>
  <c r="N51" i="78" s="1"/>
  <c r="K51" i="78"/>
  <c r="J51" i="78"/>
  <c r="D51" i="78"/>
  <c r="M50" i="78"/>
  <c r="N50" i="78" s="1"/>
  <c r="K50" i="78"/>
  <c r="J50" i="78"/>
  <c r="D50" i="78"/>
  <c r="B50" i="78"/>
  <c r="M49" i="78"/>
  <c r="N49" i="78" s="1"/>
  <c r="K49" i="78"/>
  <c r="J49" i="78" s="1"/>
  <c r="D49" i="78"/>
  <c r="M48" i="78"/>
  <c r="N48" i="78" s="1"/>
  <c r="K48" i="78"/>
  <c r="J48" i="78" s="1"/>
  <c r="D48" i="78"/>
  <c r="E48" i="78" s="1"/>
  <c r="B46" i="78" s="1"/>
  <c r="B48" i="78"/>
  <c r="H39" i="78"/>
  <c r="H38" i="78"/>
  <c r="H37" i="78"/>
  <c r="H36" i="78"/>
  <c r="H35" i="78"/>
  <c r="H34" i="78"/>
  <c r="H33" i="78"/>
  <c r="J20" i="78"/>
  <c r="I19" i="78"/>
  <c r="C18" i="78"/>
  <c r="F15" i="78"/>
  <c r="E15" i="78"/>
  <c r="D15" i="78"/>
  <c r="C15" i="78"/>
  <c r="C12" i="78" s="1"/>
  <c r="Y12"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C7" i="78"/>
  <c r="A7" i="78"/>
  <c r="I2" i="78"/>
  <c r="N12" i="78" s="1"/>
  <c r="G2" i="78"/>
  <c r="H113" i="78" s="1"/>
  <c r="N1" i="78"/>
  <c r="D1" i="78"/>
  <c r="E2" i="81"/>
  <c r="AC12" i="78" l="1"/>
  <c r="AG12" i="78"/>
  <c r="AA12" i="78"/>
  <c r="AE12" i="78"/>
  <c r="AI12" i="78"/>
  <c r="D23" i="80"/>
  <c r="G17" i="82"/>
  <c r="H55" i="82"/>
  <c r="H53" i="82"/>
  <c r="H52" i="82"/>
  <c r="H49" i="82"/>
  <c r="H56" i="82"/>
  <c r="H54" i="82"/>
  <c r="H51" i="82"/>
  <c r="H50" i="82"/>
  <c r="H48" i="82"/>
  <c r="E59" i="78"/>
  <c r="B57" i="78" s="1"/>
  <c r="C24" i="78"/>
  <c r="C21" i="81"/>
  <c r="C40" i="81"/>
  <c r="J51" i="80"/>
  <c r="P61" i="80"/>
  <c r="M4" i="78"/>
  <c r="N6" i="78"/>
  <c r="M8" i="78"/>
  <c r="M9" i="78"/>
  <c r="M12" i="78"/>
  <c r="M1" i="78"/>
  <c r="M2" i="78"/>
  <c r="N3" i="78"/>
  <c r="N5" i="78"/>
  <c r="M7" i="78"/>
  <c r="N10" i="78"/>
  <c r="N11" i="78"/>
  <c r="H70" i="78"/>
  <c r="H81" i="78"/>
  <c r="E11" i="78"/>
  <c r="E9" i="78"/>
  <c r="E8" i="78"/>
  <c r="E10" i="78"/>
  <c r="C6" i="78"/>
  <c r="D17" i="78"/>
  <c r="I17" i="78"/>
  <c r="K17" i="78"/>
  <c r="M17" i="78"/>
  <c r="O17" i="78"/>
  <c r="N2" i="78"/>
  <c r="M3" i="78"/>
  <c r="N4" i="78"/>
  <c r="M5" i="78"/>
  <c r="M6" i="78"/>
  <c r="N7" i="78"/>
  <c r="X7" i="78"/>
  <c r="N8" i="78"/>
  <c r="N9" i="78"/>
  <c r="F59" i="78" s="1"/>
  <c r="M10" i="78"/>
  <c r="M11" i="78"/>
  <c r="Z12" i="78"/>
  <c r="AB12" i="78"/>
  <c r="AD12" i="78"/>
  <c r="AF12" i="78"/>
  <c r="AH12" i="78"/>
  <c r="AJ12" i="78"/>
  <c r="C17" i="78"/>
  <c r="H17" i="78"/>
  <c r="J17" i="78"/>
  <c r="L17" i="78"/>
  <c r="N17" i="78"/>
  <c r="F33" i="78"/>
  <c r="F35" i="78"/>
  <c r="F37" i="78"/>
  <c r="F39" i="78"/>
  <c r="F48" i="78"/>
  <c r="F34" i="78"/>
  <c r="F36" i="78"/>
  <c r="F38" i="78"/>
  <c r="H72" i="78"/>
  <c r="H74" i="78"/>
  <c r="H77" i="78"/>
  <c r="H78" i="78"/>
  <c r="H83" i="78"/>
  <c r="H85" i="78"/>
  <c r="H88" i="78"/>
  <c r="F108" i="78"/>
  <c r="F100" i="78"/>
  <c r="H108" i="78"/>
  <c r="H100" i="78"/>
  <c r="J108" i="78"/>
  <c r="J100" i="78"/>
  <c r="L108" i="78"/>
  <c r="L100" i="78"/>
  <c r="N108" i="78"/>
  <c r="N100" i="78"/>
  <c r="D100" i="78"/>
  <c r="H71" i="78"/>
  <c r="H73" i="78"/>
  <c r="H75" i="78"/>
  <c r="H82" i="78"/>
  <c r="H84" i="78"/>
  <c r="H86" i="78"/>
  <c r="E108" i="78"/>
  <c r="E100" i="78"/>
  <c r="G108" i="78"/>
  <c r="G100" i="78"/>
  <c r="I108" i="78"/>
  <c r="I100" i="78"/>
  <c r="K108" i="78"/>
  <c r="K100" i="78"/>
  <c r="M108" i="78"/>
  <c r="M100" i="78"/>
  <c r="C100" i="78"/>
  <c r="C8" i="84" l="1"/>
  <c r="H66" i="78"/>
  <c r="H61" i="78"/>
  <c r="H65" i="78"/>
  <c r="H63" i="78"/>
  <c r="H59" i="78"/>
  <c r="H62" i="78"/>
  <c r="H67" i="78"/>
  <c r="H60" i="78"/>
  <c r="H64" i="78"/>
  <c r="H55" i="78"/>
  <c r="H53" i="78"/>
  <c r="H52" i="78"/>
  <c r="H56" i="78"/>
  <c r="H54" i="78"/>
  <c r="H51" i="78"/>
  <c r="H50" i="78"/>
  <c r="H48" i="78"/>
  <c r="H49" i="78"/>
  <c r="G17" i="78"/>
  <c r="AH5" i="71"/>
  <c r="AG5" i="71"/>
  <c r="AE5" i="71"/>
  <c r="AF5" i="71" s="1"/>
  <c r="AD5" i="71"/>
  <c r="Q5" i="71"/>
  <c r="P5" i="71"/>
  <c r="O5" i="71"/>
  <c r="N5" i="71"/>
  <c r="D8" i="77" l="1"/>
  <c r="E7" i="77"/>
  <c r="D7" i="77"/>
  <c r="B7" i="77"/>
  <c r="E6" i="77"/>
  <c r="D6" i="77"/>
  <c r="B6" i="77"/>
  <c r="E5" i="77"/>
  <c r="D5" i="77"/>
  <c r="E4" i="77"/>
  <c r="D4" i="77"/>
  <c r="B4" i="77"/>
  <c r="A1" i="77"/>
  <c r="B3" i="4"/>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H13" i="3"/>
  <c r="F19" i="6" s="1"/>
  <c r="H14" i="3"/>
  <c r="F20" i="6" s="1"/>
  <c r="H15" i="3"/>
  <c r="F21" i="6" s="1"/>
  <c r="H16" i="3"/>
  <c r="F22" i="6" s="1"/>
  <c r="H17" i="3"/>
  <c r="F23" i="6" s="1"/>
  <c r="H18" i="3"/>
  <c r="F24" i="6" s="1"/>
  <c r="AD14" i="71"/>
  <c r="AG14" i="71"/>
  <c r="AH14" i="71"/>
  <c r="AE14" i="71"/>
  <c r="AF14" i="71" s="1"/>
  <c r="N14" i="71"/>
  <c r="Q14" i="71"/>
  <c r="P14" i="71"/>
  <c r="O14" i="71"/>
  <c r="Q15" i="71"/>
  <c r="F14" i="71"/>
  <c r="F13" i="71" s="1"/>
  <c r="F12" i="71" s="1"/>
  <c r="P15" i="71"/>
  <c r="E14" i="71"/>
  <c r="E13" i="71" s="1"/>
  <c r="E12" i="71" s="1"/>
  <c r="O15" i="71"/>
  <c r="N15" i="71"/>
  <c r="V14"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C58" i="71"/>
  <c r="B58" i="71"/>
  <c r="S58" i="71"/>
  <c r="B57" i="71"/>
  <c r="N57" i="71" s="1"/>
  <c r="D55" i="71"/>
  <c r="Q54" i="71"/>
  <c r="P54" i="71"/>
  <c r="O54" i="71"/>
  <c r="N54" i="71"/>
  <c r="Q53" i="71"/>
  <c r="P53" i="71"/>
  <c r="O53" i="71"/>
  <c r="N53" i="71"/>
  <c r="Q52" i="71"/>
  <c r="P52" i="71"/>
  <c r="O52" i="71"/>
  <c r="N52" i="71"/>
  <c r="Q51" i="71"/>
  <c r="F52" i="71" s="1"/>
  <c r="F53" i="71"/>
  <c r="F54" i="71" s="1"/>
  <c r="V54" i="71" s="1"/>
  <c r="P51" i="71"/>
  <c r="E52" i="71"/>
  <c r="O51" i="71"/>
  <c r="C52" i="71"/>
  <c r="C53" i="71" s="1"/>
  <c r="N51" i="71"/>
  <c r="B52" i="71"/>
  <c r="B53" i="71" s="1"/>
  <c r="B54" i="71"/>
  <c r="S54" i="71" s="1"/>
  <c r="D51" i="71"/>
  <c r="Q50" i="71"/>
  <c r="P50" i="71"/>
  <c r="O50" i="71"/>
  <c r="N50" i="71"/>
  <c r="Q49" i="71"/>
  <c r="P49" i="71"/>
  <c r="O49" i="71"/>
  <c r="N49" i="71"/>
  <c r="Q48" i="71"/>
  <c r="P48" i="71"/>
  <c r="O48" i="71"/>
  <c r="N48" i="71"/>
  <c r="Q47" i="71"/>
  <c r="F48" i="71"/>
  <c r="F49" i="71" s="1"/>
  <c r="F50" i="71"/>
  <c r="V50" i="71" s="1"/>
  <c r="P47" i="71"/>
  <c r="E48" i="71" s="1"/>
  <c r="E49" i="71" s="1"/>
  <c r="O47" i="71"/>
  <c r="C48" i="71" s="1"/>
  <c r="C49" i="71" s="1"/>
  <c r="N47" i="71"/>
  <c r="B48" i="71" s="1"/>
  <c r="B49" i="71"/>
  <c r="B50" i="71" s="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c r="B45" i="71" s="1"/>
  <c r="B46" i="71" s="1"/>
  <c r="S46" i="71" s="1"/>
  <c r="D43" i="71"/>
  <c r="Q42" i="71"/>
  <c r="P42" i="71"/>
  <c r="O42" i="71"/>
  <c r="N42" i="71"/>
  <c r="Q41" i="71"/>
  <c r="P41" i="71"/>
  <c r="O41" i="71"/>
  <c r="N41" i="71"/>
  <c r="Q40" i="71"/>
  <c r="P40" i="71"/>
  <c r="O40" i="71"/>
  <c r="N40" i="71"/>
  <c r="Q39" i="71"/>
  <c r="F40" i="71"/>
  <c r="F41" i="71" s="1"/>
  <c r="P39" i="71"/>
  <c r="E40" i="71"/>
  <c r="E41" i="71" s="1"/>
  <c r="E42" i="71" s="1"/>
  <c r="U42" i="71" s="1"/>
  <c r="O39" i="71"/>
  <c r="C40" i="71" s="1"/>
  <c r="C41" i="71" s="1"/>
  <c r="N39" i="71"/>
  <c r="B40" i="71" s="1"/>
  <c r="B41" i="7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c r="E33" i="71" s="1"/>
  <c r="E34" i="71" s="1"/>
  <c r="U34" i="71" s="1"/>
  <c r="O31" i="71"/>
  <c r="C32" i="71" s="1"/>
  <c r="D32" i="71" s="1"/>
  <c r="N31" i="71"/>
  <c r="B32" i="71" s="1"/>
  <c r="B33" i="71"/>
  <c r="B34" i="71" s="1"/>
  <c r="S34" i="71" s="1"/>
  <c r="D31" i="71"/>
  <c r="Q30" i="71"/>
  <c r="P30" i="71"/>
  <c r="O30" i="71"/>
  <c r="N30" i="71"/>
  <c r="AB29" i="71"/>
  <c r="Q29" i="71"/>
  <c r="P29" i="71"/>
  <c r="O29" i="71"/>
  <c r="Y29" i="71" s="1"/>
  <c r="Z29" i="71" s="1"/>
  <c r="N29" i="71"/>
  <c r="X29" i="71"/>
  <c r="Q28" i="71"/>
  <c r="AB28" i="71"/>
  <c r="P28" i="71"/>
  <c r="O28" i="71"/>
  <c r="N28" i="71"/>
  <c r="Q27" i="71"/>
  <c r="F28" i="71" s="1"/>
  <c r="F29" i="71" s="1"/>
  <c r="F30" i="71" s="1"/>
  <c r="V30" i="71" s="1"/>
  <c r="P27" i="71"/>
  <c r="O27" i="71"/>
  <c r="C28" i="71" s="1"/>
  <c r="D28" i="71" s="1"/>
  <c r="N27" i="71"/>
  <c r="D27" i="71"/>
  <c r="Q26" i="71"/>
  <c r="AB26" i="71"/>
  <c r="P26" i="71"/>
  <c r="O26" i="71"/>
  <c r="Y26" i="71" s="1"/>
  <c r="Z26" i="71" s="1"/>
  <c r="N26" i="71"/>
  <c r="Q25" i="71"/>
  <c r="P25" i="71"/>
  <c r="O25" i="71"/>
  <c r="Y25" i="71"/>
  <c r="Z25" i="71" s="1"/>
  <c r="N25" i="71"/>
  <c r="Q24" i="71"/>
  <c r="AB24" i="71"/>
  <c r="P24" i="71"/>
  <c r="O24" i="71"/>
  <c r="N24" i="71"/>
  <c r="Q23" i="71"/>
  <c r="F24" i="71" s="1"/>
  <c r="F25" i="71" s="1"/>
  <c r="F26" i="71" s="1"/>
  <c r="V26" i="71" s="1"/>
  <c r="P23" i="71"/>
  <c r="O23" i="71"/>
  <c r="N23" i="71"/>
  <c r="D23" i="71"/>
  <c r="Q22" i="71"/>
  <c r="AB22" i="71"/>
  <c r="P22" i="71"/>
  <c r="O22" i="71"/>
  <c r="Y22" i="71" s="1"/>
  <c r="Z22" i="71" s="1"/>
  <c r="N22" i="71"/>
  <c r="Q21" i="71"/>
  <c r="P21" i="71"/>
  <c r="O21" i="71"/>
  <c r="Y21" i="71"/>
  <c r="Z21" i="71" s="1"/>
  <c r="N21" i="71"/>
  <c r="X19" i="71" s="1"/>
  <c r="Q20" i="71"/>
  <c r="AB20" i="71"/>
  <c r="P20" i="71"/>
  <c r="O20" i="71"/>
  <c r="Y20" i="71" s="1"/>
  <c r="Z20" i="71"/>
  <c r="N20" i="71"/>
  <c r="Q19" i="71"/>
  <c r="AB19" i="71" s="1"/>
  <c r="P19" i="71"/>
  <c r="O19" i="71"/>
  <c r="N19" i="71"/>
  <c r="D19" i="71"/>
  <c r="O18" i="71"/>
  <c r="N18" i="71"/>
  <c r="B20" i="71"/>
  <c r="B21" i="71"/>
  <c r="B22" i="71" s="1"/>
  <c r="S22" i="71" s="1"/>
  <c r="E20" i="71"/>
  <c r="E21" i="71" s="1"/>
  <c r="E22" i="71" s="1"/>
  <c r="U22" i="71" s="1"/>
  <c r="AA19" i="71"/>
  <c r="B24" i="71"/>
  <c r="B25" i="71"/>
  <c r="B26" i="71" s="1"/>
  <c r="S26" i="71" s="1"/>
  <c r="B28" i="71"/>
  <c r="B29" i="71" s="1"/>
  <c r="B30" i="71" s="1"/>
  <c r="S30" i="71" s="1"/>
  <c r="X27" i="71"/>
  <c r="E28" i="71"/>
  <c r="E29" i="71"/>
  <c r="E30" i="71" s="1"/>
  <c r="U30" i="71" s="1"/>
  <c r="N58" i="71"/>
  <c r="E24" i="71"/>
  <c r="E25" i="71"/>
  <c r="E26" i="71" s="1"/>
  <c r="U26" i="71" s="1"/>
  <c r="C20" i="71"/>
  <c r="C21" i="71" s="1"/>
  <c r="X20" i="71"/>
  <c r="X21" i="71"/>
  <c r="X22" i="71"/>
  <c r="C24" i="71"/>
  <c r="Y23" i="71"/>
  <c r="Z23" i="71" s="1"/>
  <c r="AB23" i="71"/>
  <c r="AA24" i="71"/>
  <c r="AA25" i="71"/>
  <c r="X26" i="71"/>
  <c r="AA26" i="71"/>
  <c r="Y27" i="71"/>
  <c r="Z27" i="71" s="1"/>
  <c r="AB27" i="71"/>
  <c r="X28" i="71"/>
  <c r="AA28" i="71"/>
  <c r="F42" i="71"/>
  <c r="V42" i="71" s="1"/>
  <c r="C18" i="71"/>
  <c r="Y15" i="71"/>
  <c r="Z15" i="71" s="1"/>
  <c r="Y16" i="71"/>
  <c r="Z16" i="71" s="1"/>
  <c r="Y17" i="71"/>
  <c r="Z17" i="71" s="1"/>
  <c r="Y18" i="71"/>
  <c r="Z18" i="71" s="1"/>
  <c r="B18" i="71"/>
  <c r="B17" i="71" s="1"/>
  <c r="B16" i="71" s="1"/>
  <c r="X16" i="71"/>
  <c r="X18" i="71"/>
  <c r="D20" i="71"/>
  <c r="C29" i="71"/>
  <c r="C33" i="71"/>
  <c r="C37" i="71"/>
  <c r="D37" i="71" s="1"/>
  <c r="D36" i="71"/>
  <c r="D40" i="71"/>
  <c r="P18" i="71"/>
  <c r="E45" i="71"/>
  <c r="E46" i="71" s="1"/>
  <c r="U46" i="71"/>
  <c r="E50" i="71"/>
  <c r="U50" i="71" s="1"/>
  <c r="E53" i="71"/>
  <c r="E54" i="71" s="1"/>
  <c r="U54" i="71" s="1"/>
  <c r="U58" i="71"/>
  <c r="Q18" i="71"/>
  <c r="D48" i="71"/>
  <c r="D52" i="71"/>
  <c r="B56" i="71"/>
  <c r="T58" i="71"/>
  <c r="D58" i="71"/>
  <c r="Q58" i="71"/>
  <c r="C61" i="71"/>
  <c r="E61" i="71"/>
  <c r="E60" i="71" s="1"/>
  <c r="D62" i="71"/>
  <c r="C65" i="71"/>
  <c r="E65" i="71"/>
  <c r="E64" i="71"/>
  <c r="D66" i="71"/>
  <c r="C69" i="71"/>
  <c r="E69" i="71"/>
  <c r="E68" i="71"/>
  <c r="D70" i="71"/>
  <c r="C73" i="71"/>
  <c r="C77" i="71"/>
  <c r="T18" i="71"/>
  <c r="C17" i="71"/>
  <c r="S18" i="71"/>
  <c r="F18" i="71"/>
  <c r="F17" i="71"/>
  <c r="F16" i="71" s="1"/>
  <c r="AB15" i="71"/>
  <c r="AB16" i="71"/>
  <c r="AB17" i="71"/>
  <c r="AB18" i="71"/>
  <c r="E18" i="71"/>
  <c r="E17" i="71" s="1"/>
  <c r="E16" i="71" s="1"/>
  <c r="AA3" i="71"/>
  <c r="AA15" i="71"/>
  <c r="AA16" i="71"/>
  <c r="AA17" i="71"/>
  <c r="AA18" i="71"/>
  <c r="D18" i="71"/>
  <c r="U18" i="71" s="1"/>
  <c r="C54" i="71"/>
  <c r="D53" i="71"/>
  <c r="D73" i="71"/>
  <c r="C72" i="71"/>
  <c r="D72" i="71" s="1"/>
  <c r="D65" i="71"/>
  <c r="C64" i="71"/>
  <c r="D64" i="71"/>
  <c r="N55" i="71"/>
  <c r="N56" i="71"/>
  <c r="D77" i="71"/>
  <c r="C76" i="71"/>
  <c r="D76" i="71" s="1"/>
  <c r="D69" i="71"/>
  <c r="C68" i="71"/>
  <c r="D68" i="71"/>
  <c r="D61" i="71"/>
  <c r="C60" i="71"/>
  <c r="D60" i="71" s="1"/>
  <c r="C50" i="71"/>
  <c r="T50" i="71" s="1"/>
  <c r="D49" i="71"/>
  <c r="C42" i="71"/>
  <c r="T42" i="71" s="1"/>
  <c r="D41" i="71"/>
  <c r="C34" i="71"/>
  <c r="T34" i="71" s="1"/>
  <c r="D33" i="71"/>
  <c r="C30" i="71"/>
  <c r="D29" i="71"/>
  <c r="C22" i="71"/>
  <c r="T22" i="71" s="1"/>
  <c r="D21" i="71"/>
  <c r="C16" i="71"/>
  <c r="D16" i="71" s="1"/>
  <c r="D17" i="71"/>
  <c r="V18" i="71"/>
  <c r="D22" i="71"/>
  <c r="D30" i="71"/>
  <c r="M19" i="78" s="1"/>
  <c r="D34" i="71"/>
  <c r="D42"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55" i="43"/>
  <c r="C25" i="40"/>
  <c r="S25" i="40"/>
  <c r="S29" i="39"/>
  <c r="S18" i="36"/>
  <c r="U18" i="36"/>
  <c r="H25" i="40"/>
  <c r="J25" i="40"/>
  <c r="H29" i="39"/>
  <c r="J29" i="39"/>
  <c r="J18" i="36"/>
  <c r="H18" i="35"/>
  <c r="S18" i="35"/>
  <c r="J18" i="35"/>
  <c r="F77" i="37"/>
  <c r="H21" i="37"/>
  <c r="F21" i="37"/>
  <c r="AA21" i="37" s="1"/>
  <c r="H21" i="34"/>
  <c r="AB21" i="34" s="1"/>
  <c r="H21" i="33"/>
  <c r="U21" i="33" s="1"/>
  <c r="F21" i="33"/>
  <c r="S21" i="33" s="1"/>
  <c r="E83" i="21"/>
  <c r="F83" i="21" s="1"/>
  <c r="G83" i="21" s="1"/>
  <c r="S21" i="21"/>
  <c r="H1" i="69"/>
  <c r="AC25" i="40"/>
  <c r="W25" i="40"/>
  <c r="AB25" i="40"/>
  <c r="U25" i="40"/>
  <c r="AB29" i="39"/>
  <c r="U29" i="39"/>
  <c r="AC29" i="39"/>
  <c r="W29" i="39"/>
  <c r="AC18" i="36"/>
  <c r="W18" i="36"/>
  <c r="AB21" i="37"/>
  <c r="U21" i="37"/>
  <c r="S21" i="37"/>
  <c r="AB18" i="35"/>
  <c r="U18" i="35"/>
  <c r="AC18" i="35"/>
  <c r="W18" i="35"/>
  <c r="G77" i="37"/>
  <c r="J21" i="37"/>
  <c r="W21" i="37" s="1"/>
  <c r="J21" i="34"/>
  <c r="W21" i="34" s="1"/>
  <c r="J21" i="33"/>
  <c r="W21" i="33" s="1"/>
  <c r="H21" i="21"/>
  <c r="U21" i="21" s="1"/>
  <c r="F38" i="69"/>
  <c r="E37" i="69"/>
  <c r="F36" i="69"/>
  <c r="F35" i="69"/>
  <c r="F21" i="69"/>
  <c r="C21" i="69"/>
  <c r="F20" i="69"/>
  <c r="E10" i="69"/>
  <c r="E9" i="69"/>
  <c r="AC21" i="37"/>
  <c r="AC21" i="34"/>
  <c r="AB21"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I20" i="78" s="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22" i="1"/>
  <c r="B23" i="1"/>
  <c r="B24" i="1"/>
  <c r="B43" i="1"/>
  <c r="D78" i="9" s="1"/>
  <c r="E19" i="6"/>
  <c r="M18" i="9" s="1"/>
  <c r="B118" i="9" s="1"/>
  <c r="B14" i="74" s="1"/>
  <c r="B1" i="74" s="1"/>
  <c r="E20" i="6"/>
  <c r="E21" i="6"/>
  <c r="K8" i="1"/>
  <c r="M8" i="1" s="1"/>
  <c r="F23" i="15"/>
  <c r="D24" i="15"/>
  <c r="E22" i="6"/>
  <c r="E23" i="6"/>
  <c r="K10" i="1" s="1"/>
  <c r="M10" i="1" s="1"/>
  <c r="E24" i="6"/>
  <c r="AH11" i="1" s="1"/>
  <c r="E25" i="6"/>
  <c r="E26" i="6"/>
  <c r="BC10" i="3"/>
  <c r="BD10" i="3"/>
  <c r="BB10" i="3"/>
  <c r="AC13" i="3"/>
  <c r="AC14" i="3"/>
  <c r="AC15" i="3"/>
  <c r="AC16"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40" i="33"/>
  <c r="J41" i="33"/>
  <c r="AC41" i="33" s="1"/>
  <c r="D113" i="33"/>
  <c r="F37" i="33"/>
  <c r="D111" i="33"/>
  <c r="E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J46" i="34" s="1"/>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D80" i="34"/>
  <c r="E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c r="Q36" i="34"/>
  <c r="Z36" i="34"/>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c r="Q12" i="34"/>
  <c r="Z12" i="34"/>
  <c r="J12" i="34"/>
  <c r="W12" i="34" s="1"/>
  <c r="H12" i="34"/>
  <c r="F12" i="34"/>
  <c r="S12" i="34"/>
  <c r="Q11" i="34"/>
  <c r="Z11" i="34"/>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D79" i="33"/>
  <c r="E79" i="33" s="1"/>
  <c r="F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U33" i="33"/>
  <c r="S40" i="33"/>
  <c r="W33"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S35" i="34"/>
  <c r="F28" i="34"/>
  <c r="AA28" i="34" s="1"/>
  <c r="F27" i="34"/>
  <c r="AA27" i="34" s="1"/>
  <c r="F25" i="34"/>
  <c r="S25" i="34" s="1"/>
  <c r="W8" i="34"/>
  <c r="J28" i="34"/>
  <c r="W28" i="34"/>
  <c r="F41" i="33"/>
  <c r="AA41" i="33" s="1"/>
  <c r="S38" i="33"/>
  <c r="E113" i="33"/>
  <c r="F32" i="33"/>
  <c r="AA32" i="33" s="1"/>
  <c r="U40"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F28" i="40"/>
  <c r="AA28" i="40" s="1"/>
  <c r="AA29" i="35"/>
  <c r="AA42" i="34"/>
  <c r="S42" i="34"/>
  <c r="AC38" i="34"/>
  <c r="AA38" i="34"/>
  <c r="S28" i="34"/>
  <c r="U23" i="40"/>
  <c r="J42" i="21"/>
  <c r="AC42" i="21"/>
  <c r="H42" i="21"/>
  <c r="U42" i="2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J36" i="37"/>
  <c r="AC36" i="37" s="1"/>
  <c r="G105" i="37"/>
  <c r="AB11" i="35"/>
  <c r="J10" i="36"/>
  <c r="AC10" i="36"/>
  <c r="AB30" i="21"/>
  <c r="AA14" i="37"/>
  <c r="W31" i="34"/>
  <c r="AC13" i="36"/>
  <c r="S11" i="36"/>
  <c r="W11" i="35"/>
  <c r="AB45" i="33"/>
  <c r="U31"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14" i="37"/>
  <c r="AB28" i="37"/>
  <c r="U33" i="37"/>
  <c r="U39" i="37"/>
  <c r="W26" i="37"/>
  <c r="AC8" i="37"/>
  <c r="U26" i="37"/>
  <c r="W47" i="34"/>
  <c r="AB13" i="34"/>
  <c r="AA13" i="33"/>
  <c r="AC31" i="33"/>
  <c r="AC45" i="33"/>
  <c r="W44" i="33"/>
  <c r="U19" i="21"/>
  <c r="W44" i="21"/>
  <c r="U26" i="21"/>
  <c r="AC46" i="21"/>
  <c r="U12" i="21"/>
  <c r="AB38" i="21"/>
  <c r="F43" i="33"/>
  <c r="AA43" i="33" s="1"/>
  <c r="W16" i="35"/>
  <c r="W40" i="37"/>
  <c r="G107" i="37"/>
  <c r="H107" i="37"/>
  <c r="I107" i="37" s="1"/>
  <c r="J107" i="37" s="1"/>
  <c r="K107" i="37" s="1"/>
  <c r="L107" i="37" s="1"/>
  <c r="M107" i="37" s="1"/>
  <c r="H37" i="21"/>
  <c r="U37" i="21" s="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AZ343" i="3"/>
  <c r="BK5" i="3"/>
  <c r="BI5" i="3"/>
  <c r="BG5" i="3"/>
  <c r="BE5" i="3"/>
  <c r="BC5" i="3"/>
  <c r="BT5" i="3"/>
  <c r="AZ350" i="3"/>
  <c r="AZ352" i="3"/>
  <c r="AZ356" i="3"/>
  <c r="AZ364" i="3"/>
  <c r="AZ368" i="3"/>
  <c r="BB5" i="3"/>
  <c r="E8" i="6" s="1"/>
  <c r="F27" i="6" s="1"/>
  <c r="BR5" i="3"/>
  <c r="G28" i="6"/>
  <c r="AZ384" i="3"/>
  <c r="AZ388" i="3"/>
  <c r="AZ392" i="3"/>
  <c r="AZ396" i="3"/>
  <c r="AZ394" i="3"/>
  <c r="AZ499" i="3"/>
  <c r="AZ509" i="3"/>
  <c r="G509" i="3"/>
  <c r="BL493" i="3"/>
  <c r="AZ493" i="3" s="1"/>
  <c r="AZ491" i="3"/>
  <c r="AZ376" i="3"/>
  <c r="AZ382" i="3"/>
  <c r="U36" i="40"/>
  <c r="F36" i="43"/>
  <c r="F81" i="43"/>
  <c r="H83" i="43" s="1"/>
  <c r="H113" i="43"/>
  <c r="N9" i="43"/>
  <c r="F48" i="43"/>
  <c r="H52" i="43" s="1"/>
  <c r="F70" i="43"/>
  <c r="H73" i="43" s="1"/>
  <c r="M11" i="43"/>
  <c r="D17" i="43"/>
  <c r="F39" i="43"/>
  <c r="I17" i="43"/>
  <c r="F35" i="43"/>
  <c r="J17" i="43"/>
  <c r="F6" i="1"/>
  <c r="U17" i="39"/>
  <c r="S14" i="35"/>
  <c r="U43" i="21"/>
  <c r="U35" i="21"/>
  <c r="AC35" i="21"/>
  <c r="U10" i="21"/>
  <c r="G8" i="1"/>
  <c r="F48" i="9"/>
  <c r="O52" i="9" s="1"/>
  <c r="AZ563" i="3"/>
  <c r="AZ501" i="3"/>
  <c r="W37" i="37"/>
  <c r="S15" i="37"/>
  <c r="U13" i="37"/>
  <c r="U12" i="40"/>
  <c r="AA12" i="40"/>
  <c r="J37" i="33"/>
  <c r="W37" i="33" s="1"/>
  <c r="J34" i="33"/>
  <c r="W34" i="33" s="1"/>
  <c r="F33" i="34"/>
  <c r="S33" i="34" s="1"/>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F34" i="33"/>
  <c r="S34" i="33" s="1"/>
  <c r="H34" i="33"/>
  <c r="U34" i="33" s="1"/>
  <c r="F35" i="33"/>
  <c r="S35" i="33" s="1"/>
  <c r="F39" i="34"/>
  <c r="J39" i="34"/>
  <c r="W39" i="34" s="1"/>
  <c r="F40" i="34"/>
  <c r="S40" i="34" s="1"/>
  <c r="F43" i="34"/>
  <c r="AA43"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H33" i="34"/>
  <c r="U33" i="34" s="1"/>
  <c r="F32" i="37"/>
  <c r="AA32" i="37"/>
  <c r="H96" i="37"/>
  <c r="I96" i="37" s="1"/>
  <c r="J96" i="37"/>
  <c r="K96" i="37" s="1"/>
  <c r="L96" i="37" s="1"/>
  <c r="M96" i="37" s="1"/>
  <c r="F20" i="36"/>
  <c r="AA20" i="36" s="1"/>
  <c r="J33" i="34"/>
  <c r="AC33" i="34" s="1"/>
  <c r="H23" i="39"/>
  <c r="U23" i="39"/>
  <c r="D48" i="9"/>
  <c r="M52" i="9"/>
  <c r="H82" i="43"/>
  <c r="K9" i="1"/>
  <c r="M9" i="1" s="1"/>
  <c r="AE9" i="1"/>
  <c r="D93" i="9"/>
  <c r="E15" i="6"/>
  <c r="K6" i="1"/>
  <c r="M6" i="1" s="1"/>
  <c r="O6" i="1" s="1"/>
  <c r="P6" i="1" s="1"/>
  <c r="E29" i="6"/>
  <c r="AC26" i="33"/>
  <c r="W26" i="33"/>
  <c r="AC27" i="34"/>
  <c r="AB34" i="36"/>
  <c r="U34" i="36"/>
  <c r="AB33" i="36"/>
  <c r="U33" i="36"/>
  <c r="W12" i="39"/>
  <c r="W39" i="40"/>
  <c r="AZ401" i="3"/>
  <c r="AZ412" i="3"/>
  <c r="AZ417" i="3"/>
  <c r="AZ428" i="3"/>
  <c r="AZ433" i="3"/>
  <c r="AZ465" i="3"/>
  <c r="AC12" i="33"/>
  <c r="AA32" i="36"/>
  <c r="S32" i="36"/>
  <c r="AZ550" i="3"/>
  <c r="AZ408" i="3"/>
  <c r="AZ437" i="3"/>
  <c r="AZ441" i="3"/>
  <c r="AZ457" i="3"/>
  <c r="AZ473" i="3"/>
  <c r="AZ490" i="3"/>
  <c r="F28" i="6"/>
  <c r="F30" i="6" s="1"/>
  <c r="AZ266" i="3"/>
  <c r="U30" i="33"/>
  <c r="AC13"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s="1"/>
  <c r="D1" i="66"/>
  <c r="E10" i="66" s="1"/>
  <c r="AZ80" i="3"/>
  <c r="AZ84" i="3"/>
  <c r="AZ88" i="3"/>
  <c r="AZ107" i="3"/>
  <c r="AZ111" i="3"/>
  <c r="K12" i="1"/>
  <c r="M12" i="1" s="1"/>
  <c r="S13" i="1"/>
  <c r="AR13" i="1" s="1"/>
  <c r="R13" i="1"/>
  <c r="J51" i="67"/>
  <c r="C42" i="1"/>
  <c r="C24" i="12" s="1"/>
  <c r="H100" i="43"/>
  <c r="C30" i="66"/>
  <c r="E26" i="66"/>
  <c r="AA34" i="33"/>
  <c r="B41" i="1"/>
  <c r="J100" i="43"/>
  <c r="AB37" i="40"/>
  <c r="S35" i="40"/>
  <c r="U35" i="40"/>
  <c r="AC36" i="40"/>
  <c r="AA32" i="40"/>
  <c r="S17" i="40"/>
  <c r="S23" i="40"/>
  <c r="AC17" i="40"/>
  <c r="AC15" i="40"/>
  <c r="AB27" i="40"/>
  <c r="AA19" i="40"/>
  <c r="S28" i="40"/>
  <c r="AA27" i="40"/>
  <c r="AB19" i="40"/>
  <c r="W42" i="39"/>
  <c r="U37" i="39"/>
  <c r="W39" i="39"/>
  <c r="S43" i="39"/>
  <c r="S37"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c r="F17" i="37"/>
  <c r="AA17" i="37" s="1"/>
  <c r="AB17" i="37"/>
  <c r="F1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AA25" i="34"/>
  <c r="U28" i="34"/>
  <c r="AA29" i="34"/>
  <c r="U27" i="34"/>
  <c r="S10" i="34"/>
  <c r="S13" i="34"/>
  <c r="H10" i="34"/>
  <c r="AB10" i="34" s="1"/>
  <c r="F70" i="34"/>
  <c r="W42" i="33"/>
  <c r="AA35" i="33"/>
  <c r="S27" i="33"/>
  <c r="AA29" i="33"/>
  <c r="AB29" i="33"/>
  <c r="W38" i="33"/>
  <c r="H41" i="33"/>
  <c r="U41" i="33" s="1"/>
  <c r="U42" i="33"/>
  <c r="S42" i="33"/>
  <c r="J35" i="33"/>
  <c r="W35" i="33" s="1"/>
  <c r="S37" i="33"/>
  <c r="AA37" i="33"/>
  <c r="S39" i="33"/>
  <c r="J32" i="33"/>
  <c r="AC32" i="33" s="1"/>
  <c r="S46" i="33"/>
  <c r="W43" i="33"/>
  <c r="H27" i="33"/>
  <c r="U27" i="33" s="1"/>
  <c r="H25" i="33"/>
  <c r="AB25" i="33" s="1"/>
  <c r="F25" i="33"/>
  <c r="S25" i="33" s="1"/>
  <c r="J23" i="33"/>
  <c r="W23" i="33" s="1"/>
  <c r="F85" i="33"/>
  <c r="H23" i="33"/>
  <c r="AB23" i="33" s="1"/>
  <c r="J17" i="33"/>
  <c r="W17" i="33" s="1"/>
  <c r="U9" i="33"/>
  <c r="J10" i="33"/>
  <c r="AC10" i="33" s="1"/>
  <c r="H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E10" i="6"/>
  <c r="BA5" i="3"/>
  <c r="E11" i="6"/>
  <c r="E61" i="39"/>
  <c r="G30" i="6"/>
  <c r="G31" i="6" s="1"/>
  <c r="J56" i="9"/>
  <c r="J57" i="9" s="1"/>
  <c r="A24" i="51"/>
  <c r="B18" i="72" s="1"/>
  <c r="U29" i="34"/>
  <c r="E14" i="6"/>
  <c r="E64" i="39" s="1"/>
  <c r="E5" i="6"/>
  <c r="D9" i="11" s="1"/>
  <c r="C9" i="11" s="1"/>
  <c r="E32" i="6"/>
  <c r="L19" i="6"/>
  <c r="G1" i="68"/>
  <c r="K1" i="12"/>
  <c r="E28" i="6"/>
  <c r="E56" i="40"/>
  <c r="E19" i="69"/>
  <c r="E19" i="68"/>
  <c r="E19" i="11"/>
  <c r="E1" i="73"/>
  <c r="G41" i="69"/>
  <c r="G22" i="69"/>
  <c r="G41" i="68"/>
  <c r="G22" i="68"/>
  <c r="G27" i="12"/>
  <c r="G26" i="12"/>
  <c r="G41" i="11"/>
  <c r="G22" i="11"/>
  <c r="G25" i="12"/>
  <c r="C100" i="43"/>
  <c r="E10" i="43"/>
  <c r="E8" i="43"/>
  <c r="C7" i="43"/>
  <c r="E81" i="43"/>
  <c r="B79" i="43"/>
  <c r="E70" i="43"/>
  <c r="B68"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s="1"/>
  <c r="C7" i="39"/>
  <c r="C68" i="39" s="1"/>
  <c r="C7" i="35"/>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c r="C59" i="34"/>
  <c r="D59" i="34"/>
  <c r="E59" i="34" s="1"/>
  <c r="F59" i="34" s="1"/>
  <c r="C52" i="37"/>
  <c r="D52" i="37"/>
  <c r="E52" i="37" s="1"/>
  <c r="F52" i="37" s="1"/>
  <c r="A4" i="51"/>
  <c r="B6" i="72" s="1"/>
  <c r="C48" i="35"/>
  <c r="D48" i="35" s="1"/>
  <c r="E48" i="35" s="1"/>
  <c r="C4" i="12"/>
  <c r="H66" i="43"/>
  <c r="H65" i="43"/>
  <c r="H64" i="43"/>
  <c r="H63" i="43"/>
  <c r="H55" i="43"/>
  <c r="H56" i="43"/>
  <c r="H72" i="43"/>
  <c r="L20" i="6"/>
  <c r="E56" i="39"/>
  <c r="E51" i="40"/>
  <c r="B6" i="1"/>
  <c r="E6"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A31" i="34"/>
  <c r="AA30" i="34"/>
  <c r="AB45" i="34"/>
  <c r="U25" i="34"/>
  <c r="AB36" i="34"/>
  <c r="W33" i="34"/>
  <c r="AC14" i="34"/>
  <c r="AC32" i="34"/>
  <c r="AC29" i="34"/>
  <c r="W29" i="34"/>
  <c r="S32" i="34"/>
  <c r="AA32" i="34"/>
  <c r="U30" i="34"/>
  <c r="AB30" i="34"/>
  <c r="U38" i="34"/>
  <c r="AC40" i="34"/>
  <c r="W40" i="34"/>
  <c r="AA36" i="34"/>
  <c r="S36" i="34"/>
  <c r="AA8" i="34"/>
  <c r="S8" i="34"/>
  <c r="AB9" i="34"/>
  <c r="U9"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F28" i="67"/>
  <c r="C28" i="67" s="1"/>
  <c r="F52" i="9"/>
  <c r="F32" i="67"/>
  <c r="F60" i="67" s="1"/>
  <c r="F30" i="69"/>
  <c r="C48" i="69" s="1"/>
  <c r="F32" i="15"/>
  <c r="F60" i="15" s="1"/>
  <c r="M18" i="15"/>
  <c r="D19" i="12"/>
  <c r="C19" i="12" s="1"/>
  <c r="E59" i="40"/>
  <c r="E30" i="6"/>
  <c r="K15" i="1"/>
  <c r="D9" i="68"/>
  <c r="C9" i="68" s="1"/>
  <c r="E7" i="70"/>
  <c r="AA39" i="40"/>
  <c r="S39" i="40"/>
  <c r="S12" i="33"/>
  <c r="AA12" i="33"/>
  <c r="D68"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J10" i="34"/>
  <c r="AB41" i="33"/>
  <c r="J27" i="33"/>
  <c r="AC27" i="33" s="1"/>
  <c r="U25" i="33"/>
  <c r="J25" i="33"/>
  <c r="W25" i="33" s="1"/>
  <c r="F23" i="33"/>
  <c r="AA23" i="33" s="1"/>
  <c r="G85" i="33"/>
  <c r="AC23" i="33"/>
  <c r="G79" i="33"/>
  <c r="H17" i="33"/>
  <c r="AB17" i="33" s="1"/>
  <c r="F17" i="33"/>
  <c r="S17" i="33" s="1"/>
  <c r="AC17" i="33"/>
  <c r="U10" i="33"/>
  <c r="AB10" i="33"/>
  <c r="AC37" i="21"/>
  <c r="U33" i="21"/>
  <c r="S37" i="21"/>
  <c r="AA23" i="21"/>
  <c r="AB15" i="21"/>
  <c r="J23" i="21"/>
  <c r="W23" i="21" s="1"/>
  <c r="F85" i="21"/>
  <c r="G85" i="21"/>
  <c r="H23" i="21"/>
  <c r="S13" i="21"/>
  <c r="D6" i="52"/>
  <c r="D121" i="9"/>
  <c r="D7" i="52" s="1"/>
  <c r="K120" i="9"/>
  <c r="K14" i="1"/>
  <c r="M14" i="1" s="1"/>
  <c r="O14" i="1" s="1"/>
  <c r="P14" i="1" s="1"/>
  <c r="BL5" i="3"/>
  <c r="J59" i="9"/>
  <c r="J61" i="9"/>
  <c r="AP7" i="1"/>
  <c r="AB45" i="21"/>
  <c r="AC33" i="21"/>
  <c r="W33" i="21"/>
  <c r="S33" i="21"/>
  <c r="AA33" i="21"/>
  <c r="W32" i="21"/>
  <c r="AC32" i="21"/>
  <c r="AB9" i="21"/>
  <c r="U9" i="21"/>
  <c r="AA32" i="21"/>
  <c r="S32" i="21"/>
  <c r="W9" i="21"/>
  <c r="AC9" i="21"/>
  <c r="AB32" i="21"/>
  <c r="U32" i="21"/>
  <c r="AA10" i="21"/>
  <c r="S10" i="21"/>
  <c r="C30" i="11"/>
  <c r="A18" i="62"/>
  <c r="B64" i="72" s="1"/>
  <c r="D3" i="34"/>
  <c r="D3" i="33"/>
  <c r="U32" i="39"/>
  <c r="AB32" i="39"/>
  <c r="AC32" i="39"/>
  <c r="W32" i="39"/>
  <c r="W19" i="37"/>
  <c r="AC19" i="37"/>
  <c r="W23" i="37"/>
  <c r="AC23" i="37"/>
  <c r="AB11" i="37"/>
  <c r="U11" i="37"/>
  <c r="H63" i="37"/>
  <c r="I63" i="37"/>
  <c r="J63" i="37" s="1"/>
  <c r="K63" i="37"/>
  <c r="L63" i="37" s="1"/>
  <c r="M63" i="37" s="1"/>
  <c r="J11" i="37"/>
  <c r="W10" i="37"/>
  <c r="AC10" i="37"/>
  <c r="AC10" i="34"/>
  <c r="W10" i="34"/>
  <c r="H70" i="34"/>
  <c r="I70" i="34" s="1"/>
  <c r="J70" i="34" s="1"/>
  <c r="K70" i="34" s="1"/>
  <c r="L70" i="34" s="1"/>
  <c r="M70" i="34" s="1"/>
  <c r="S23" i="33"/>
  <c r="AA17" i="33"/>
  <c r="U17" i="33"/>
  <c r="U23" i="21"/>
  <c r="AB23" i="21"/>
  <c r="AC23" i="21"/>
  <c r="AC11" i="37"/>
  <c r="W11" i="37"/>
  <c r="F34" i="11"/>
  <c r="F11" i="12"/>
  <c r="C23" i="12" s="1"/>
  <c r="F34" i="68"/>
  <c r="AE7" i="1"/>
  <c r="AG6" i="1"/>
  <c r="H109" i="9"/>
  <c r="M49" i="9" s="1"/>
  <c r="L68" i="9" s="1"/>
  <c r="M68" i="9" s="1"/>
  <c r="L65" i="9"/>
  <c r="M65" i="9" s="1"/>
  <c r="L64" i="9"/>
  <c r="M64" i="9" s="1"/>
  <c r="L67" i="9"/>
  <c r="M67" i="9" s="1"/>
  <c r="D16" i="53"/>
  <c r="B34" i="72" s="1"/>
  <c r="J7" i="33"/>
  <c r="W7" i="33" s="1"/>
  <c r="F7" i="33"/>
  <c r="S7" i="33" s="1"/>
  <c r="H7" i="33"/>
  <c r="AB7" i="33" s="1"/>
  <c r="H112" i="9"/>
  <c r="D21" i="53" s="1"/>
  <c r="B39" i="72" s="1"/>
  <c r="H111" i="9"/>
  <c r="D126" i="9"/>
  <c r="I14" i="74" s="1"/>
  <c r="B8" i="74" s="1"/>
  <c r="D19" i="53"/>
  <c r="D59" i="9"/>
  <c r="M55" i="9" s="1"/>
  <c r="B38" i="72"/>
  <c r="D20" i="53"/>
  <c r="B40" i="72"/>
  <c r="AD3" i="71"/>
  <c r="C65" i="40"/>
  <c r="D63" i="40"/>
  <c r="J1" i="73"/>
  <c r="C13" i="12"/>
  <c r="C30" i="69"/>
  <c r="C77" i="9"/>
  <c r="C74" i="9" s="1"/>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G59" i="34"/>
  <c r="C70" i="39"/>
  <c r="D68" i="39"/>
  <c r="G52" i="37"/>
  <c r="H52" i="37" s="1"/>
  <c r="F48" i="35"/>
  <c r="G48" i="35" s="1"/>
  <c r="E46" i="36"/>
  <c r="F46" i="36"/>
  <c r="G46" i="36" s="1"/>
  <c r="D58" i="21"/>
  <c r="AB12" i="71"/>
  <c r="X10" i="71"/>
  <c r="X9" i="71"/>
  <c r="AA10" i="71"/>
  <c r="AA9" i="71"/>
  <c r="X13" i="71"/>
  <c r="Y9" i="71"/>
  <c r="Z9" i="71" s="1"/>
  <c r="AB10" i="71"/>
  <c r="AB9" i="71"/>
  <c r="F11" i="71"/>
  <c r="F10" i="71" s="1"/>
  <c r="F9" i="71" s="1"/>
  <c r="F8" i="71" s="1"/>
  <c r="F7" i="71" s="1"/>
  <c r="F6" i="71" s="1"/>
  <c r="F5" i="71" s="1"/>
  <c r="Y10" i="71"/>
  <c r="Z10" i="71" s="1"/>
  <c r="E7" i="49"/>
  <c r="AB3" i="71"/>
  <c r="X3" i="71"/>
  <c r="E11" i="71"/>
  <c r="E10" i="71"/>
  <c r="E9" i="71" s="1"/>
  <c r="E8" i="71" s="1"/>
  <c r="E7" i="71" s="1"/>
  <c r="E6" i="71" s="1"/>
  <c r="E10" i="49"/>
  <c r="E14" i="49"/>
  <c r="B13" i="49"/>
  <c r="B9" i="49"/>
  <c r="E6" i="49"/>
  <c r="B8" i="49"/>
  <c r="E4" i="49"/>
  <c r="B14" i="49"/>
  <c r="B22" i="49"/>
  <c r="D65" i="40"/>
  <c r="E63" i="40"/>
  <c r="E58" i="21"/>
  <c r="F58" i="21" s="1"/>
  <c r="D70" i="39"/>
  <c r="E68" i="39"/>
  <c r="H59" i="34"/>
  <c r="I59" i="34" s="1"/>
  <c r="V10" i="71"/>
  <c r="E65" i="40"/>
  <c r="F63" i="40"/>
  <c r="F65" i="40" s="1"/>
  <c r="F68" i="39"/>
  <c r="E70" i="39"/>
  <c r="G63" i="40"/>
  <c r="G65" i="40" s="1"/>
  <c r="G68" i="39"/>
  <c r="H68" i="39" s="1"/>
  <c r="F70" i="39"/>
  <c r="H63" i="40"/>
  <c r="H65" i="40" s="1"/>
  <c r="G70" i="39"/>
  <c r="I63" i="40"/>
  <c r="I65" i="40" s="1"/>
  <c r="J63" i="40"/>
  <c r="K63" i="40" s="1"/>
  <c r="J65" i="40"/>
  <c r="F31" i="67"/>
  <c r="F31" i="15"/>
  <c r="E9" i="49"/>
  <c r="E13" i="49"/>
  <c r="B11" i="49"/>
  <c r="E21" i="49"/>
  <c r="E8" i="49"/>
  <c r="B10" i="49"/>
  <c r="E11" i="49"/>
  <c r="E22" i="49"/>
  <c r="B4" i="49"/>
  <c r="B6" i="49"/>
  <c r="F59" i="15"/>
  <c r="F59" i="67"/>
  <c r="M17" i="15"/>
  <c r="M17" i="67"/>
  <c r="M8" i="15"/>
  <c r="D2" i="21"/>
  <c r="M27" i="15"/>
  <c r="M24" i="67"/>
  <c r="F37" i="15"/>
  <c r="F16" i="15"/>
  <c r="M23" i="15"/>
  <c r="B13" i="76"/>
  <c r="F40" i="15"/>
  <c r="J15" i="67"/>
  <c r="F13" i="67"/>
  <c r="D6" i="73"/>
  <c r="D2" i="34"/>
  <c r="E2" i="68"/>
  <c r="L48" i="67"/>
  <c r="M6" i="15"/>
  <c r="L47" i="15"/>
  <c r="AO12" i="1"/>
  <c r="M23" i="67"/>
  <c r="F7" i="73"/>
  <c r="E8" i="76"/>
  <c r="M29" i="15"/>
  <c r="M9" i="15"/>
  <c r="F16" i="67"/>
  <c r="E6" i="76"/>
  <c r="D9" i="69"/>
  <c r="J15" i="15"/>
  <c r="F43" i="67"/>
  <c r="F36" i="15"/>
  <c r="F9" i="15"/>
  <c r="D2" i="36"/>
  <c r="M9" i="67"/>
  <c r="D2" i="37"/>
  <c r="F26" i="67"/>
  <c r="M22" i="67"/>
  <c r="AO9" i="1"/>
  <c r="F3" i="73"/>
  <c r="AO10" i="1"/>
  <c r="F8" i="67"/>
  <c r="M6" i="67"/>
  <c r="M26" i="15"/>
  <c r="E7" i="76"/>
  <c r="F37" i="67"/>
  <c r="F38" i="15"/>
  <c r="B12" i="76"/>
  <c r="F26" i="15"/>
  <c r="B7" i="76"/>
  <c r="E12" i="76"/>
  <c r="D3" i="73"/>
  <c r="M27" i="67"/>
  <c r="E2" i="69"/>
  <c r="L47" i="67"/>
  <c r="F6" i="15"/>
  <c r="F36" i="67"/>
  <c r="E10" i="76"/>
  <c r="B11" i="76"/>
  <c r="C76" i="15"/>
  <c r="E9" i="76"/>
  <c r="B8" i="76"/>
  <c r="F27" i="69"/>
  <c r="B9" i="76"/>
  <c r="L48" i="15"/>
  <c r="M26" i="67"/>
  <c r="D35" i="9"/>
  <c r="F4" i="73"/>
  <c r="F41" i="15"/>
  <c r="F40" i="67"/>
  <c r="D4" i="73"/>
  <c r="F8" i="15"/>
  <c r="F9" i="67"/>
  <c r="AO13" i="1"/>
  <c r="M8" i="67"/>
  <c r="D5" i="73"/>
  <c r="C76" i="67"/>
  <c r="M28" i="15"/>
  <c r="D2" i="33"/>
  <c r="F42" i="15"/>
  <c r="F38" i="67"/>
  <c r="F13" i="15"/>
  <c r="F42" i="67"/>
  <c r="B6" i="76"/>
  <c r="E13" i="76"/>
  <c r="F7" i="15"/>
  <c r="M24" i="15"/>
  <c r="F43" i="15"/>
  <c r="F5" i="73"/>
  <c r="M22" i="15"/>
  <c r="B10" i="76"/>
  <c r="C36" i="69"/>
  <c r="AO7" i="1"/>
  <c r="F6" i="73"/>
  <c r="D34" i="9"/>
  <c r="D2" i="35"/>
  <c r="M29" i="67"/>
  <c r="D7" i="73"/>
  <c r="E11" i="76"/>
  <c r="M28" i="67"/>
  <c r="F20" i="31"/>
  <c r="H70" i="39" l="1"/>
  <c r="I68" i="39"/>
  <c r="G58" i="21"/>
  <c r="H58" i="21" s="1"/>
  <c r="I58" i="21" s="1"/>
  <c r="J58" i="21" s="1"/>
  <c r="K58" i="21" s="1"/>
  <c r="L58" i="21" s="1"/>
  <c r="M58" i="21" s="1"/>
  <c r="N58" i="21" s="1"/>
  <c r="O58" i="21" s="1"/>
  <c r="H7" i="21"/>
  <c r="I52" i="37"/>
  <c r="J52" i="37" s="1"/>
  <c r="K52" i="37" s="1"/>
  <c r="L52" i="37" s="1"/>
  <c r="M52" i="37" s="1"/>
  <c r="N52" i="37" s="1"/>
  <c r="O52" i="37" s="1"/>
  <c r="H7" i="37"/>
  <c r="K65" i="40"/>
  <c r="L63" i="40"/>
  <c r="J59" i="34"/>
  <c r="K59" i="34" s="1"/>
  <c r="L59" i="34" s="1"/>
  <c r="M59" i="34" s="1"/>
  <c r="N59" i="34" s="1"/>
  <c r="O59" i="34" s="1"/>
  <c r="H7" i="34"/>
  <c r="U7" i="34" s="1"/>
  <c r="H46" i="36"/>
  <c r="I46" i="36" s="1"/>
  <c r="J46" i="36" s="1"/>
  <c r="K46" i="36" s="1"/>
  <c r="L46" i="36" s="1"/>
  <c r="M46" i="36" s="1"/>
  <c r="N46" i="36" s="1"/>
  <c r="O46" i="36" s="1"/>
  <c r="J7" i="36"/>
  <c r="H7" i="36"/>
  <c r="H48" i="35"/>
  <c r="I48" i="35" s="1"/>
  <c r="J48" i="35" s="1"/>
  <c r="K48" i="35" s="1"/>
  <c r="L48" i="35" s="1"/>
  <c r="M48" i="35" s="1"/>
  <c r="N48" i="35" s="1"/>
  <c r="O48" i="35" s="1"/>
  <c r="F7" i="35"/>
  <c r="F7" i="34"/>
  <c r="AA7" i="34" s="1"/>
  <c r="J7" i="21"/>
  <c r="F7" i="21"/>
  <c r="F7" i="36"/>
  <c r="H7" i="35"/>
  <c r="J7" i="37"/>
  <c r="F7" i="37"/>
  <c r="D12" i="52"/>
  <c r="D127" i="9"/>
  <c r="D13" i="52" s="1"/>
  <c r="D17" i="53"/>
  <c r="B36" i="72" s="1"/>
  <c r="D124" i="9"/>
  <c r="H110" i="9"/>
  <c r="D18" i="53" s="1"/>
  <c r="B35" i="72" s="1"/>
  <c r="L63" i="9"/>
  <c r="M63" i="9" s="1"/>
  <c r="M69" i="9" s="1"/>
  <c r="N69" i="9" s="1"/>
  <c r="L66" i="9"/>
  <c r="M66" i="9" s="1"/>
  <c r="E5" i="71"/>
  <c r="V6" i="71"/>
  <c r="W17" i="21"/>
  <c r="E60" i="40"/>
  <c r="E65" i="39"/>
  <c r="S39" i="34"/>
  <c r="AA39" i="34"/>
  <c r="S10" i="33"/>
  <c r="AA10" i="33"/>
  <c r="F31" i="6"/>
  <c r="F19" i="34"/>
  <c r="J19" i="34"/>
  <c r="H19" i="34"/>
  <c r="AB19" i="34" s="1"/>
  <c r="F82" i="34"/>
  <c r="G82" i="34" s="1"/>
  <c r="U14" i="37"/>
  <c r="AB14" i="37"/>
  <c r="W32" i="40"/>
  <c r="AC32" i="40"/>
  <c r="E11" i="43"/>
  <c r="E9" i="43"/>
  <c r="F53" i="9"/>
  <c r="M18" i="83"/>
  <c r="F30" i="84"/>
  <c r="F32" i="83"/>
  <c r="F60" i="83" s="1"/>
  <c r="F28" i="83"/>
  <c r="C28" i="83" s="1"/>
  <c r="F32" i="80"/>
  <c r="F60" i="80" s="1"/>
  <c r="F28" i="80"/>
  <c r="C28" i="80" s="1"/>
  <c r="F30" i="81"/>
  <c r="M18" i="80"/>
  <c r="AA27" i="36"/>
  <c r="S27" i="36"/>
  <c r="AA30" i="40"/>
  <c r="S30" i="40"/>
  <c r="AA20" i="35"/>
  <c r="S20" i="35"/>
  <c r="AZ557" i="3"/>
  <c r="J17" i="34"/>
  <c r="W17" i="34" s="1"/>
  <c r="F80" i="34"/>
  <c r="G80" i="34" s="1"/>
  <c r="H17" i="34"/>
  <c r="F17" i="34"/>
  <c r="AA17" i="34" s="1"/>
  <c r="H23" i="34"/>
  <c r="U23" i="34" s="1"/>
  <c r="F86" i="34"/>
  <c r="G86" i="34" s="1"/>
  <c r="J23" i="34"/>
  <c r="F23" i="34"/>
  <c r="AC12" i="36"/>
  <c r="W12" i="36"/>
  <c r="AB27" i="37"/>
  <c r="U27" i="37"/>
  <c r="W39" i="37"/>
  <c r="AC39" i="37"/>
  <c r="W12" i="40"/>
  <c r="AC12" i="40"/>
  <c r="S38" i="40"/>
  <c r="AA38" i="40"/>
  <c r="AH8" i="1"/>
  <c r="C34" i="34"/>
  <c r="B70" i="82"/>
  <c r="B70" i="78"/>
  <c r="B59" i="78"/>
  <c r="B59" i="82"/>
  <c r="B67" i="82"/>
  <c r="B56" i="82"/>
  <c r="B77" i="82"/>
  <c r="B65" i="82"/>
  <c r="B74" i="82"/>
  <c r="B54" i="82"/>
  <c r="E19" i="84"/>
  <c r="E19" i="81"/>
  <c r="AZ475" i="3"/>
  <c r="AZ489" i="3"/>
  <c r="AZ316" i="3"/>
  <c r="AZ397" i="3"/>
  <c r="AZ212" i="3"/>
  <c r="AZ217" i="3"/>
  <c r="AZ220" i="3"/>
  <c r="AZ231" i="3"/>
  <c r="AB20" i="36"/>
  <c r="AB15" i="39"/>
  <c r="AC15" i="39"/>
  <c r="S25" i="39"/>
  <c r="U21" i="40"/>
  <c r="AC34" i="33"/>
  <c r="E13" i="6"/>
  <c r="E12" i="6"/>
  <c r="H87" i="43"/>
  <c r="H86" i="43"/>
  <c r="H75" i="43"/>
  <c r="AC11" i="39"/>
  <c r="U12" i="37"/>
  <c r="W29" i="33"/>
  <c r="AA14" i="34"/>
  <c r="W11" i="36"/>
  <c r="AB11" i="36"/>
  <c r="U46" i="33"/>
  <c r="I4" i="6"/>
  <c r="B70" i="43"/>
  <c r="B59" i="43"/>
  <c r="B71" i="43"/>
  <c r="B71" i="82"/>
  <c r="B60" i="82"/>
  <c r="B49" i="82"/>
  <c r="B74" i="43"/>
  <c r="B73" i="82"/>
  <c r="B63" i="82"/>
  <c r="B52" i="82"/>
  <c r="B81" i="82"/>
  <c r="B81" i="78"/>
  <c r="B82" i="82"/>
  <c r="B82" i="78"/>
  <c r="B85" i="82"/>
  <c r="B85" i="78"/>
  <c r="B88" i="82"/>
  <c r="B88" i="78"/>
  <c r="F9" i="34"/>
  <c r="AA9" i="34" s="1"/>
  <c r="J23" i="35"/>
  <c r="H12" i="36"/>
  <c r="H24" i="36"/>
  <c r="H38" i="40"/>
  <c r="J38" i="40"/>
  <c r="H39" i="40"/>
  <c r="M20" i="15"/>
  <c r="F34" i="83"/>
  <c r="F62" i="83" s="1"/>
  <c r="M20" i="83"/>
  <c r="F34" i="80"/>
  <c r="F62" i="80" s="1"/>
  <c r="M20" i="80"/>
  <c r="G41" i="84"/>
  <c r="G22" i="84"/>
  <c r="G41" i="81"/>
  <c r="G22" i="81"/>
  <c r="AZ398" i="3"/>
  <c r="AZ405" i="3"/>
  <c r="AZ407" i="3"/>
  <c r="AZ410" i="3"/>
  <c r="AZ415" i="3"/>
  <c r="AZ420" i="3"/>
  <c r="AZ426" i="3"/>
  <c r="AZ431" i="3"/>
  <c r="AZ436" i="3"/>
  <c r="AZ448" i="3"/>
  <c r="AZ452" i="3"/>
  <c r="AZ461" i="3"/>
  <c r="AZ463" i="3"/>
  <c r="AZ468" i="3"/>
  <c r="AZ470" i="3"/>
  <c r="AZ479" i="3"/>
  <c r="AZ485" i="3"/>
  <c r="AZ385" i="3"/>
  <c r="AZ225" i="3"/>
  <c r="AZ239" i="3"/>
  <c r="F9" i="1"/>
  <c r="G9" i="1" s="1"/>
  <c r="F11" i="1"/>
  <c r="G11" i="1" s="1"/>
  <c r="F10" i="1"/>
  <c r="G10" i="1" s="1"/>
  <c r="AZ247" i="3"/>
  <c r="AZ255" i="3"/>
  <c r="AZ260" i="3"/>
  <c r="AZ264" i="3"/>
  <c r="AZ290" i="3"/>
  <c r="AZ293" i="3"/>
  <c r="AZ153" i="3"/>
  <c r="AZ169" i="3"/>
  <c r="AZ185" i="3"/>
  <c r="AZ27" i="3"/>
  <c r="AZ56" i="3"/>
  <c r="AZ68" i="3"/>
  <c r="AZ73" i="3"/>
  <c r="AZ87" i="3"/>
  <c r="AZ274" i="3"/>
  <c r="AZ277" i="3"/>
  <c r="AZ48" i="3"/>
  <c r="AZ64" i="3"/>
  <c r="AZ90" i="3"/>
  <c r="AZ92" i="3"/>
  <c r="AZ96" i="3"/>
  <c r="AZ112" i="3"/>
  <c r="C45" i="71"/>
  <c r="D44" i="71"/>
  <c r="G19" i="82"/>
  <c r="G19" i="78"/>
  <c r="D53" i="43"/>
  <c r="D55" i="43"/>
  <c r="M100" i="43"/>
  <c r="I100" i="43"/>
  <c r="E100" i="43"/>
  <c r="D100" i="43"/>
  <c r="AC21" i="33"/>
  <c r="M19" i="82"/>
  <c r="M19" i="43"/>
  <c r="X14" i="71"/>
  <c r="X15" i="71"/>
  <c r="X17" i="71"/>
  <c r="Y19" i="71"/>
  <c r="Z19" i="71" s="1"/>
  <c r="Y3" i="71"/>
  <c r="Z3" i="71" s="1"/>
  <c r="F20" i="71"/>
  <c r="F21" i="71" s="1"/>
  <c r="F22" i="71" s="1"/>
  <c r="V22" i="71" s="1"/>
  <c r="AA20" i="71"/>
  <c r="AA21" i="71"/>
  <c r="AA23" i="71"/>
  <c r="AA22" i="71"/>
  <c r="P58" i="71"/>
  <c r="E57" i="71"/>
  <c r="Y14" i="71"/>
  <c r="Z14" i="71" s="1"/>
  <c r="AA13" i="71"/>
  <c r="X12" i="71"/>
  <c r="AB11" i="71"/>
  <c r="Y8" i="71"/>
  <c r="Z8" i="71" s="1"/>
  <c r="X8" i="71"/>
  <c r="X7" i="71"/>
  <c r="AB5" i="71"/>
  <c r="G1" i="84"/>
  <c r="G1" i="83"/>
  <c r="G1" i="81"/>
  <c r="G1" i="80"/>
  <c r="B75" i="43"/>
  <c r="B75" i="82"/>
  <c r="B55" i="82"/>
  <c r="B66" i="82"/>
  <c r="B86" i="82"/>
  <c r="B86" i="78"/>
  <c r="T30" i="71"/>
  <c r="C25" i="71"/>
  <c r="D24" i="71"/>
  <c r="AB21" i="71"/>
  <c r="Y24" i="71"/>
  <c r="Z24" i="71" s="1"/>
  <c r="X23" i="71"/>
  <c r="X24" i="71"/>
  <c r="X25" i="71"/>
  <c r="AB25" i="71"/>
  <c r="Y28" i="71"/>
  <c r="Z28" i="71" s="1"/>
  <c r="AA29" i="71"/>
  <c r="AA27" i="71"/>
  <c r="O58" i="71"/>
  <c r="C57" i="71"/>
  <c r="V58" i="71"/>
  <c r="F57" i="71"/>
  <c r="Y11" i="71"/>
  <c r="Z11" i="71" s="1"/>
  <c r="AB13" i="71"/>
  <c r="AZ5" i="3"/>
  <c r="AA12" i="71"/>
  <c r="X11" i="71"/>
  <c r="Y7" i="71"/>
  <c r="Z7" i="71" s="1"/>
  <c r="AA8" i="71"/>
  <c r="AB8" i="71"/>
  <c r="X5" i="71"/>
  <c r="AA5" i="71"/>
  <c r="AH10" i="43"/>
  <c r="AD10" i="43"/>
  <c r="Z10" i="43"/>
  <c r="AG10" i="43"/>
  <c r="AC10" i="43"/>
  <c r="AA14" i="71"/>
  <c r="AB14" i="71"/>
  <c r="B14" i="71"/>
  <c r="C14" i="71"/>
  <c r="Y13" i="71"/>
  <c r="Z13" i="71" s="1"/>
  <c r="Y12" i="71"/>
  <c r="Z12" i="71" s="1"/>
  <c r="G18" i="3"/>
  <c r="G17" i="3"/>
  <c r="G16" i="3"/>
  <c r="G15" i="3"/>
  <c r="G14" i="3"/>
  <c r="G13" i="3"/>
  <c r="AA11" i="71"/>
  <c r="Z5" i="71"/>
  <c r="AA7" i="71"/>
  <c r="AB7" i="71"/>
  <c r="E17" i="82"/>
  <c r="C16" i="82" s="1"/>
  <c r="E17" i="78"/>
  <c r="C16" i="78" s="1"/>
  <c r="Y5" i="71"/>
  <c r="F50" i="69"/>
  <c r="K4" i="4"/>
  <c r="B46" i="48" s="1"/>
  <c r="B4" i="72" s="1"/>
  <c r="E20" i="82"/>
  <c r="S7" i="34"/>
  <c r="F126" i="34"/>
  <c r="G126" i="34" s="1"/>
  <c r="F44" i="34"/>
  <c r="AA44" i="34" s="1"/>
  <c r="J44" i="34"/>
  <c r="H44" i="34"/>
  <c r="S44" i="34"/>
  <c r="AA41" i="34"/>
  <c r="AC36" i="34"/>
  <c r="F37" i="34"/>
  <c r="H37" i="34"/>
  <c r="J37" i="34"/>
  <c r="F112" i="34"/>
  <c r="G112" i="34" s="1"/>
  <c r="H112" i="34" s="1"/>
  <c r="I112" i="34" s="1"/>
  <c r="J112" i="34" s="1"/>
  <c r="K112" i="34" s="1"/>
  <c r="L112" i="34" s="1"/>
  <c r="M112" i="34" s="1"/>
  <c r="W46" i="34"/>
  <c r="AC46" i="34"/>
  <c r="AB47" i="34"/>
  <c r="AC45" i="34"/>
  <c r="AA47" i="34"/>
  <c r="AB46" i="34"/>
  <c r="AB23" i="34"/>
  <c r="U21" i="34"/>
  <c r="AC17" i="34"/>
  <c r="F15" i="34"/>
  <c r="H15" i="34"/>
  <c r="F78" i="34"/>
  <c r="G78" i="34" s="1"/>
  <c r="J15" i="34"/>
  <c r="AB7" i="34"/>
  <c r="S9" i="34"/>
  <c r="W9" i="34"/>
  <c r="AC30" i="34"/>
  <c r="U31" i="34"/>
  <c r="S21" i="34"/>
  <c r="U19" i="34"/>
  <c r="S17" i="34"/>
  <c r="B4" i="62"/>
  <c r="B71" i="72" s="1"/>
  <c r="G17" i="43"/>
  <c r="C16" i="43" s="1"/>
  <c r="U43" i="33"/>
  <c r="S43" i="33"/>
  <c r="S45" i="33"/>
  <c r="AA44" i="33"/>
  <c r="W40" i="33"/>
  <c r="W39" i="33"/>
  <c r="AC35" i="33"/>
  <c r="U35" i="33"/>
  <c r="F111" i="33"/>
  <c r="G111" i="33" s="1"/>
  <c r="H111" i="33" s="1"/>
  <c r="I111" i="33" s="1"/>
  <c r="J111" i="33" s="1"/>
  <c r="K111" i="33" s="1"/>
  <c r="L111" i="33" s="1"/>
  <c r="M111" i="33" s="1"/>
  <c r="F36" i="33"/>
  <c r="J36" i="33"/>
  <c r="H36" i="33"/>
  <c r="W32" i="33"/>
  <c r="S32" i="33"/>
  <c r="AB27" i="33"/>
  <c r="W27" i="33"/>
  <c r="AB26" i="33"/>
  <c r="S26" i="33"/>
  <c r="AA25" i="33"/>
  <c r="AC25" i="33"/>
  <c r="U23" i="33"/>
  <c r="AB21" i="33"/>
  <c r="AA21" i="33"/>
  <c r="F81" i="33"/>
  <c r="G81" i="33" s="1"/>
  <c r="H19" i="33"/>
  <c r="J19" i="33"/>
  <c r="F19" i="33"/>
  <c r="S19" i="33" s="1"/>
  <c r="AC7" i="33"/>
  <c r="U7" i="33"/>
  <c r="AA7" i="33"/>
  <c r="F77" i="33"/>
  <c r="G77" i="33" s="1"/>
  <c r="F15" i="33"/>
  <c r="J15" i="33"/>
  <c r="H15" i="33"/>
  <c r="B73" i="78"/>
  <c r="B63" i="78"/>
  <c r="B52" i="78"/>
  <c r="B73" i="43"/>
  <c r="B77" i="78"/>
  <c r="B56" i="78"/>
  <c r="B67" i="78"/>
  <c r="B77" i="43"/>
  <c r="C29" i="39"/>
  <c r="B66" i="43"/>
  <c r="B55" i="78"/>
  <c r="B75" i="78"/>
  <c r="B66" i="78"/>
  <c r="B74" i="78"/>
  <c r="B54" i="78"/>
  <c r="B65" i="78"/>
  <c r="B49" i="78"/>
  <c r="B71" i="78"/>
  <c r="B60" i="78"/>
  <c r="AA14" i="33"/>
  <c r="W10" i="33"/>
  <c r="U8" i="33"/>
  <c r="S8" i="33"/>
  <c r="S9" i="33"/>
  <c r="P74" i="67"/>
  <c r="O10" i="1"/>
  <c r="P10" i="1" s="1"/>
  <c r="AR12" i="1"/>
  <c r="E27" i="6"/>
  <c r="E31" i="6" s="1"/>
  <c r="K19" i="6"/>
  <c r="S6" i="1" s="1"/>
  <c r="T13" i="1"/>
  <c r="K22" i="6"/>
  <c r="S9" i="1" s="1"/>
  <c r="AR9" i="1" s="1"/>
  <c r="T12" i="1"/>
  <c r="M19" i="6"/>
  <c r="I19" i="6" s="1"/>
  <c r="L18" i="9" s="1"/>
  <c r="O7" i="1"/>
  <c r="P7" i="1" s="1"/>
  <c r="C36" i="11"/>
  <c r="G16" i="1"/>
  <c r="F10" i="40" s="1"/>
  <c r="H16" i="1"/>
  <c r="O12" i="1"/>
  <c r="P12" i="1" s="1"/>
  <c r="O9" i="1"/>
  <c r="P9" i="1" s="1"/>
  <c r="O11" i="1"/>
  <c r="P11" i="1" s="1"/>
  <c r="O8" i="1"/>
  <c r="P8" i="1" s="1"/>
  <c r="M16" i="1"/>
  <c r="H10" i="39"/>
  <c r="T6" i="1"/>
  <c r="K16" i="1"/>
  <c r="Q16" i="1"/>
  <c r="L27" i="6"/>
  <c r="AR6" i="1"/>
  <c r="AQ6" i="1"/>
  <c r="T9" i="1"/>
  <c r="C94" i="9"/>
  <c r="C92" i="9"/>
  <c r="F54" i="9"/>
  <c r="F28" i="15"/>
  <c r="C28" i="15" s="1"/>
  <c r="M18" i="67"/>
  <c r="F31" i="12"/>
  <c r="C31" i="12" s="1"/>
  <c r="F30" i="68"/>
  <c r="C47" i="69"/>
  <c r="D45" i="69" s="1"/>
  <c r="C9" i="69"/>
  <c r="E20" i="78"/>
  <c r="D5" i="43"/>
  <c r="C5" i="43"/>
  <c r="C8" i="74"/>
  <c r="C29" i="69"/>
  <c r="D27" i="69" s="1"/>
  <c r="X6" i="71"/>
  <c r="AB6" i="71"/>
  <c r="AA6" i="71"/>
  <c r="Y6" i="71"/>
  <c r="Z6" i="71" s="1"/>
  <c r="C19" i="43"/>
  <c r="AF3" i="71"/>
  <c r="P24" i="43" s="1"/>
  <c r="B66" i="40" s="1"/>
  <c r="P21" i="43"/>
  <c r="P22" i="43"/>
  <c r="P25" i="43"/>
  <c r="P23" i="43"/>
  <c r="B71" i="39" s="1"/>
  <c r="C36" i="68"/>
  <c r="C27" i="15"/>
  <c r="F65" i="67"/>
  <c r="B12" i="70"/>
  <c r="K1" i="73"/>
  <c r="F69" i="15"/>
  <c r="B9" i="70"/>
  <c r="F50" i="15"/>
  <c r="M7" i="15"/>
  <c r="J6" i="15" s="1"/>
  <c r="F51" i="15"/>
  <c r="F64" i="67"/>
  <c r="B7" i="70"/>
  <c r="F68" i="15"/>
  <c r="J57" i="15"/>
  <c r="J55" i="15" s="1"/>
  <c r="J58" i="15" s="1"/>
  <c r="Q50" i="15" s="1"/>
  <c r="J53" i="15"/>
  <c r="L56" i="15" s="1"/>
  <c r="I54" i="15"/>
  <c r="C6" i="15"/>
  <c r="F71" i="67"/>
  <c r="I1" i="73"/>
  <c r="B39" i="1" s="1"/>
  <c r="B10" i="70"/>
  <c r="F51" i="67"/>
  <c r="F65" i="15"/>
  <c r="M59" i="67"/>
  <c r="L58" i="67"/>
  <c r="N59" i="67"/>
  <c r="L59" i="67"/>
  <c r="B13" i="70"/>
  <c r="Q71" i="15"/>
  <c r="I54" i="67"/>
  <c r="J53" i="67"/>
  <c r="L56" i="67"/>
  <c r="J57" i="67"/>
  <c r="J55" i="67" s="1"/>
  <c r="J58" i="67" s="1"/>
  <c r="Q50" i="67" s="1"/>
  <c r="E20" i="43"/>
  <c r="B2" i="76"/>
  <c r="F68" i="67"/>
  <c r="F71" i="15"/>
  <c r="E2" i="76"/>
  <c r="F66" i="67"/>
  <c r="N59" i="15"/>
  <c r="L59" i="15"/>
  <c r="L58" i="15"/>
  <c r="M59" i="15"/>
  <c r="F66" i="15"/>
  <c r="Q71" i="67"/>
  <c r="F64" i="15"/>
  <c r="F70" i="67"/>
  <c r="C27" i="67"/>
  <c r="C17" i="15"/>
  <c r="C16" i="15"/>
  <c r="C14" i="15"/>
  <c r="C14" i="67"/>
  <c r="C17" i="67"/>
  <c r="G1" i="73"/>
  <c r="D10" i="69"/>
  <c r="C34" i="69"/>
  <c r="C16" i="67"/>
  <c r="C35" i="69" l="1"/>
  <c r="C38" i="69"/>
  <c r="C10" i="69"/>
  <c r="D19" i="69"/>
  <c r="C19" i="69" s="1"/>
  <c r="E6" i="70"/>
  <c r="C5" i="82"/>
  <c r="D5" i="82"/>
  <c r="B13" i="71"/>
  <c r="B12" i="71" s="1"/>
  <c r="B11" i="71" s="1"/>
  <c r="B10" i="71" s="1"/>
  <c r="S14" i="71"/>
  <c r="Q57" i="71"/>
  <c r="F56" i="71"/>
  <c r="O57" i="71"/>
  <c r="C56" i="71"/>
  <c r="D57" i="71"/>
  <c r="D25" i="71"/>
  <c r="C26" i="71"/>
  <c r="E48" i="43"/>
  <c r="B46" i="43" s="1"/>
  <c r="C24" i="43" s="1"/>
  <c r="P23" i="82"/>
  <c r="P25" i="82"/>
  <c r="C19" i="82"/>
  <c r="P24" i="82"/>
  <c r="P22" i="82"/>
  <c r="P21" i="82"/>
  <c r="O19" i="82"/>
  <c r="D45" i="71"/>
  <c r="C46" i="71"/>
  <c r="AC38" i="40"/>
  <c r="W38" i="40"/>
  <c r="U24" i="36"/>
  <c r="AB24" i="36"/>
  <c r="W23" i="35"/>
  <c r="AC23" i="35"/>
  <c r="G3" i="82"/>
  <c r="G3" i="78"/>
  <c r="G3" i="43"/>
  <c r="E57" i="40"/>
  <c r="E62" i="39"/>
  <c r="E16" i="6"/>
  <c r="AA23" i="34"/>
  <c r="S23" i="34"/>
  <c r="C48" i="81"/>
  <c r="C30" i="81"/>
  <c r="AC19" i="34"/>
  <c r="W19" i="34"/>
  <c r="H14" i="74"/>
  <c r="B7" i="74" s="1"/>
  <c r="D10" i="52"/>
  <c r="D125" i="9"/>
  <c r="D11" i="52" s="1"/>
  <c r="AC7" i="37"/>
  <c r="V42" i="37" s="1"/>
  <c r="I42" i="37" s="1"/>
  <c r="W7" i="37"/>
  <c r="S7" i="36"/>
  <c r="AA7" i="36"/>
  <c r="R36" i="36" s="1"/>
  <c r="W7" i="21"/>
  <c r="AC7" i="21"/>
  <c r="V48" i="21" s="1"/>
  <c r="I48" i="21" s="1"/>
  <c r="AA7" i="35"/>
  <c r="R38" i="35" s="1"/>
  <c r="S7" i="35"/>
  <c r="AC7" i="36"/>
  <c r="V36" i="36" s="1"/>
  <c r="I36" i="36" s="1"/>
  <c r="W7" i="36"/>
  <c r="AB7" i="37"/>
  <c r="T42" i="37" s="1"/>
  <c r="G42" i="37" s="1"/>
  <c r="U7" i="37"/>
  <c r="AB7" i="21"/>
  <c r="T48" i="21" s="1"/>
  <c r="G48" i="21" s="1"/>
  <c r="U7" i="21"/>
  <c r="I70" i="39"/>
  <c r="J68" i="39"/>
  <c r="C5" i="78"/>
  <c r="D5" i="78"/>
  <c r="G5" i="3"/>
  <c r="B3" i="3" s="1"/>
  <c r="E14" i="3" s="1"/>
  <c r="E13" i="3"/>
  <c r="E15" i="3"/>
  <c r="E17" i="3"/>
  <c r="C13" i="71"/>
  <c r="T14" i="71"/>
  <c r="D14" i="71"/>
  <c r="U14" i="71" s="1"/>
  <c r="AY6" i="3"/>
  <c r="E3" i="6"/>
  <c r="E56" i="71"/>
  <c r="P57" i="71"/>
  <c r="P22" i="78"/>
  <c r="O19" i="78"/>
  <c r="C19" i="78"/>
  <c r="P24" i="78"/>
  <c r="P25" i="78"/>
  <c r="P23" i="78"/>
  <c r="P21" i="78"/>
  <c r="AB39" i="40"/>
  <c r="U39" i="40"/>
  <c r="U38" i="40"/>
  <c r="AB38" i="40"/>
  <c r="U12" i="36"/>
  <c r="AB12" i="36"/>
  <c r="I20" i="43"/>
  <c r="E58" i="40"/>
  <c r="E63" i="39"/>
  <c r="H34" i="34"/>
  <c r="J34" i="34"/>
  <c r="F34" i="34"/>
  <c r="I20" i="82"/>
  <c r="AC23" i="34"/>
  <c r="W23" i="34"/>
  <c r="U17" i="34"/>
  <c r="AB17" i="34"/>
  <c r="C48" i="84"/>
  <c r="C30" i="84"/>
  <c r="S19" i="34"/>
  <c r="AA19" i="34"/>
  <c r="AA7" i="37"/>
  <c r="R42" i="37" s="1"/>
  <c r="S7" i="37"/>
  <c r="U7" i="35"/>
  <c r="AB7" i="35"/>
  <c r="T38" i="35" s="1"/>
  <c r="G38" i="35" s="1"/>
  <c r="S7" i="21"/>
  <c r="AA7" i="21"/>
  <c r="R48" i="21" s="1"/>
  <c r="J7" i="35"/>
  <c r="AB7" i="36"/>
  <c r="T36" i="36" s="1"/>
  <c r="G36" i="36" s="1"/>
  <c r="U7" i="36"/>
  <c r="J7" i="34"/>
  <c r="L65" i="40"/>
  <c r="M63" i="40"/>
  <c r="C49" i="15"/>
  <c r="M11" i="83"/>
  <c r="J10" i="83" s="1"/>
  <c r="F11" i="83"/>
  <c r="O28" i="82"/>
  <c r="M28" i="82"/>
  <c r="G20" i="82" s="1"/>
  <c r="P28" i="82"/>
  <c r="N28" i="82"/>
  <c r="AB44" i="34"/>
  <c r="U44" i="34"/>
  <c r="AC44" i="34"/>
  <c r="W44" i="34"/>
  <c r="U37" i="34"/>
  <c r="AB37" i="34"/>
  <c r="AC37" i="34"/>
  <c r="W37" i="34"/>
  <c r="AA37" i="34"/>
  <c r="S37" i="34"/>
  <c r="W15" i="34"/>
  <c r="AC15" i="34"/>
  <c r="AB15" i="34"/>
  <c r="U15" i="34"/>
  <c r="AA15" i="34"/>
  <c r="S15" i="34"/>
  <c r="M11" i="80"/>
  <c r="J10" i="80" s="1"/>
  <c r="F11" i="80"/>
  <c r="AB36" i="33"/>
  <c r="U36" i="33"/>
  <c r="S36" i="33"/>
  <c r="AA36" i="33"/>
  <c r="W36" i="33"/>
  <c r="AC36" i="33"/>
  <c r="AB19" i="33"/>
  <c r="U19" i="33"/>
  <c r="AA19" i="33"/>
  <c r="AC19" i="33"/>
  <c r="W19" i="33"/>
  <c r="AB15" i="33"/>
  <c r="U15" i="33"/>
  <c r="AA15" i="33"/>
  <c r="S15" i="33"/>
  <c r="AC15" i="33"/>
  <c r="W15" i="33"/>
  <c r="J10" i="39"/>
  <c r="W10" i="39" s="1"/>
  <c r="AQ9" i="1"/>
  <c r="M22" i="6"/>
  <c r="I22" i="6" s="1"/>
  <c r="D37" i="69"/>
  <c r="C37" i="69" s="1"/>
  <c r="K20" i="6"/>
  <c r="K26" i="6"/>
  <c r="M26" i="6" s="1"/>
  <c r="I26" i="6" s="1"/>
  <c r="K23" i="6"/>
  <c r="K21" i="6"/>
  <c r="K25" i="6"/>
  <c r="M25" i="6" s="1"/>
  <c r="I25" i="6" s="1"/>
  <c r="K24" i="6"/>
  <c r="C8" i="69"/>
  <c r="J10" i="40"/>
  <c r="F10" i="39"/>
  <c r="H10" i="40"/>
  <c r="O16" i="1"/>
  <c r="P16" i="1"/>
  <c r="C11" i="12" s="1"/>
  <c r="C15" i="12" s="1"/>
  <c r="AA10" i="40"/>
  <c r="S10" i="40"/>
  <c r="C18" i="15"/>
  <c r="C15" i="15"/>
  <c r="F27" i="68"/>
  <c r="F28" i="12"/>
  <c r="C29" i="12" s="1"/>
  <c r="D28" i="12" s="1"/>
  <c r="F27" i="11"/>
  <c r="AC10" i="39"/>
  <c r="N16" i="1"/>
  <c r="C34" i="11"/>
  <c r="L16" i="1"/>
  <c r="C34" i="68"/>
  <c r="AB10" i="39"/>
  <c r="U10" i="39"/>
  <c r="S19" i="6"/>
  <c r="C30" i="68"/>
  <c r="C48" i="68"/>
  <c r="P28" i="78"/>
  <c r="N28" i="78"/>
  <c r="M28" i="78"/>
  <c r="O28" i="78"/>
  <c r="C33" i="69"/>
  <c r="C39" i="69" s="1"/>
  <c r="C15" i="67"/>
  <c r="C18" i="67"/>
  <c r="B40" i="1"/>
  <c r="Q60" i="15"/>
  <c r="Q73" i="15"/>
  <c r="Q52" i="67"/>
  <c r="F1" i="67"/>
  <c r="Q60" i="67"/>
  <c r="Q73" i="67"/>
  <c r="Q61" i="15"/>
  <c r="Q74" i="15"/>
  <c r="J18" i="15"/>
  <c r="M11" i="15"/>
  <c r="J10" i="15" s="1"/>
  <c r="J5" i="15" s="1"/>
  <c r="F11" i="15"/>
  <c r="F11" i="67"/>
  <c r="M11" i="67"/>
  <c r="J10" i="67" s="1"/>
  <c r="B3" i="76"/>
  <c r="Q61" i="67"/>
  <c r="Q74" i="67"/>
  <c r="C32" i="15"/>
  <c r="F1" i="15"/>
  <c r="Q52" i="15"/>
  <c r="N28" i="43"/>
  <c r="O28" i="43"/>
  <c r="M28" i="43"/>
  <c r="G20" i="43" s="1"/>
  <c r="P28" i="43"/>
  <c r="D9" i="81"/>
  <c r="C36" i="81"/>
  <c r="D9" i="84"/>
  <c r="F27" i="84"/>
  <c r="F38" i="80"/>
  <c r="M23" i="80"/>
  <c r="M26" i="80"/>
  <c r="M9" i="80"/>
  <c r="L47" i="80"/>
  <c r="M29" i="80"/>
  <c r="C76" i="80"/>
  <c r="F16" i="80"/>
  <c r="M24" i="80"/>
  <c r="M6" i="80"/>
  <c r="F8" i="80"/>
  <c r="F13" i="80"/>
  <c r="F36" i="80"/>
  <c r="M24" i="83"/>
  <c r="F9" i="83"/>
  <c r="F36" i="83"/>
  <c r="M8" i="83"/>
  <c r="C76" i="83"/>
  <c r="F7" i="83"/>
  <c r="F40" i="83"/>
  <c r="L48" i="83"/>
  <c r="M6" i="83"/>
  <c r="F8" i="83"/>
  <c r="F43" i="83"/>
  <c r="M28" i="83"/>
  <c r="F38" i="83"/>
  <c r="F27" i="81"/>
  <c r="C36" i="84"/>
  <c r="F43" i="80"/>
  <c r="M22" i="80"/>
  <c r="F37" i="80"/>
  <c r="J15" i="80"/>
  <c r="M27" i="80"/>
  <c r="L48" i="80"/>
  <c r="F42" i="80"/>
  <c r="F26" i="80"/>
  <c r="M8" i="80"/>
  <c r="F7" i="80"/>
  <c r="F9" i="80"/>
  <c r="F40" i="80"/>
  <c r="M28" i="80"/>
  <c r="F37" i="83"/>
  <c r="M29" i="83"/>
  <c r="J15" i="83"/>
  <c r="M22" i="83"/>
  <c r="F26" i="83"/>
  <c r="M23" i="83"/>
  <c r="F13" i="83"/>
  <c r="M9" i="83"/>
  <c r="F16" i="83"/>
  <c r="F6" i="83"/>
  <c r="M26" i="83"/>
  <c r="L47" i="83"/>
  <c r="F42" i="83"/>
  <c r="M27" i="83"/>
  <c r="AE6" i="1"/>
  <c r="F41" i="67"/>
  <c r="F70" i="83" l="1"/>
  <c r="N59" i="83"/>
  <c r="L58" i="83"/>
  <c r="M59" i="83"/>
  <c r="L59" i="83"/>
  <c r="C6" i="83"/>
  <c r="C32" i="83" s="1"/>
  <c r="F50" i="84"/>
  <c r="C27" i="83"/>
  <c r="F65" i="83"/>
  <c r="F68" i="80"/>
  <c r="F50" i="80"/>
  <c r="M7" i="80"/>
  <c r="J6" i="80" s="1"/>
  <c r="J18" i="80" s="1"/>
  <c r="C27" i="80"/>
  <c r="F70" i="80"/>
  <c r="L57" i="80"/>
  <c r="J53" i="80"/>
  <c r="L60" i="80"/>
  <c r="L56" i="80"/>
  <c r="J57" i="80"/>
  <c r="J55" i="80" s="1"/>
  <c r="J58" i="80" s="1"/>
  <c r="Q50" i="80" s="1"/>
  <c r="I54" i="80"/>
  <c r="F65" i="80"/>
  <c r="F71" i="80"/>
  <c r="C29" i="81"/>
  <c r="D27" i="81" s="1"/>
  <c r="C47" i="81"/>
  <c r="D45" i="81" s="1"/>
  <c r="F66" i="83"/>
  <c r="F71" i="83"/>
  <c r="F51" i="83"/>
  <c r="L56" i="83"/>
  <c r="L60" i="83"/>
  <c r="J57" i="83"/>
  <c r="J55" i="83" s="1"/>
  <c r="J58" i="83" s="1"/>
  <c r="Q50" i="83" s="1"/>
  <c r="L57" i="83"/>
  <c r="I54" i="83"/>
  <c r="J53" i="83"/>
  <c r="F68" i="83"/>
  <c r="F50" i="83"/>
  <c r="M7" i="83"/>
  <c r="J6" i="83" s="1"/>
  <c r="J18" i="83" s="1"/>
  <c r="Q71" i="83"/>
  <c r="F64" i="83"/>
  <c r="F64" i="80"/>
  <c r="F50" i="81"/>
  <c r="F51" i="80"/>
  <c r="C49" i="80" s="1"/>
  <c r="Q71" i="80"/>
  <c r="N59" i="80"/>
  <c r="L58" i="80"/>
  <c r="M59" i="80"/>
  <c r="L59" i="80"/>
  <c r="F66" i="80"/>
  <c r="C29" i="84"/>
  <c r="D27" i="84" s="1"/>
  <c r="C47" i="84"/>
  <c r="D45" i="84" s="1"/>
  <c r="C9" i="84"/>
  <c r="C9" i="81"/>
  <c r="W7" i="35"/>
  <c r="AC7" i="35"/>
  <c r="V38" i="35" s="1"/>
  <c r="I38" i="35" s="1"/>
  <c r="R43" i="37"/>
  <c r="E42" i="37"/>
  <c r="AA34" i="34"/>
  <c r="S34" i="34"/>
  <c r="AB34" i="34"/>
  <c r="U34"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J70" i="39"/>
  <c r="K68" i="39"/>
  <c r="I40" i="36"/>
  <c r="J40" i="36" s="1"/>
  <c r="E38" i="35"/>
  <c r="R39" i="35"/>
  <c r="I47" i="37"/>
  <c r="J47" i="37" s="1"/>
  <c r="I46" i="37"/>
  <c r="J46" i="37" s="1"/>
  <c r="N101" i="78"/>
  <c r="J101" i="78"/>
  <c r="F101" i="78"/>
  <c r="B113" i="78"/>
  <c r="K101" i="78"/>
  <c r="G101" i="78"/>
  <c r="C101" i="78"/>
  <c r="G22" i="78"/>
  <c r="Z11" i="78"/>
  <c r="Z13" i="78" s="1"/>
  <c r="AD11" i="78"/>
  <c r="AD13" i="78" s="1"/>
  <c r="AH11" i="78"/>
  <c r="AH13" i="78" s="1"/>
  <c r="Y11" i="78"/>
  <c r="Y13" i="78" s="1"/>
  <c r="AC11" i="78"/>
  <c r="AC13" i="78" s="1"/>
  <c r="AG11" i="78"/>
  <c r="AG13" i="78" s="1"/>
  <c r="L101" i="78"/>
  <c r="H101" i="78"/>
  <c r="D101" i="78"/>
  <c r="M101" i="78"/>
  <c r="I101" i="78"/>
  <c r="E101" i="78"/>
  <c r="J22" i="78"/>
  <c r="E22" i="78"/>
  <c r="Z7" i="78"/>
  <c r="AB11" i="78"/>
  <c r="AB13" i="78" s="1"/>
  <c r="AF11" i="78"/>
  <c r="AF13" i="78" s="1"/>
  <c r="AJ11" i="78"/>
  <c r="AJ13" i="78" s="1"/>
  <c r="AA11" i="78"/>
  <c r="AA13" i="78" s="1"/>
  <c r="AE11" i="78"/>
  <c r="AE13" i="78" s="1"/>
  <c r="AI11" i="78"/>
  <c r="AI13" i="78" s="1"/>
  <c r="H22" i="78"/>
  <c r="F22" i="78"/>
  <c r="T46" i="71"/>
  <c r="D46" i="71"/>
  <c r="D56" i="71"/>
  <c r="O56" i="71"/>
  <c r="O55" i="71"/>
  <c r="Q56" i="71"/>
  <c r="Q55" i="71"/>
  <c r="E18" i="3"/>
  <c r="J5" i="80"/>
  <c r="J26" i="80" s="1"/>
  <c r="J5" i="83"/>
  <c r="M65" i="40"/>
  <c r="N63" i="40"/>
  <c r="AC7" i="34"/>
  <c r="W7" i="34"/>
  <c r="G40" i="36"/>
  <c r="H40" i="36" s="1"/>
  <c r="G41" i="36"/>
  <c r="H41" i="36" s="1"/>
  <c r="E48" i="21"/>
  <c r="R49" i="21"/>
  <c r="G42" i="35"/>
  <c r="H42" i="35" s="1"/>
  <c r="G43" i="35"/>
  <c r="H43" i="35" s="1"/>
  <c r="AC34" i="34"/>
  <c r="W34" i="34"/>
  <c r="P56" i="71"/>
  <c r="P55" i="71"/>
  <c r="D3" i="21"/>
  <c r="D19" i="11"/>
  <c r="C19" i="11" s="1"/>
  <c r="C20" i="11" s="1"/>
  <c r="D37" i="11"/>
  <c r="C37" i="11" s="1"/>
  <c r="D14" i="12"/>
  <c r="C17" i="4"/>
  <c r="B4" i="52" s="1"/>
  <c r="B43" i="72" s="1"/>
  <c r="E6" i="6"/>
  <c r="D3" i="37"/>
  <c r="C12" i="71"/>
  <c r="D13"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G52" i="21"/>
  <c r="H52" i="21" s="1"/>
  <c r="G53" i="21"/>
  <c r="H53" i="21" s="1"/>
  <c r="G46" i="37"/>
  <c r="H46" i="37" s="1"/>
  <c r="G47" i="37"/>
  <c r="H47" i="37" s="1"/>
  <c r="I52" i="21"/>
  <c r="J52" i="21" s="1"/>
  <c r="I53" i="21"/>
  <c r="J53" i="21" s="1"/>
  <c r="R37" i="36"/>
  <c r="E36" i="36"/>
  <c r="C7" i="74"/>
  <c r="E66" i="39"/>
  <c r="B113" i="43"/>
  <c r="L101" i="43"/>
  <c r="F22" i="43"/>
  <c r="M101" i="43"/>
  <c r="Z11" i="43"/>
  <c r="Z13" i="43" s="1"/>
  <c r="AH11" i="43"/>
  <c r="AH13" i="43" s="1"/>
  <c r="AE11" i="43"/>
  <c r="AE13" i="43" s="1"/>
  <c r="AA11" i="43"/>
  <c r="AA13" i="43" s="1"/>
  <c r="AD11" i="43"/>
  <c r="AD13" i="43" s="1"/>
  <c r="H101" i="43"/>
  <c r="Y11" i="43"/>
  <c r="Y13" i="43" s="1"/>
  <c r="AG11" i="43"/>
  <c r="AG13" i="43" s="1"/>
  <c r="AB11" i="43"/>
  <c r="AB13" i="43" s="1"/>
  <c r="AJ11" i="43"/>
  <c r="AJ13" i="43" s="1"/>
  <c r="I101" i="43"/>
  <c r="H22" i="43"/>
  <c r="F101" i="43"/>
  <c r="N104" i="46"/>
  <c r="C101" i="43"/>
  <c r="J22" i="43"/>
  <c r="AI11" i="43"/>
  <c r="AI13" i="43" s="1"/>
  <c r="E101" i="43"/>
  <c r="N101" i="43"/>
  <c r="AC11" i="43"/>
  <c r="AC13" i="43" s="1"/>
  <c r="Z7" i="43"/>
  <c r="AF11" i="43"/>
  <c r="AF13" i="43" s="1"/>
  <c r="G22" i="43"/>
  <c r="D101" i="43"/>
  <c r="K101" i="43"/>
  <c r="E22" i="43"/>
  <c r="J101" i="43"/>
  <c r="G101" i="43"/>
  <c r="AI11" i="82"/>
  <c r="AI13" i="82" s="1"/>
  <c r="AE11" i="82"/>
  <c r="AE13" i="82" s="1"/>
  <c r="M101" i="82"/>
  <c r="I101" i="82"/>
  <c r="E101" i="82"/>
  <c r="L101" i="82"/>
  <c r="D101" i="82"/>
  <c r="N101" i="82"/>
  <c r="F101" i="82"/>
  <c r="G22" i="82"/>
  <c r="AJ11" i="82"/>
  <c r="AJ13" i="82" s="1"/>
  <c r="AF11" i="82"/>
  <c r="AF13" i="82" s="1"/>
  <c r="AB11" i="82"/>
  <c r="AB13" i="82" s="1"/>
  <c r="Z7" i="82"/>
  <c r="AC11" i="82"/>
  <c r="AC13" i="82" s="1"/>
  <c r="AA11" i="82"/>
  <c r="AA13" i="82" s="1"/>
  <c r="B113" i="82"/>
  <c r="K101" i="82"/>
  <c r="G101" i="82"/>
  <c r="C101" i="82"/>
  <c r="H101" i="82"/>
  <c r="H22" i="82"/>
  <c r="J101" i="82"/>
  <c r="J22" i="82"/>
  <c r="E22" i="82"/>
  <c r="AH11" i="82"/>
  <c r="AH13" i="82" s="1"/>
  <c r="AD11" i="82"/>
  <c r="AD13" i="82" s="1"/>
  <c r="Z11" i="82"/>
  <c r="Z13" i="82" s="1"/>
  <c r="Y11" i="82"/>
  <c r="Y13" i="82" s="1"/>
  <c r="AG11" i="82"/>
  <c r="AG13" i="82" s="1"/>
  <c r="F22" i="82"/>
  <c r="T26" i="71"/>
  <c r="D26" i="71"/>
  <c r="B9" i="71"/>
  <c r="B8" i="71" s="1"/>
  <c r="B7" i="71" s="1"/>
  <c r="B6" i="71" s="1"/>
  <c r="S10" i="71"/>
  <c r="E16" i="3"/>
  <c r="F24" i="83"/>
  <c r="C24" i="83" s="1"/>
  <c r="F22" i="84"/>
  <c r="C53" i="83"/>
  <c r="C10" i="83"/>
  <c r="C5" i="83" s="1"/>
  <c r="J24" i="83"/>
  <c r="J26" i="83"/>
  <c r="E41" i="82"/>
  <c r="C41" i="82" s="1"/>
  <c r="C20" i="82"/>
  <c r="F24" i="80"/>
  <c r="C24" i="80" s="1"/>
  <c r="F22" i="81"/>
  <c r="J24" i="80"/>
  <c r="C53" i="80"/>
  <c r="C48" i="80" s="1"/>
  <c r="F69" i="67"/>
  <c r="K27" i="6"/>
  <c r="S22" i="6"/>
  <c r="H22" i="6"/>
  <c r="S11" i="1"/>
  <c r="M24" i="6"/>
  <c r="I24" i="6" s="1"/>
  <c r="S8" i="1"/>
  <c r="M21" i="6"/>
  <c r="I21" i="6" s="1"/>
  <c r="S26" i="6"/>
  <c r="S25" i="6"/>
  <c r="H25" i="6"/>
  <c r="S10" i="1"/>
  <c r="M23" i="6"/>
  <c r="I23" i="6" s="1"/>
  <c r="M20" i="6"/>
  <c r="S7" i="1"/>
  <c r="C12" i="12"/>
  <c r="C19" i="15"/>
  <c r="C20" i="15" s="1"/>
  <c r="C26" i="15" s="1"/>
  <c r="G20" i="78"/>
  <c r="E41" i="78" s="1"/>
  <c r="C41" i="78" s="1"/>
  <c r="S10" i="39"/>
  <c r="AA10" i="39"/>
  <c r="U10" i="40"/>
  <c r="AB10" i="40"/>
  <c r="AC10" i="40"/>
  <c r="W10" i="40"/>
  <c r="C38" i="11"/>
  <c r="C35" i="11"/>
  <c r="C47" i="11"/>
  <c r="D45" i="11" s="1"/>
  <c r="C29" i="11"/>
  <c r="D27" i="11" s="1"/>
  <c r="C29" i="68"/>
  <c r="D27" i="68" s="1"/>
  <c r="C47" i="68"/>
  <c r="D45" i="68" s="1"/>
  <c r="C38" i="68"/>
  <c r="C35" i="68"/>
  <c r="F50" i="11"/>
  <c r="F50" i="68"/>
  <c r="C28" i="11"/>
  <c r="C27" i="11" s="1"/>
  <c r="C19" i="67"/>
  <c r="C20" i="67" s="1"/>
  <c r="J24" i="15"/>
  <c r="J26" i="15"/>
  <c r="J29" i="15" s="1"/>
  <c r="F22" i="68"/>
  <c r="F22" i="69"/>
  <c r="C43" i="69" s="1"/>
  <c r="F24" i="67"/>
  <c r="C24" i="67" s="1"/>
  <c r="F22" i="11"/>
  <c r="F25" i="12"/>
  <c r="F24" i="15"/>
  <c r="C24" i="15" s="1"/>
  <c r="C46" i="69"/>
  <c r="C45" i="69" s="1"/>
  <c r="C53" i="67"/>
  <c r="E41" i="43"/>
  <c r="C41" i="43" s="1"/>
  <c r="C20" i="43"/>
  <c r="C53" i="15"/>
  <c r="C48" i="15" s="1"/>
  <c r="C10" i="15"/>
  <c r="C5" i="15" s="1"/>
  <c r="C17" i="80"/>
  <c r="C16" i="80"/>
  <c r="C16" i="83"/>
  <c r="D10" i="84"/>
  <c r="C34" i="84"/>
  <c r="D10" i="81"/>
  <c r="C34" i="81"/>
  <c r="M21" i="15"/>
  <c r="F35" i="15"/>
  <c r="C14" i="80"/>
  <c r="C17" i="83"/>
  <c r="C14" i="83"/>
  <c r="C15" i="83" l="1"/>
  <c r="C18" i="83"/>
  <c r="C19" i="83"/>
  <c r="C15" i="80"/>
  <c r="C18" i="80"/>
  <c r="C19" i="80" s="1"/>
  <c r="C35" i="81"/>
  <c r="C38" i="81"/>
  <c r="C10" i="81"/>
  <c r="D19" i="81"/>
  <c r="C35" i="84"/>
  <c r="C38" i="84"/>
  <c r="C10" i="84"/>
  <c r="D19" i="84"/>
  <c r="Q61" i="80"/>
  <c r="Q74" i="80"/>
  <c r="Q73" i="80"/>
  <c r="Q60" i="80"/>
  <c r="F1" i="80"/>
  <c r="Q52" i="80"/>
  <c r="B5" i="71"/>
  <c r="S6" i="71"/>
  <c r="D22" i="82"/>
  <c r="J107" i="82"/>
  <c r="J105" i="82"/>
  <c r="J103" i="82"/>
  <c r="J106" i="82"/>
  <c r="J104" i="82"/>
  <c r="J102" i="82"/>
  <c r="J109" i="82"/>
  <c r="H109" i="82"/>
  <c r="H107" i="82"/>
  <c r="H105" i="82"/>
  <c r="H103" i="82"/>
  <c r="H106" i="82"/>
  <c r="H104" i="82"/>
  <c r="H102" i="82"/>
  <c r="G107" i="82"/>
  <c r="G105" i="82"/>
  <c r="G103" i="82"/>
  <c r="G109" i="82"/>
  <c r="G106" i="82"/>
  <c r="G104" i="82"/>
  <c r="G102" i="82"/>
  <c r="I118" i="82"/>
  <c r="J118" i="82" s="1"/>
  <c r="K118" i="82" s="1"/>
  <c r="L118" i="82" s="1"/>
  <c r="M118" i="82" s="1"/>
  <c r="I117" i="82"/>
  <c r="J117" i="82" s="1"/>
  <c r="K117" i="82" s="1"/>
  <c r="L117" i="82" s="1"/>
  <c r="M117" i="82" s="1"/>
  <c r="I115" i="82"/>
  <c r="J115" i="82" s="1"/>
  <c r="K115" i="82" s="1"/>
  <c r="L115" i="82" s="1"/>
  <c r="M115" i="82" s="1"/>
  <c r="B118" i="82"/>
  <c r="C118" i="82" s="1"/>
  <c r="B117" i="82"/>
  <c r="C117" i="82" s="1"/>
  <c r="B116" i="82"/>
  <c r="C116" i="82" s="1"/>
  <c r="B115" i="82"/>
  <c r="G118" i="82"/>
  <c r="H118" i="82" s="1"/>
  <c r="I116" i="82"/>
  <c r="J116" i="82" s="1"/>
  <c r="K116" i="82" s="1"/>
  <c r="L116" i="82" s="1"/>
  <c r="M116" i="82" s="1"/>
  <c r="D118" i="82"/>
  <c r="E118" i="82" s="1"/>
  <c r="F118" i="82" s="1"/>
  <c r="D117" i="82"/>
  <c r="E117" i="82" s="1"/>
  <c r="F117" i="82" s="1"/>
  <c r="G117" i="82" s="1"/>
  <c r="H117" i="82" s="1"/>
  <c r="D116" i="82"/>
  <c r="E116" i="82" s="1"/>
  <c r="F116" i="82" s="1"/>
  <c r="G116" i="82" s="1"/>
  <c r="H116" i="82" s="1"/>
  <c r="D115" i="82"/>
  <c r="E115" i="82" s="1"/>
  <c r="F115" i="82" s="1"/>
  <c r="G115" i="82" s="1"/>
  <c r="H115" i="82" s="1"/>
  <c r="F107" i="82"/>
  <c r="F105" i="82"/>
  <c r="F103" i="82"/>
  <c r="F109" i="82"/>
  <c r="F106" i="82"/>
  <c r="F104" i="82"/>
  <c r="F102" i="82"/>
  <c r="D107" i="82"/>
  <c r="D105" i="82"/>
  <c r="D103" i="82"/>
  <c r="D106" i="82"/>
  <c r="D104" i="82"/>
  <c r="D102" i="82"/>
  <c r="D109" i="82"/>
  <c r="E109" i="82"/>
  <c r="E107" i="82"/>
  <c r="E105" i="82"/>
  <c r="E103" i="82"/>
  <c r="E106" i="82"/>
  <c r="E104" i="82"/>
  <c r="E102" i="82"/>
  <c r="M109" i="82"/>
  <c r="M107" i="82"/>
  <c r="M105" i="82"/>
  <c r="M103" i="82"/>
  <c r="M106" i="82"/>
  <c r="M104" i="82"/>
  <c r="M102" i="82"/>
  <c r="J102" i="43"/>
  <c r="J105" i="43"/>
  <c r="J104" i="43"/>
  <c r="J107" i="43"/>
  <c r="J109" i="43"/>
  <c r="J103" i="43"/>
  <c r="J106" i="43"/>
  <c r="K106" i="43"/>
  <c r="K102" i="43"/>
  <c r="K109" i="43"/>
  <c r="K103" i="43"/>
  <c r="K105" i="43"/>
  <c r="K104" i="43"/>
  <c r="K107" i="43"/>
  <c r="N106" i="43"/>
  <c r="N103" i="43"/>
  <c r="N109" i="43"/>
  <c r="N104" i="43"/>
  <c r="N105" i="43"/>
  <c r="N107" i="43"/>
  <c r="N102" i="43"/>
  <c r="C107" i="43"/>
  <c r="C104" i="43"/>
  <c r="C105" i="43"/>
  <c r="C109" i="43"/>
  <c r="C103" i="43"/>
  <c r="C106" i="43"/>
  <c r="C102" i="43"/>
  <c r="F102" i="43"/>
  <c r="F104" i="43"/>
  <c r="F109" i="43"/>
  <c r="F105" i="43"/>
  <c r="F107" i="43"/>
  <c r="F103" i="43"/>
  <c r="F106" i="43"/>
  <c r="I109" i="43"/>
  <c r="I103" i="43"/>
  <c r="I105" i="43"/>
  <c r="I102" i="43"/>
  <c r="I106" i="43"/>
  <c r="I107" i="43"/>
  <c r="I104" i="43"/>
  <c r="B115" i="43"/>
  <c r="D117" i="43"/>
  <c r="E117" i="43" s="1"/>
  <c r="F117" i="43" s="1"/>
  <c r="G117" i="43" s="1"/>
  <c r="H117" i="43" s="1"/>
  <c r="D118" i="43"/>
  <c r="E118" i="43" s="1"/>
  <c r="F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I115" i="43"/>
  <c r="J115" i="43" s="1"/>
  <c r="K115" i="43" s="1"/>
  <c r="L115" i="43" s="1"/>
  <c r="M115" i="43" s="1"/>
  <c r="G118" i="43"/>
  <c r="H118" i="43" s="1"/>
  <c r="B118" i="43"/>
  <c r="C118" i="43" s="1"/>
  <c r="B117" i="43"/>
  <c r="C117" i="43" s="1"/>
  <c r="E40" i="36"/>
  <c r="F40" i="36" s="1"/>
  <c r="E41" i="36"/>
  <c r="F41" i="36" s="1"/>
  <c r="E52" i="21"/>
  <c r="F52" i="21" s="1"/>
  <c r="E53" i="21"/>
  <c r="F53" i="21" s="1"/>
  <c r="D22" i="78"/>
  <c r="E109" i="78"/>
  <c r="E106" i="78"/>
  <c r="E104" i="78"/>
  <c r="E102" i="78"/>
  <c r="E107" i="78"/>
  <c r="E105" i="78"/>
  <c r="E103" i="78"/>
  <c r="M109" i="78"/>
  <c r="M106" i="78"/>
  <c r="M104" i="78"/>
  <c r="M102" i="78"/>
  <c r="M107" i="78"/>
  <c r="M105" i="78"/>
  <c r="M103" i="78"/>
  <c r="H109" i="78"/>
  <c r="H106" i="78"/>
  <c r="H104" i="78"/>
  <c r="H102" i="78"/>
  <c r="H107" i="78"/>
  <c r="H105" i="78"/>
  <c r="H103" i="78"/>
  <c r="G106" i="78"/>
  <c r="G104" i="78"/>
  <c r="G102" i="78"/>
  <c r="G109" i="78"/>
  <c r="G107" i="78"/>
  <c r="G105" i="78"/>
  <c r="G103" i="78"/>
  <c r="G118" i="78"/>
  <c r="H118" i="78" s="1"/>
  <c r="I116" i="78"/>
  <c r="J116" i="78" s="1"/>
  <c r="K116" i="78" s="1"/>
  <c r="L116" i="78" s="1"/>
  <c r="M116"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7" i="78"/>
  <c r="J117" i="78" s="1"/>
  <c r="K117" i="78" s="1"/>
  <c r="L117" i="78" s="1"/>
  <c r="M117" i="78" s="1"/>
  <c r="I115" i="78"/>
  <c r="J115" i="78" s="1"/>
  <c r="K115" i="78" s="1"/>
  <c r="L115" i="78" s="1"/>
  <c r="M115" i="78" s="1"/>
  <c r="B118" i="78"/>
  <c r="C118" i="78" s="1"/>
  <c r="B117" i="78"/>
  <c r="C117" i="78" s="1"/>
  <c r="B116" i="78"/>
  <c r="C116" i="78" s="1"/>
  <c r="B115" i="78"/>
  <c r="J107" i="78"/>
  <c r="J105" i="78"/>
  <c r="J103" i="78"/>
  <c r="J109" i="78"/>
  <c r="J106" i="78"/>
  <c r="J104" i="78"/>
  <c r="J102" i="78"/>
  <c r="C38" i="35"/>
  <c r="C39" i="35"/>
  <c r="B2" i="35" s="1"/>
  <c r="B3" i="35" s="1"/>
  <c r="D19" i="6"/>
  <c r="D26" i="6"/>
  <c r="C18" i="4"/>
  <c r="D8" i="6"/>
  <c r="D23" i="6"/>
  <c r="D14" i="6"/>
  <c r="D5" i="6"/>
  <c r="D12" i="6"/>
  <c r="D11" i="6"/>
  <c r="D13" i="6"/>
  <c r="D28" i="6"/>
  <c r="D30" i="6" s="1"/>
  <c r="E61" i="40"/>
  <c r="D15" i="6"/>
  <c r="D21" i="6"/>
  <c r="D20" i="6"/>
  <c r="D9" i="6"/>
  <c r="D25" i="6"/>
  <c r="R25" i="6" s="1"/>
  <c r="D22" i="6"/>
  <c r="R22" i="6" s="1"/>
  <c r="R9" i="1" s="1"/>
  <c r="D24" i="6"/>
  <c r="D6" i="6"/>
  <c r="D10" i="6"/>
  <c r="D29" i="6"/>
  <c r="H19" i="6"/>
  <c r="C43" i="37"/>
  <c r="B2" i="37" s="1"/>
  <c r="B3" i="37" s="1"/>
  <c r="C42" i="37"/>
  <c r="H26" i="6"/>
  <c r="R26" i="6" s="1"/>
  <c r="E8" i="70"/>
  <c r="E2" i="70" s="1"/>
  <c r="E11" i="70"/>
  <c r="C107" i="82"/>
  <c r="C105" i="82"/>
  <c r="C103" i="82"/>
  <c r="C109" i="82"/>
  <c r="C106" i="82"/>
  <c r="C104" i="82"/>
  <c r="C102" i="82"/>
  <c r="K107" i="82"/>
  <c r="K105" i="82"/>
  <c r="K103" i="82"/>
  <c r="K109" i="82"/>
  <c r="K106" i="82"/>
  <c r="K104" i="82"/>
  <c r="K102" i="82"/>
  <c r="N107" i="82"/>
  <c r="N105" i="82"/>
  <c r="N103" i="82"/>
  <c r="N109" i="82"/>
  <c r="N106" i="82"/>
  <c r="N104" i="82"/>
  <c r="N102" i="82"/>
  <c r="L107" i="82"/>
  <c r="L105" i="82"/>
  <c r="L103" i="82"/>
  <c r="L109" i="82"/>
  <c r="L106" i="82"/>
  <c r="L104" i="82"/>
  <c r="L102" i="82"/>
  <c r="I109" i="82"/>
  <c r="I107" i="82"/>
  <c r="I105" i="82"/>
  <c r="I103" i="82"/>
  <c r="I106" i="82"/>
  <c r="I104" i="82"/>
  <c r="I102" i="82"/>
  <c r="G107" i="43"/>
  <c r="G106" i="43"/>
  <c r="G105" i="43"/>
  <c r="G109" i="43"/>
  <c r="G104" i="43"/>
  <c r="G103" i="43"/>
  <c r="G102" i="43"/>
  <c r="D22" i="43"/>
  <c r="D106" i="43"/>
  <c r="D109" i="43"/>
  <c r="D103" i="43"/>
  <c r="D107" i="43"/>
  <c r="D102" i="43"/>
  <c r="D105" i="43"/>
  <c r="D104" i="43"/>
  <c r="E105" i="43"/>
  <c r="E102" i="43"/>
  <c r="E109" i="43"/>
  <c r="E106" i="43"/>
  <c r="E103" i="43"/>
  <c r="E107" i="43"/>
  <c r="E104" i="43"/>
  <c r="H109" i="43"/>
  <c r="H106" i="43"/>
  <c r="H104" i="43"/>
  <c r="H107" i="43"/>
  <c r="H103" i="43"/>
  <c r="H105" i="43"/>
  <c r="H102" i="43"/>
  <c r="M102" i="43"/>
  <c r="M103" i="43"/>
  <c r="M105" i="43"/>
  <c r="M106" i="43"/>
  <c r="M107" i="43"/>
  <c r="M109" i="43"/>
  <c r="M104" i="43"/>
  <c r="L109" i="43"/>
  <c r="L102" i="43"/>
  <c r="L104" i="43"/>
  <c r="L103" i="43"/>
  <c r="L107" i="43"/>
  <c r="L106" i="43"/>
  <c r="L105" i="43"/>
  <c r="C37" i="36"/>
  <c r="B2" i="36" s="1"/>
  <c r="B3" i="36" s="1"/>
  <c r="C36" i="36"/>
  <c r="H6" i="3"/>
  <c r="E6" i="3" s="1"/>
  <c r="C11" i="71"/>
  <c r="D12" i="71"/>
  <c r="D10" i="68"/>
  <c r="D20" i="12"/>
  <c r="C20" i="12" s="1"/>
  <c r="C18" i="12" s="1"/>
  <c r="D10" i="11"/>
  <c r="C10" i="11" s="1"/>
  <c r="D17" i="12"/>
  <c r="C17" i="12" s="1"/>
  <c r="C14" i="12"/>
  <c r="C16" i="12" s="1"/>
  <c r="C21" i="12" s="1"/>
  <c r="C49" i="21"/>
  <c r="B2" i="21" s="1"/>
  <c r="B3" i="21" s="1"/>
  <c r="C48" i="21"/>
  <c r="O63" i="40"/>
  <c r="O65" i="40" s="1"/>
  <c r="J7" i="40" s="1"/>
  <c r="N65" i="40"/>
  <c r="H7" i="40" s="1"/>
  <c r="I106" i="78"/>
  <c r="I104" i="78"/>
  <c r="I102" i="78"/>
  <c r="I109" i="78"/>
  <c r="I107" i="78"/>
  <c r="I105" i="78"/>
  <c r="I103" i="78"/>
  <c r="D109" i="78"/>
  <c r="D106" i="78"/>
  <c r="D104" i="78"/>
  <c r="D102" i="78"/>
  <c r="D107" i="78"/>
  <c r="D105" i="78"/>
  <c r="D103" i="78"/>
  <c r="L109" i="78"/>
  <c r="L106" i="78"/>
  <c r="L104" i="78"/>
  <c r="L102" i="78"/>
  <c r="L107" i="78"/>
  <c r="L105" i="78"/>
  <c r="L103" i="78"/>
  <c r="C109" i="78"/>
  <c r="C106" i="78"/>
  <c r="C104" i="78"/>
  <c r="C102" i="78"/>
  <c r="C107" i="78"/>
  <c r="C105" i="78"/>
  <c r="C103" i="78"/>
  <c r="K109" i="78"/>
  <c r="K106" i="78"/>
  <c r="K104" i="78"/>
  <c r="K102" i="78"/>
  <c r="K107" i="78"/>
  <c r="K105" i="78"/>
  <c r="K103" i="78"/>
  <c r="F107" i="78"/>
  <c r="F105" i="78"/>
  <c r="F103" i="78"/>
  <c r="F109" i="78"/>
  <c r="F106" i="78"/>
  <c r="F104" i="78"/>
  <c r="F102" i="78"/>
  <c r="N107" i="78"/>
  <c r="N105" i="78"/>
  <c r="N103" i="78"/>
  <c r="N109" i="78"/>
  <c r="N106" i="78"/>
  <c r="N104" i="78"/>
  <c r="N102" i="78"/>
  <c r="E43" i="35"/>
  <c r="F43" i="35" s="1"/>
  <c r="E42" i="35"/>
  <c r="F42" i="35" s="1"/>
  <c r="I41" i="36"/>
  <c r="J41" i="36" s="1"/>
  <c r="K70" i="39"/>
  <c r="L68" i="39"/>
  <c r="E47" i="37"/>
  <c r="F47" i="37" s="1"/>
  <c r="E46" i="37"/>
  <c r="F46" i="37" s="1"/>
  <c r="I42" i="35"/>
  <c r="J42" i="35" s="1"/>
  <c r="I43" i="35"/>
  <c r="J43" i="35" s="1"/>
  <c r="Q52" i="83"/>
  <c r="F1" i="83"/>
  <c r="Q57" i="83"/>
  <c r="Q66" i="83"/>
  <c r="C49" i="83"/>
  <c r="C48" i="83" s="1"/>
  <c r="Q66" i="80"/>
  <c r="Q57" i="80"/>
  <c r="Q61" i="83"/>
  <c r="Q74" i="83"/>
  <c r="Q73" i="83"/>
  <c r="Q60" i="83"/>
  <c r="C26" i="84"/>
  <c r="D22" i="84" s="1"/>
  <c r="C44" i="84"/>
  <c r="D41" i="84" s="1"/>
  <c r="C38" i="83"/>
  <c r="T14" i="82"/>
  <c r="V14" i="82" s="1"/>
  <c r="T12" i="82"/>
  <c r="V12" i="82" s="1"/>
  <c r="T10" i="82"/>
  <c r="V10" i="82" s="1"/>
  <c r="T11" i="82"/>
  <c r="V11" i="82" s="1"/>
  <c r="T15" i="82"/>
  <c r="V15" i="82" s="1"/>
  <c r="T13" i="82"/>
  <c r="V13" i="82" s="1"/>
  <c r="T9" i="82"/>
  <c r="V9" i="82" s="1"/>
  <c r="T16" i="82"/>
  <c r="V16" i="82" s="1"/>
  <c r="T8" i="82"/>
  <c r="V8" i="82" s="1"/>
  <c r="C37" i="82"/>
  <c r="C35" i="82"/>
  <c r="C33" i="82"/>
  <c r="C36" i="82"/>
  <c r="C34" i="82"/>
  <c r="C39" i="82"/>
  <c r="C38" i="82"/>
  <c r="C26" i="81"/>
  <c r="D22" i="81" s="1"/>
  <c r="C44" i="81"/>
  <c r="D41" i="81" s="1"/>
  <c r="C66" i="80"/>
  <c r="C60" i="80"/>
  <c r="C20" i="78"/>
  <c r="C33" i="11"/>
  <c r="C39" i="11" s="1"/>
  <c r="C46" i="11" s="1"/>
  <c r="C45" i="11" s="1"/>
  <c r="S16" i="1"/>
  <c r="I20" i="6"/>
  <c r="I27" i="6" s="1"/>
  <c r="M27" i="6"/>
  <c r="AQ7" i="1"/>
  <c r="AR7" i="1"/>
  <c r="T7" i="1"/>
  <c r="S23" i="6"/>
  <c r="H23" i="6"/>
  <c r="R23" i="6" s="1"/>
  <c r="R10" i="1" s="1"/>
  <c r="S21" i="6"/>
  <c r="H21" i="6"/>
  <c r="R21" i="6" s="1"/>
  <c r="R8" i="1" s="1"/>
  <c r="S24" i="6"/>
  <c r="H24" i="6"/>
  <c r="R24" i="6" s="1"/>
  <c r="R11" i="1" s="1"/>
  <c r="H20" i="6"/>
  <c r="S20" i="6"/>
  <c r="S27" i="6" s="1"/>
  <c r="AQ10" i="1"/>
  <c r="T10" i="1"/>
  <c r="AR10" i="1"/>
  <c r="AR8" i="1"/>
  <c r="AQ8" i="1"/>
  <c r="T8" i="1"/>
  <c r="T11" i="1"/>
  <c r="AQ11" i="1"/>
  <c r="AR11" i="1"/>
  <c r="J20" i="15"/>
  <c r="F63" i="15"/>
  <c r="C62" i="15" s="1"/>
  <c r="C34" i="15"/>
  <c r="C39" i="78"/>
  <c r="C38" i="78"/>
  <c r="C26" i="67"/>
  <c r="C23" i="15"/>
  <c r="C29" i="15" s="1"/>
  <c r="Q49" i="15" s="1"/>
  <c r="C23" i="67"/>
  <c r="C39" i="43"/>
  <c r="C38" i="43"/>
  <c r="C38" i="15"/>
  <c r="C43" i="11"/>
  <c r="C26" i="11"/>
  <c r="D22" i="11" s="1"/>
  <c r="C42" i="11"/>
  <c r="C44" i="11"/>
  <c r="D41" i="11" s="1"/>
  <c r="C24" i="11"/>
  <c r="C23" i="11"/>
  <c r="C25" i="11"/>
  <c r="C66" i="15"/>
  <c r="C60" i="15"/>
  <c r="C26" i="12"/>
  <c r="D25" i="12" s="1"/>
  <c r="C26" i="68"/>
  <c r="D22" i="68" s="1"/>
  <c r="C23" i="68"/>
  <c r="C44" i="68"/>
  <c r="D41" i="68" s="1"/>
  <c r="T14" i="43"/>
  <c r="V14" i="43" s="1"/>
  <c r="C36" i="43"/>
  <c r="T13" i="43"/>
  <c r="V13" i="43" s="1"/>
  <c r="T9" i="43"/>
  <c r="V9" i="43" s="1"/>
  <c r="T10" i="43"/>
  <c r="V10" i="43" s="1"/>
  <c r="T8" i="43"/>
  <c r="V8" i="43" s="1"/>
  <c r="T15" i="43"/>
  <c r="V15" i="43" s="1"/>
  <c r="C37" i="43"/>
  <c r="C33" i="43"/>
  <c r="T11" i="43"/>
  <c r="V11" i="43" s="1"/>
  <c r="C35" i="43"/>
  <c r="T16" i="43"/>
  <c r="V16" i="43" s="1"/>
  <c r="T12" i="43"/>
  <c r="V12" i="43" s="1"/>
  <c r="C34" i="43"/>
  <c r="C44" i="69"/>
  <c r="D41" i="69" s="1"/>
  <c r="C26" i="69"/>
  <c r="D22" i="69" s="1"/>
  <c r="C24" i="69"/>
  <c r="C42" i="69"/>
  <c r="C41" i="69" s="1"/>
  <c r="F35" i="80"/>
  <c r="F35" i="83"/>
  <c r="M21" i="83"/>
  <c r="M21" i="80"/>
  <c r="AE8" i="1"/>
  <c r="F41" i="80" s="1"/>
  <c r="AE11" i="1"/>
  <c r="F41" i="83" s="1"/>
  <c r="J29" i="83" l="1"/>
  <c r="F69" i="83"/>
  <c r="F69" i="80"/>
  <c r="J29" i="80"/>
  <c r="AB7" i="40"/>
  <c r="T42" i="40" s="1"/>
  <c r="G42" i="40" s="1"/>
  <c r="G46" i="40" s="1"/>
  <c r="H46" i="40" s="1"/>
  <c r="U7" i="40"/>
  <c r="C22" i="12"/>
  <c r="C30" i="12" s="1"/>
  <c r="C28" i="12" s="1"/>
  <c r="C60" i="83"/>
  <c r="C66" i="83"/>
  <c r="C20" i="80"/>
  <c r="C26" i="80"/>
  <c r="C23" i="80"/>
  <c r="L70" i="39"/>
  <c r="M68" i="39"/>
  <c r="C10" i="68"/>
  <c r="D19" i="68"/>
  <c r="D11" i="71"/>
  <c r="C10" i="71"/>
  <c r="A7" i="51"/>
  <c r="B7" i="72" s="1"/>
  <c r="C4" i="52"/>
  <c r="B45" i="72" s="1"/>
  <c r="A10" i="51"/>
  <c r="B9" i="72" s="1"/>
  <c r="M19" i="9"/>
  <c r="C118" i="9" s="1"/>
  <c r="C14" i="74" s="1"/>
  <c r="B2" i="74" s="1"/>
  <c r="D27" i="6"/>
  <c r="D31" i="6" s="1"/>
  <c r="L19" i="9"/>
  <c r="R19" i="6"/>
  <c r="R6" i="1" s="1"/>
  <c r="F7" i="40"/>
  <c r="C115" i="78"/>
  <c r="D113" i="78"/>
  <c r="C115" i="43"/>
  <c r="D113" i="43"/>
  <c r="C19" i="84"/>
  <c r="C24" i="84" s="1"/>
  <c r="D37" i="84"/>
  <c r="C37" i="84" s="1"/>
  <c r="C33" i="84" s="1"/>
  <c r="C19" i="81"/>
  <c r="C24" i="81" s="1"/>
  <c r="D37" i="81"/>
  <c r="C37" i="81" s="1"/>
  <c r="C33" i="81" s="1"/>
  <c r="C23" i="78"/>
  <c r="C21" i="78" s="1"/>
  <c r="S6" i="78"/>
  <c r="T6" i="78" s="1"/>
  <c r="V6" i="78" s="1"/>
  <c r="S4" i="78"/>
  <c r="S3" i="78"/>
  <c r="S7" i="78"/>
  <c r="S2" i="78"/>
  <c r="S5" i="78"/>
  <c r="W7" i="40"/>
  <c r="AC7" i="40"/>
  <c r="V42" i="40" s="1"/>
  <c r="I42" i="40" s="1"/>
  <c r="S4" i="82"/>
  <c r="T4" i="82" s="1"/>
  <c r="V4" i="82" s="1"/>
  <c r="S5" i="82"/>
  <c r="T5" i="82" s="1"/>
  <c r="V5" i="82" s="1"/>
  <c r="S7" i="82"/>
  <c r="T7" i="82" s="1"/>
  <c r="V7" i="82" s="1"/>
  <c r="S6" i="82"/>
  <c r="T6" i="82" s="1"/>
  <c r="V6" i="82" s="1"/>
  <c r="S3" i="82"/>
  <c r="T3" i="82" s="1"/>
  <c r="V3" i="82" s="1"/>
  <c r="C23" i="82"/>
  <c r="C21" i="82" s="1"/>
  <c r="C29" i="82" s="1"/>
  <c r="C6" i="84" s="1"/>
  <c r="C7" i="84" s="1"/>
  <c r="C5" i="84" s="1"/>
  <c r="S2" i="82"/>
  <c r="T2" i="82" s="1"/>
  <c r="V2" i="82" s="1"/>
  <c r="D16" i="6"/>
  <c r="S5" i="43"/>
  <c r="T5" i="43" s="1"/>
  <c r="V5" i="43" s="1"/>
  <c r="S3" i="43"/>
  <c r="T3" i="43" s="1"/>
  <c r="V3" i="43" s="1"/>
  <c r="S6" i="43"/>
  <c r="T6" i="43" s="1"/>
  <c r="V6" i="43" s="1"/>
  <c r="S7" i="43"/>
  <c r="T7" i="43" s="1"/>
  <c r="V7" i="43" s="1"/>
  <c r="C23" i="43"/>
  <c r="C21" i="43" s="1"/>
  <c r="C29" i="43" s="1"/>
  <c r="S2" i="43"/>
  <c r="T2" i="43" s="1"/>
  <c r="V2" i="43" s="1"/>
  <c r="S4" i="43"/>
  <c r="T4" i="43" s="1"/>
  <c r="V4" i="43" s="1"/>
  <c r="C115" i="82"/>
  <c r="D113" i="82"/>
  <c r="C20" i="83"/>
  <c r="C23" i="83" s="1"/>
  <c r="C36" i="78"/>
  <c r="E36" i="78" s="1"/>
  <c r="C29" i="78"/>
  <c r="C30" i="78" s="1"/>
  <c r="E30" i="78" s="1"/>
  <c r="T11" i="78"/>
  <c r="V11" i="78" s="1"/>
  <c r="F63" i="83"/>
  <c r="C62" i="83" s="1"/>
  <c r="C34" i="83"/>
  <c r="J20" i="83"/>
  <c r="G39" i="82"/>
  <c r="I39" i="82" s="1"/>
  <c r="E39" i="82"/>
  <c r="G36" i="82"/>
  <c r="I36" i="82" s="1"/>
  <c r="E36" i="82"/>
  <c r="G35" i="82"/>
  <c r="I35" i="82" s="1"/>
  <c r="E35" i="82"/>
  <c r="G38" i="82"/>
  <c r="I38" i="82" s="1"/>
  <c r="E38" i="82"/>
  <c r="G34" i="82"/>
  <c r="I34" i="82" s="1"/>
  <c r="E34" i="82"/>
  <c r="G33" i="82"/>
  <c r="I33" i="82" s="1"/>
  <c r="E33" i="82"/>
  <c r="G37" i="82"/>
  <c r="I37" i="82" s="1"/>
  <c r="E37" i="82"/>
  <c r="C30" i="82"/>
  <c r="E30" i="82" s="1"/>
  <c r="E29" i="82"/>
  <c r="T12" i="78"/>
  <c r="V12" i="78" s="1"/>
  <c r="C35" i="78"/>
  <c r="G35" i="78" s="1"/>
  <c r="I35" i="78" s="1"/>
  <c r="T4" i="78"/>
  <c r="V4" i="78" s="1"/>
  <c r="J59" i="80"/>
  <c r="J60" i="80" s="1"/>
  <c r="Q48" i="80" s="1"/>
  <c r="C37" i="78"/>
  <c r="G37" i="78" s="1"/>
  <c r="I37" i="78" s="1"/>
  <c r="T2" i="78"/>
  <c r="V2" i="78" s="1"/>
  <c r="T8" i="78"/>
  <c r="V8" i="78" s="1"/>
  <c r="T13" i="78"/>
  <c r="V13" i="78" s="1"/>
  <c r="T16" i="78"/>
  <c r="V16" i="78" s="1"/>
  <c r="C6" i="69"/>
  <c r="C7" i="69" s="1"/>
  <c r="C5" i="69" s="1"/>
  <c r="F63" i="80"/>
  <c r="C62" i="80" s="1"/>
  <c r="C34" i="80"/>
  <c r="J20" i="80"/>
  <c r="C41" i="11"/>
  <c r="C49" i="11" s="1"/>
  <c r="C51" i="11" s="1"/>
  <c r="C33" i="78"/>
  <c r="E33" i="78" s="1"/>
  <c r="T5" i="78"/>
  <c r="V5" i="78" s="1"/>
  <c r="T14" i="78"/>
  <c r="V14" i="78" s="1"/>
  <c r="T7" i="78"/>
  <c r="V7" i="78" s="1"/>
  <c r="T3" i="78"/>
  <c r="V3" i="78" s="1"/>
  <c r="C34" i="78"/>
  <c r="G34" i="78" s="1"/>
  <c r="I34" i="78" s="1"/>
  <c r="T9" i="78"/>
  <c r="V9" i="78" s="1"/>
  <c r="T15" i="78"/>
  <c r="V15" i="78" s="1"/>
  <c r="T10" i="78"/>
  <c r="V10" i="78" s="1"/>
  <c r="R20" i="6"/>
  <c r="H27" i="6"/>
  <c r="T16" i="1"/>
  <c r="C22" i="11"/>
  <c r="C31" i="11" s="1"/>
  <c r="G39" i="78"/>
  <c r="I39" i="78" s="1"/>
  <c r="E39" i="78"/>
  <c r="G38" i="78"/>
  <c r="I38" i="78" s="1"/>
  <c r="E38" i="78"/>
  <c r="C29" i="67"/>
  <c r="C57" i="67" s="1"/>
  <c r="C64" i="67" s="1"/>
  <c r="C33" i="15"/>
  <c r="C31" i="15" s="1"/>
  <c r="C13" i="15"/>
  <c r="C75" i="15" s="1"/>
  <c r="C36" i="15"/>
  <c r="J14" i="15"/>
  <c r="J22" i="15" s="1"/>
  <c r="J59" i="15"/>
  <c r="J60" i="15" s="1"/>
  <c r="C57" i="15"/>
  <c r="C64" i="15" s="1"/>
  <c r="C49" i="69"/>
  <c r="C51" i="69" s="1"/>
  <c r="J19" i="15"/>
  <c r="J17" i="15" s="1"/>
  <c r="E34" i="43"/>
  <c r="G34" i="43"/>
  <c r="I34" i="43" s="1"/>
  <c r="G33" i="43"/>
  <c r="I33" i="43" s="1"/>
  <c r="E33" i="43"/>
  <c r="C30" i="43"/>
  <c r="E30" i="43" s="1"/>
  <c r="E29" i="43"/>
  <c r="E35" i="43"/>
  <c r="G35" i="43"/>
  <c r="I35" i="43" s="1"/>
  <c r="E37" i="43"/>
  <c r="G37" i="43"/>
  <c r="I37" i="43" s="1"/>
  <c r="E38" i="43"/>
  <c r="G38" i="43"/>
  <c r="I38" i="43" s="1"/>
  <c r="E36" i="43"/>
  <c r="G36" i="43"/>
  <c r="I36" i="43" s="1"/>
  <c r="E39" i="43"/>
  <c r="G39" i="43"/>
  <c r="I39" i="43" s="1"/>
  <c r="M21" i="67"/>
  <c r="F35" i="67"/>
  <c r="C34" i="67" l="1"/>
  <c r="F63" i="67"/>
  <c r="C62" i="67" s="1"/>
  <c r="J20" i="67"/>
  <c r="C26" i="83"/>
  <c r="D8" i="74"/>
  <c r="D7" i="74"/>
  <c r="C9" i="71"/>
  <c r="T10" i="71"/>
  <c r="D10" i="71"/>
  <c r="U10" i="71" s="1"/>
  <c r="C19" i="68"/>
  <c r="D37" i="68"/>
  <c r="C37" i="68" s="1"/>
  <c r="C33" i="68" s="1"/>
  <c r="M70" i="39"/>
  <c r="N68" i="39"/>
  <c r="C29" i="80"/>
  <c r="C27" i="12"/>
  <c r="C25" i="12" s="1"/>
  <c r="C32" i="12" s="1"/>
  <c r="B2" i="12" s="1"/>
  <c r="B3" i="12" s="1"/>
  <c r="C29" i="83"/>
  <c r="G47" i="40"/>
  <c r="H47" i="40" s="1"/>
  <c r="I46" i="40"/>
  <c r="J46" i="40" s="1"/>
  <c r="C39" i="81"/>
  <c r="C43" i="81" s="1"/>
  <c r="C42" i="81"/>
  <c r="C41" i="81" s="1"/>
  <c r="C39" i="84"/>
  <c r="C42" i="84"/>
  <c r="AA7" i="40"/>
  <c r="R42" i="40" s="1"/>
  <c r="S7" i="40"/>
  <c r="I6" i="6"/>
  <c r="I5" i="6"/>
  <c r="C11" i="33" s="1"/>
  <c r="E35" i="78"/>
  <c r="G36" i="78"/>
  <c r="I36" i="78" s="1"/>
  <c r="C27" i="82"/>
  <c r="C26" i="82"/>
  <c r="B2" i="82" s="1"/>
  <c r="B3" i="82" s="1"/>
  <c r="E29" i="78"/>
  <c r="C6" i="81"/>
  <c r="C7" i="81" s="1"/>
  <c r="C5" i="81" s="1"/>
  <c r="E37" i="78"/>
  <c r="C23" i="84"/>
  <c r="C20" i="84"/>
  <c r="C25" i="84" s="1"/>
  <c r="C37" i="15"/>
  <c r="C30" i="15" s="1"/>
  <c r="C39" i="15" s="1"/>
  <c r="C52" i="11"/>
  <c r="B2" i="11" s="1"/>
  <c r="B3" i="11" s="1"/>
  <c r="L46" i="80"/>
  <c r="G33" i="78"/>
  <c r="I33" i="78" s="1"/>
  <c r="E34" i="78"/>
  <c r="R7" i="1"/>
  <c r="R16" i="1" s="1"/>
  <c r="R27" i="6"/>
  <c r="C20" i="69"/>
  <c r="C25" i="69" s="1"/>
  <c r="C23" i="69"/>
  <c r="C56" i="15"/>
  <c r="C65" i="15" s="1"/>
  <c r="C13" i="67"/>
  <c r="C56" i="67" s="1"/>
  <c r="C65" i="67" s="1"/>
  <c r="J14" i="67"/>
  <c r="J19" i="67"/>
  <c r="C36" i="67"/>
  <c r="J59" i="67"/>
  <c r="J60" i="67" s="1"/>
  <c r="Q49" i="67"/>
  <c r="Q70" i="15"/>
  <c r="C33" i="67"/>
  <c r="J13" i="15"/>
  <c r="J23" i="15" s="1"/>
  <c r="J16" i="15" s="1"/>
  <c r="J25" i="15" s="1"/>
  <c r="Q48" i="15"/>
  <c r="C61" i="15"/>
  <c r="C59" i="15" s="1"/>
  <c r="C61" i="67"/>
  <c r="C26" i="43"/>
  <c r="B2" i="43" s="1"/>
  <c r="B3" i="43" s="1"/>
  <c r="C27" i="43"/>
  <c r="L51" i="15"/>
  <c r="C27" i="78" l="1"/>
  <c r="C46" i="81"/>
  <c r="C45" i="81" s="1"/>
  <c r="C46" i="84"/>
  <c r="C45" i="84" s="1"/>
  <c r="C43" i="84"/>
  <c r="R43" i="40"/>
  <c r="E42" i="40"/>
  <c r="O68" i="39"/>
  <c r="O70" i="39" s="1"/>
  <c r="F7" i="39" s="1"/>
  <c r="N70" i="39"/>
  <c r="C39" i="68"/>
  <c r="C42" i="68"/>
  <c r="C8" i="71"/>
  <c r="D9" i="71"/>
  <c r="C11" i="34"/>
  <c r="H11" i="33"/>
  <c r="J11" i="33"/>
  <c r="F11" i="33"/>
  <c r="C41" i="84"/>
  <c r="C49" i="84" s="1"/>
  <c r="C51" i="84" s="1"/>
  <c r="C49" i="81"/>
  <c r="C51" i="81" s="1"/>
  <c r="J59" i="83"/>
  <c r="J60" i="83" s="1"/>
  <c r="C36" i="83"/>
  <c r="C33" i="83"/>
  <c r="C31" i="83" s="1"/>
  <c r="C13" i="83"/>
  <c r="C57" i="83"/>
  <c r="Q49" i="83"/>
  <c r="J14" i="83"/>
  <c r="J19" i="83"/>
  <c r="J17" i="83" s="1"/>
  <c r="Q49" i="80"/>
  <c r="J19" i="80"/>
  <c r="J17" i="80" s="1"/>
  <c r="C57" i="80"/>
  <c r="J14" i="80"/>
  <c r="C33" i="80"/>
  <c r="C13" i="80"/>
  <c r="C36" i="80"/>
  <c r="J7" i="39"/>
  <c r="H7" i="39"/>
  <c r="C20" i="68"/>
  <c r="C25" i="68" s="1"/>
  <c r="C28" i="68"/>
  <c r="C27" i="68" s="1"/>
  <c r="C24" i="68"/>
  <c r="C22" i="68" s="1"/>
  <c r="C26" i="78"/>
  <c r="B2" i="78" s="1"/>
  <c r="B3" i="78" s="1"/>
  <c r="C40" i="15"/>
  <c r="Q65" i="15" s="1"/>
  <c r="Q69" i="15"/>
  <c r="Q68" i="15" s="1"/>
  <c r="C58" i="15"/>
  <c r="C67" i="15" s="1"/>
  <c r="C68" i="15" s="1"/>
  <c r="C71" i="15" s="1"/>
  <c r="C75" i="67"/>
  <c r="C22" i="84"/>
  <c r="C28" i="84"/>
  <c r="C27" i="84" s="1"/>
  <c r="C56" i="11"/>
  <c r="C57" i="11" s="1"/>
  <c r="C23" i="81"/>
  <c r="C20" i="81"/>
  <c r="C25" i="81" s="1"/>
  <c r="C22" i="69"/>
  <c r="C80" i="15"/>
  <c r="C79" i="15" s="1"/>
  <c r="Q70" i="67"/>
  <c r="C37" i="67"/>
  <c r="C28" i="69"/>
  <c r="C27" i="69" s="1"/>
  <c r="J13" i="67"/>
  <c r="J23" i="67" s="1"/>
  <c r="J22" i="67"/>
  <c r="Q48" i="67"/>
  <c r="Q67" i="15"/>
  <c r="L57" i="15"/>
  <c r="L60" i="15" s="1"/>
  <c r="L46" i="15" s="1"/>
  <c r="C43" i="15"/>
  <c r="C31" i="68" l="1"/>
  <c r="AC7" i="39"/>
  <c r="V47" i="39" s="1"/>
  <c r="I47" i="39" s="1"/>
  <c r="I51" i="39" s="1"/>
  <c r="J51" i="39" s="1"/>
  <c r="W7" i="39"/>
  <c r="C75" i="80"/>
  <c r="Q70" i="80"/>
  <c r="C56" i="80"/>
  <c r="C65" i="80" s="1"/>
  <c r="C37" i="80"/>
  <c r="J13" i="80"/>
  <c r="J23" i="80" s="1"/>
  <c r="J22" i="80"/>
  <c r="J16" i="80"/>
  <c r="J25" i="80" s="1"/>
  <c r="Q70" i="83"/>
  <c r="C75" i="83"/>
  <c r="C37" i="83"/>
  <c r="C30" i="83" s="1"/>
  <c r="C39" i="83" s="1"/>
  <c r="C40" i="83" s="1"/>
  <c r="C56" i="83"/>
  <c r="C65" i="83" s="1"/>
  <c r="AA11" i="33"/>
  <c r="R48" i="33" s="1"/>
  <c r="S11" i="33"/>
  <c r="AB11" i="33"/>
  <c r="T48" i="33" s="1"/>
  <c r="G48" i="33" s="1"/>
  <c r="U11" i="33"/>
  <c r="E46" i="40"/>
  <c r="F46" i="40" s="1"/>
  <c r="E47" i="40"/>
  <c r="F47" i="40" s="1"/>
  <c r="I47" i="40"/>
  <c r="J47" i="40" s="1"/>
  <c r="U7" i="39"/>
  <c r="AB7" i="39"/>
  <c r="T47" i="39" s="1"/>
  <c r="G47" i="39" s="1"/>
  <c r="C61" i="80"/>
  <c r="C59" i="80" s="1"/>
  <c r="C58" i="80" s="1"/>
  <c r="C67" i="80" s="1"/>
  <c r="C68" i="80" s="1"/>
  <c r="C71" i="80" s="1"/>
  <c r="C64" i="80"/>
  <c r="J13" i="83"/>
  <c r="J23" i="83" s="1"/>
  <c r="J22" i="83"/>
  <c r="C64" i="83"/>
  <c r="C61" i="83"/>
  <c r="C59" i="83" s="1"/>
  <c r="L46" i="83"/>
  <c r="D2" i="83" s="1"/>
  <c r="B3" i="83" s="1"/>
  <c r="G8" i="77" s="1"/>
  <c r="Q48" i="83"/>
  <c r="W11" i="33"/>
  <c r="AC11" i="33"/>
  <c r="V48" i="33" s="1"/>
  <c r="I48" i="33" s="1"/>
  <c r="F11" i="34"/>
  <c r="H11" i="34"/>
  <c r="J11" i="34"/>
  <c r="C7" i="71"/>
  <c r="D8" i="71"/>
  <c r="C46" i="68"/>
  <c r="C45" i="68" s="1"/>
  <c r="C43" i="68"/>
  <c r="C41" i="68" s="1"/>
  <c r="C49" i="68" s="1"/>
  <c r="C51" i="68" s="1"/>
  <c r="AA7" i="39"/>
  <c r="R47" i="39" s="1"/>
  <c r="S7" i="39"/>
  <c r="C42" i="40"/>
  <c r="C43" i="40"/>
  <c r="B2" i="15"/>
  <c r="B3" i="15" s="1"/>
  <c r="Q47" i="15"/>
  <c r="Q53" i="15" s="1"/>
  <c r="C83" i="15"/>
  <c r="C82" i="15" s="1"/>
  <c r="Q56" i="15"/>
  <c r="C46" i="15"/>
  <c r="Q69" i="83"/>
  <c r="Q68" i="83" s="1"/>
  <c r="Q65" i="83"/>
  <c r="Q75" i="83" s="1"/>
  <c r="C80" i="83"/>
  <c r="C79" i="83" s="1"/>
  <c r="C83" i="83"/>
  <c r="C82" i="83" s="1"/>
  <c r="C43" i="83"/>
  <c r="Q47" i="83"/>
  <c r="Q53" i="83" s="1"/>
  <c r="Q56" i="83"/>
  <c r="Q62" i="83" s="1"/>
  <c r="C31" i="84"/>
  <c r="C28" i="81"/>
  <c r="C27" i="81" s="1"/>
  <c r="C22" i="81"/>
  <c r="C31" i="69"/>
  <c r="Q66" i="15"/>
  <c r="Q75" i="15" s="1"/>
  <c r="Q57" i="15"/>
  <c r="L51" i="83"/>
  <c r="J16" i="83" l="1"/>
  <c r="J25" i="83" s="1"/>
  <c r="C52" i="68"/>
  <c r="B2" i="68" s="1"/>
  <c r="B3" i="68" s="1"/>
  <c r="AC11" i="34"/>
  <c r="V49" i="34" s="1"/>
  <c r="I49" i="34" s="1"/>
  <c r="W11" i="34"/>
  <c r="S11" i="34"/>
  <c r="AA11" i="34"/>
  <c r="R49" i="34" s="1"/>
  <c r="G52" i="33"/>
  <c r="H52" i="33" s="1"/>
  <c r="G53" i="33"/>
  <c r="H53" i="33" s="1"/>
  <c r="E48" i="33"/>
  <c r="R49" i="33"/>
  <c r="B53" i="40"/>
  <c r="F53" i="40" s="1"/>
  <c r="B59" i="40"/>
  <c r="F59" i="40" s="1"/>
  <c r="B55" i="40"/>
  <c r="F55" i="40" s="1"/>
  <c r="B58" i="40"/>
  <c r="F58" i="40" s="1"/>
  <c r="B54" i="40"/>
  <c r="F54" i="40" s="1"/>
  <c r="B57" i="40"/>
  <c r="F57" i="40" s="1"/>
  <c r="B51" i="40"/>
  <c r="F51" i="40" s="1"/>
  <c r="F61" i="40"/>
  <c r="B2" i="40" s="1"/>
  <c r="B3" i="40" s="1"/>
  <c r="B56" i="40"/>
  <c r="F56" i="40" s="1"/>
  <c r="B60" i="40"/>
  <c r="F60" i="40" s="1"/>
  <c r="B52" i="40"/>
  <c r="F52" i="40" s="1"/>
  <c r="E47" i="39"/>
  <c r="R48" i="39"/>
  <c r="C6" i="71"/>
  <c r="D7" i="71"/>
  <c r="AB11" i="34"/>
  <c r="T49" i="34" s="1"/>
  <c r="G49" i="34" s="1"/>
  <c r="U11" i="34"/>
  <c r="I52" i="33"/>
  <c r="J52" i="33" s="1"/>
  <c r="I53" i="33"/>
  <c r="J53" i="33" s="1"/>
  <c r="C58" i="83"/>
  <c r="C67" i="83" s="1"/>
  <c r="C68" i="83" s="1"/>
  <c r="G51" i="39"/>
  <c r="H51" i="39" s="1"/>
  <c r="G52" i="39"/>
  <c r="H52" i="39" s="1"/>
  <c r="C52" i="84"/>
  <c r="B2" i="84" s="1"/>
  <c r="C52" i="69"/>
  <c r="B2" i="69" s="1"/>
  <c r="Q62" i="15"/>
  <c r="Q67" i="83"/>
  <c r="B2" i="83"/>
  <c r="C31" i="81"/>
  <c r="B3" i="84"/>
  <c r="C19" i="9"/>
  <c r="AO11" i="1"/>
  <c r="B3" i="69"/>
  <c r="C20" i="9" s="1"/>
  <c r="C71" i="83" l="1"/>
  <c r="C45" i="83"/>
  <c r="C46" i="83" s="1"/>
  <c r="G53" i="34"/>
  <c r="H53" i="34" s="1"/>
  <c r="G54" i="34"/>
  <c r="H54" i="34" s="1"/>
  <c r="C5" i="71"/>
  <c r="T6" i="71"/>
  <c r="D6" i="71"/>
  <c r="U6" i="71" s="1"/>
  <c r="I52" i="39"/>
  <c r="J52" i="39" s="1"/>
  <c r="E52" i="39"/>
  <c r="F52" i="39" s="1"/>
  <c r="E51" i="39"/>
  <c r="F51" i="39" s="1"/>
  <c r="C49" i="33"/>
  <c r="C48" i="33"/>
  <c r="E49" i="34"/>
  <c r="R50" i="34"/>
  <c r="C57" i="68"/>
  <c r="C56" i="68" s="1"/>
  <c r="C47" i="39"/>
  <c r="C48" i="39"/>
  <c r="E52" i="33"/>
  <c r="F52" i="33" s="1"/>
  <c r="E53" i="33"/>
  <c r="F53" i="33" s="1"/>
  <c r="I53" i="34"/>
  <c r="J53" i="34" s="1"/>
  <c r="I54" i="34"/>
  <c r="J54" i="34" s="1"/>
  <c r="C57" i="84"/>
  <c r="C56" i="84" s="1"/>
  <c r="F8" i="77"/>
  <c r="H8" i="77" s="1"/>
  <c r="I8" i="77" s="1"/>
  <c r="L8" i="77"/>
  <c r="C52" i="81"/>
  <c r="C57" i="81" s="1"/>
  <c r="C56" i="81" s="1"/>
  <c r="C21" i="9"/>
  <c r="C102" i="9"/>
  <c r="F3" i="77"/>
  <c r="L3" i="77"/>
  <c r="L7" i="77" s="1"/>
  <c r="C57" i="69"/>
  <c r="C56" i="69" s="1"/>
  <c r="B11" i="70"/>
  <c r="C103" i="9"/>
  <c r="F7" i="67"/>
  <c r="C49" i="34" l="1"/>
  <c r="C50" i="34"/>
  <c r="B60" i="39"/>
  <c r="F60" i="39" s="1"/>
  <c r="B62" i="39"/>
  <c r="F62" i="39" s="1"/>
  <c r="B59" i="39"/>
  <c r="F59" i="39" s="1"/>
  <c r="B58" i="39"/>
  <c r="F58" i="39" s="1"/>
  <c r="B61" i="39"/>
  <c r="F61" i="39" s="1"/>
  <c r="B65" i="39"/>
  <c r="F65" i="39" s="1"/>
  <c r="B64" i="39"/>
  <c r="F64" i="39" s="1"/>
  <c r="B56" i="39"/>
  <c r="F56" i="39" s="1"/>
  <c r="F66" i="39" s="1"/>
  <c r="B2" i="39" s="1"/>
  <c r="B3" i="39" s="1"/>
  <c r="B63" i="39"/>
  <c r="F63" i="39" s="1"/>
  <c r="B57" i="39"/>
  <c r="F57" i="39" s="1"/>
  <c r="E53" i="34"/>
  <c r="F53" i="34" s="1"/>
  <c r="E54" i="34"/>
  <c r="F54" i="34" s="1"/>
  <c r="B2" i="33"/>
  <c r="B3" i="33" s="1"/>
  <c r="U6" i="1"/>
  <c r="D5" i="71"/>
  <c r="M20" i="78"/>
  <c r="M20" i="82"/>
  <c r="M20" i="43"/>
  <c r="L5" i="77"/>
  <c r="B2" i="81"/>
  <c r="K8" i="77"/>
  <c r="J8" i="77" s="1"/>
  <c r="L4" i="77"/>
  <c r="L6" i="77"/>
  <c r="M7" i="67"/>
  <c r="J6" i="67" s="1"/>
  <c r="F50" i="67"/>
  <c r="C49" i="67" s="1"/>
  <c r="C48" i="67" s="1"/>
  <c r="B3" i="81"/>
  <c r="F6" i="67"/>
  <c r="C6" i="67" l="1"/>
  <c r="B2" i="34"/>
  <c r="B3" i="34" s="1"/>
  <c r="U8" i="1"/>
  <c r="F5" i="77"/>
  <c r="C10" i="67"/>
  <c r="C5" i="67" s="1"/>
  <c r="C32" i="67"/>
  <c r="C31" i="67" s="1"/>
  <c r="J18" i="67"/>
  <c r="J17" i="67" s="1"/>
  <c r="J5" i="67"/>
  <c r="C66" i="67"/>
  <c r="C60" i="67"/>
  <c r="C59" i="67" s="1"/>
  <c r="F6" i="80"/>
  <c r="C6" i="80" l="1"/>
  <c r="C58" i="67"/>
  <c r="C67" i="67" s="1"/>
  <c r="C68" i="67" s="1"/>
  <c r="C71" i="67" s="1"/>
  <c r="C38" i="67"/>
  <c r="C30" i="67" s="1"/>
  <c r="C39" i="67" s="1"/>
  <c r="J26" i="67"/>
  <c r="J29" i="67" s="1"/>
  <c r="J24" i="67"/>
  <c r="J16" i="67" s="1"/>
  <c r="J25" i="67" s="1"/>
  <c r="L51" i="67"/>
  <c r="C32" i="80" l="1"/>
  <c r="C31" i="80" s="1"/>
  <c r="C30" i="80" s="1"/>
  <c r="C39" i="80" s="1"/>
  <c r="C10" i="80"/>
  <c r="C5" i="80" s="1"/>
  <c r="C38" i="80" s="1"/>
  <c r="Q67" i="67"/>
  <c r="L57" i="67"/>
  <c r="L60" i="67" s="1"/>
  <c r="C80" i="67"/>
  <c r="C79" i="67" s="1"/>
  <c r="Q69" i="67"/>
  <c r="Q68" i="67" s="1"/>
  <c r="C40" i="67"/>
  <c r="C80" i="80" l="1"/>
  <c r="C79" i="80" s="1"/>
  <c r="Q69" i="80"/>
  <c r="Q68" i="80" s="1"/>
  <c r="C40" i="80"/>
  <c r="Q56" i="67"/>
  <c r="C43" i="67"/>
  <c r="Q65" i="67"/>
  <c r="C83" i="67"/>
  <c r="C82" i="67" s="1"/>
  <c r="Q47" i="67"/>
  <c r="Q53" i="67" s="1"/>
  <c r="C45" i="67"/>
  <c r="C46" i="67" s="1"/>
  <c r="L46" i="67"/>
  <c r="D2" i="67" s="1"/>
  <c r="Q57" i="67"/>
  <c r="Q66" i="67"/>
  <c r="L51" i="80"/>
  <c r="Q67" i="80" l="1"/>
  <c r="C83" i="80"/>
  <c r="C82" i="80" s="1"/>
  <c r="Q56" i="80"/>
  <c r="Q62" i="80" s="1"/>
  <c r="Q47" i="80"/>
  <c r="Q53" i="80" s="1"/>
  <c r="C45" i="80"/>
  <c r="C46" i="80" s="1"/>
  <c r="D2" i="80"/>
  <c r="C43" i="80"/>
  <c r="Q65" i="80"/>
  <c r="Q75" i="80" s="1"/>
  <c r="Q75" i="67"/>
  <c r="B3" i="67"/>
  <c r="B2" i="67"/>
  <c r="Q62" i="67"/>
  <c r="D20" i="9"/>
  <c r="AO6" i="1"/>
  <c r="D19" i="9"/>
  <c r="B3" i="80" l="1"/>
  <c r="G5" i="77" s="1"/>
  <c r="H5" i="77" s="1"/>
  <c r="I5" i="77" s="1"/>
  <c r="K5" i="77" s="1"/>
  <c r="J5" i="77" s="1"/>
  <c r="B2" i="80"/>
  <c r="D102" i="9"/>
  <c r="G19" i="9"/>
  <c r="D21" i="9"/>
  <c r="D22" i="9"/>
  <c r="G20" i="9"/>
  <c r="R24" i="31" s="1"/>
  <c r="D103" i="9"/>
  <c r="G3" i="77"/>
  <c r="H3" i="77" s="1"/>
  <c r="I3" i="77" s="1"/>
  <c r="B6" i="70"/>
  <c r="AO8" i="1"/>
  <c r="B8" i="70" l="1"/>
  <c r="B2" i="70"/>
  <c r="B3" i="70" s="1"/>
  <c r="K3" i="77"/>
  <c r="J3" i="77" s="1"/>
  <c r="S24" i="31"/>
  <c r="R27" i="31"/>
  <c r="R28" i="31"/>
  <c r="R25" i="31"/>
  <c r="R26" i="31"/>
  <c r="C32" i="9"/>
  <c r="G21" i="9"/>
  <c r="S28" i="31" l="1"/>
  <c r="S27" i="31"/>
  <c r="H7" i="77"/>
  <c r="I7" i="77" s="1"/>
  <c r="S26" i="31"/>
  <c r="H6" i="77"/>
  <c r="I6" i="77" s="1"/>
  <c r="S25" i="31"/>
  <c r="H4" i="77"/>
  <c r="I4" i="77" s="1"/>
  <c r="C35" i="9"/>
  <c r="F118" i="9" s="1"/>
  <c r="H118" i="9"/>
  <c r="K4" i="77" l="1"/>
  <c r="J4" i="77" s="1"/>
  <c r="K6" i="77"/>
  <c r="J6" i="77" s="1"/>
  <c r="K7" i="77"/>
  <c r="J7" i="77" s="1"/>
  <c r="S22" i="31"/>
  <c r="R22" i="31" s="1"/>
  <c r="B21" i="31" s="1"/>
  <c r="C104" i="9"/>
  <c r="H119" i="9"/>
  <c r="H5" i="52" s="1"/>
  <c r="I118" i="9"/>
  <c r="D14" i="74"/>
  <c r="H4" i="52"/>
  <c r="H101" i="9"/>
  <c r="C34" i="9"/>
  <c r="D118" i="9" s="1"/>
  <c r="G118" i="9"/>
  <c r="G4" i="52" s="1"/>
  <c r="B52" i="72" s="1"/>
  <c r="F119" i="9"/>
  <c r="F5" i="52" s="1"/>
  <c r="B53" i="72" s="1"/>
  <c r="F4" i="52"/>
  <c r="B51" i="72" s="1"/>
  <c r="B20" i="31" l="1"/>
  <c r="D5" i="53"/>
  <c r="H107" i="9"/>
  <c r="M48" i="9"/>
  <c r="D45" i="9"/>
  <c r="F14" i="74"/>
  <c r="B5" i="74"/>
  <c r="E14" i="74"/>
  <c r="D4" i="52"/>
  <c r="B47" i="72" s="1"/>
  <c r="D119" i="9"/>
  <c r="D5" i="52" s="1"/>
  <c r="B49" i="72" s="1"/>
  <c r="I4" i="52"/>
  <c r="H102" i="9"/>
  <c r="D7" i="53" s="1"/>
  <c r="B21" i="72" s="1"/>
  <c r="E118" i="9"/>
  <c r="E4" i="52" s="1"/>
  <c r="B48" i="72" s="1"/>
  <c r="C105" i="9"/>
  <c r="C5" i="74" l="1"/>
  <c r="D5" i="74"/>
  <c r="C93" i="9"/>
  <c r="C86" i="9" s="1"/>
  <c r="C64" i="9"/>
  <c r="C63" i="9" s="1"/>
  <c r="C67" i="9" s="1"/>
  <c r="C68" i="9" s="1"/>
  <c r="D54" i="9" s="1"/>
  <c r="D55" i="9"/>
  <c r="M53" i="9" s="1"/>
  <c r="D53" i="9"/>
  <c r="C78" i="9"/>
  <c r="C73" i="9" s="1"/>
  <c r="D52" i="9"/>
  <c r="C85" i="9"/>
  <c r="C72" i="9"/>
  <c r="D122" i="9"/>
  <c r="D13" i="53"/>
  <c r="H108" i="9"/>
  <c r="D15" i="53" s="1"/>
  <c r="B31" i="72" s="1"/>
  <c r="D6" i="53"/>
  <c r="B22" i="72" s="1"/>
  <c r="B20" i="72"/>
  <c r="C95" i="9" l="1"/>
  <c r="C96" i="9" s="1"/>
  <c r="E96" i="9" s="1"/>
  <c r="E97" i="9" s="1"/>
  <c r="C79" i="9"/>
  <c r="C80" i="9" s="1"/>
  <c r="E80" i="9" s="1"/>
  <c r="E81" i="9" s="1"/>
  <c r="D14" i="53"/>
  <c r="B32" i="72" s="1"/>
  <c r="B30" i="72"/>
  <c r="G14" i="74"/>
  <c r="B6" i="74" s="1"/>
  <c r="D8" i="52"/>
  <c r="D123" i="9"/>
  <c r="D9" i="52" s="1"/>
  <c r="C97" i="9" l="1"/>
  <c r="D58" i="9" s="1"/>
  <c r="D56" i="9" s="1"/>
  <c r="M54" i="9" s="1"/>
  <c r="N57" i="9" s="1"/>
  <c r="P57" i="9" s="1"/>
  <c r="D6" i="74"/>
  <c r="C6" i="74"/>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<sst xmlns="http://schemas.openxmlformats.org/spreadsheetml/2006/main" count="9252" uniqueCount="3189">
  <si>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</si>
  <si>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</si>
  <si>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</si>
  <si>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</si>
  <si>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</si>
  <si>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</si>
  <si>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</si>
  <si>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</si>
  <si>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</si>
  <si>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</si>
  <si>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</si>
  <si>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</si>
  <si>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</si>
  <si>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</si>
  <si>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</si>
  <si>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</si>
  <si>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</si>
  <si>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</si>
  <si>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</si>
  <si>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</si>
  <si>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</si>
  <si>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</si>
  <si>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</si>
  <si>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</si>
  <si>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</si>
  <si>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</si>
  <si>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</si>
  <si>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</si>
  <si>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</si>
  <si>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</si>
  <si>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</si>
  <si>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</si>
  <si>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</si>
  <si>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</si>
  <si>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</si>
  <si>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</si>
  <si>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</si>
  <si>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</si>
  <si>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</si>
  <si>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</si>
  <si>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</si>
  <si>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</si>
  <si>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</si>
  <si>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</si>
  <si>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</si>
  <si>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</si>
  <si>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</si>
  <si>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</si>
  <si>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</si>
  <si>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</si>
  <si>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</si>
  <si>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</si>
  <si>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</si>
  <si>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</si>
  <si>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</si>
  <si>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</si>
  <si>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</si>
  <si>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</si>
  <si>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</si>
  <si>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</si>
  <si>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</si>
  <si>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</si>
  <si>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</si>
  <si>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</si>
  <si>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</si>
  <si>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</si>
  <si>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</si>
  <si>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</si>
  <si>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</si>
  <si>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</si>
  <si>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</si>
  <si>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</si>
  <si>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</si>
  <si>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</si>
  <si>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</si>
  <si>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</si>
  <si>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</si>
  <si>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</si>
  <si>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</si>
  <si>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</si>
  <si>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</si>
  <si>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</si>
  <si>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</si>
  <si>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</si>
  <si>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</si>
  <si>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</si>
  <si>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</si>
  <si>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</si>
  <si>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</si>
  <si>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</si>
  <si>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</si>
  <si>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</si>
  <si>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</si>
  <si>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</si>
  <si>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</si>
  <si>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</si>
  <si>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</si>
  <si>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</si>
  <si>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</si>
  <si>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</si>
  <si>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</si>
  <si>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</si>
  <si>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</si>
  <si>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</si>
  <si>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</si>
  <si>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</si>
  <si>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</si>
  <si>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</si>
  <si>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</si>
  <si>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</si>
  <si>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</si>
  <si>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</si>
  <si>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</si>
  <si>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</si>
  <si>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</si>
  <si>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</si>
  <si>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</si>
  <si>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</si>
  <si>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</si>
  <si>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</si>
  <si>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</si>
  <si>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</si>
  <si>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</si>
  <si>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</si>
  <si>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</si>
  <si>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</si>
  <si>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</si>
  <si>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</si>
  <si>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</si>
  <si>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</si>
  <si>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</si>
  <si>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</si>
  <si>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</si>
  <si>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</si>
  <si>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</si>
  <si>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</si>
  <si>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</si>
  <si>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</si>
  <si>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</si>
  <si>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</si>
  <si>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</si>
  <si>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</si>
  <si>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</si>
  <si>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</si>
  <si>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</si>
  <si>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</si>
  <si>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</si>
  <si>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</si>
  <si>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</si>
  <si>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</si>
  <si>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</si>
  <si>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</si>
  <si>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</si>
  <si>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</si>
  <si>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</si>
  <si>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</si>
  <si>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</si>
  <si>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</si>
  <si>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</si>
  <si>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</si>
  <si>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</si>
  <si>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</si>
  <si>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</si>
  <si>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</si>
  <si>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</si>
  <si>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</si>
  <si>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</si>
  <si>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</si>
  <si>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</si>
  <si>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</si>
  <si>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</si>
  <si>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</si>
  <si>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</si>
  <si>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</si>
  <si>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</si>
  <si>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</si>
  <si>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</si>
  <si>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</si>
  <si>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</si>
  <si>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</si>
  <si>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</si>
  <si>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</si>
  <si>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</si>
  <si>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</si>
  <si>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</si>
  <si>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</si>
  <si>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</si>
  <si>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</si>
  <si>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</si>
  <si>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</si>
  <si>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</si>
  <si>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</si>
  <si>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</si>
  <si>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</si>
  <si>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</si>
  <si>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</si>
  <si>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</si>
  <si>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</si>
  <si>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</si>
  <si>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</si>
  <si>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</si>
  <si>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</si>
  <si>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</si>
  <si>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</si>
  <si>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</si>
  <si>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</si>
  <si>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</si>
  <si>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</si>
  <si>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</si>
  <si>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</si>
  <si>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</si>
  <si>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</si>
  <si>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</si>
  <si>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</si>
  <si>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</si>
  <si>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</si>
  <si>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</si>
  <si>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</si>
  <si>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</si>
  <si>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</si>
  <si>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</si>
  <si>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</si>
  <si>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</si>
  <si>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</si>
  <si>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</si>
  <si>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</si>
  <si>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</si>
  <si>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</si>
  <si>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</si>
  <si>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</si>
  <si>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</si>
  <si>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</si>
  <si>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</si>
  <si>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</si>
  <si>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</si>
  <si>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</si>
  <si>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</si>
  <si>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</si>
  <si>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</si>
  <si>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</si>
  <si>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</si>
  <si>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</si>
  <si>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</si>
  <si>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</si>
  <si>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</si>
  <si>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</si>
  <si>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</si>
  <si>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</si>
  <si>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</si>
  <si>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</si>
  <si>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</si>
  <si>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</si>
  <si>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</si>
  <si>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</si>
  <si>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</si>
  <si>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</si>
  <si>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</si>
  <si>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</si>
  <si>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</si>
  <si>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</si>
  <si>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</si>
  <si>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</si>
  <si>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</si>
  <si>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</si>
  <si>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</si>
  <si>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</si>
  <si>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</si>
  <si>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</si>
  <si>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</si>
  <si>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</si>
  <si>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</si>
  <si>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</si>
  <si>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</si>
  <si>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</si>
  <si>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</si>
  <si>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</si>
  <si>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</si>
  <si>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</si>
  <si>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</si>
  <si>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</si>
  <si>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</si>
  <si>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</si>
  <si>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</si>
  <si>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</si>
  <si>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</si>
  <si>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</si>
  <si>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</si>
  <si>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</si>
  <si>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</si>
  <si>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</si>
  <si>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</si>
  <si>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</si>
  <si>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</si>
  <si>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</si>
  <si>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</si>
  <si>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</si>
  <si>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</si>
  <si>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</si>
  <si>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</si>
  <si>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</si>
  <si>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</si>
  <si>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</si>
  <si>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</si>
  <si>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</si>
  <si>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</si>
  <si>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</si>
  <si>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</si>
  <si>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</si>
  <si>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</si>
  <si>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</si>
  <si>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</si>
  <si>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</si>
  <si>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</si>
  <si>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</si>
  <si>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</si>
  <si>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</si>
  <si>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</si>
  <si>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</si>
  <si>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</si>
  <si>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</si>
  <si>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</si>
  <si>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</si>
  <si>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</si>
  <si>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</si>
  <si>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</si>
  <si>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</si>
  <si>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</si>
  <si>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</si>
  <si>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</si>
  <si>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</si>
  <si>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</si>
  <si>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</si>
  <si>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</si>
  <si>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</si>
  <si>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</si>
  <si>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</si>
  <si>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</si>
  <si>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</si>
  <si>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</si>
  <si>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</si>
  <si>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</si>
  <si>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</si>
  <si>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</si>
  <si>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</si>
  <si>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</si>
  <si>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</si>
  <si>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</si>
  <si>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</si>
  <si>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</si>
  <si>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</si>
  <si>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</si>
  <si>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</si>
  <si>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</si>
  <si>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</si>
  <si>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</si>
  <si>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</si>
  <si>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</si>
  <si>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</si>
  <si>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</si>
  <si>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</si>
  <si>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</si>
  <si>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</si>
  <si>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</si>
  <si>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</si>
  <si>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</si>
  <si>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</si>
  <si>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</si>
  <si>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</si>
  <si>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</si>
  <si>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</si>
  <si>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</si>
  <si>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</si>
  <si>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</si>
  <si>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</si>
  <si>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</si>
  <si>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</si>
  <si>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</si>
  <si>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</si>
  <si>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</si>
  <si>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</si>
  <si>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</si>
  <si>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</si>
  <si>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</si>
  <si>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</si>
  <si>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</si>
  <si>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</si>
  <si>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</si>
  <si>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</si>
  <si>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</si>
  <si>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</si>
  <si>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</si>
  <si>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</si>
  <si>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</si>
  <si>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</si>
  <si>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</si>
  <si>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</si>
  <si>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</si>
  <si>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</si>
  <si>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</si>
  <si>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</si>
  <si>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</si>
  <si>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</si>
  <si>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</si>
  <si>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</si>
  <si>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</si>
  <si>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</si>
  <si>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</si>
  <si>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</si>
  <si>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</si>
  <si>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</si>
  <si>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</si>
  <si>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</si>
  <si>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</si>
  <si>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</si>
  <si>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</si>
  <si>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</si>
  <si>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</si>
  <si>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</si>
  <si>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</si>
  <si>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</si>
  <si>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</si>
  <si>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</si>
  <si>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</si>
  <si>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</si>
  <si>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</si>
  <si>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</si>
  <si>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</si>
  <si>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</si>
  <si>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</si>
  <si>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</si>
  <si>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</si>
  <si>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</si>
  <si>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</si>
  <si>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</si>
  <si>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</si>
  <si>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</si>
  <si>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</si>
  <si>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</si>
  <si>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</si>
  <si>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</si>
  <si>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</si>
  <si>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</si>
  <si>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</si>
  <si>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</si>
  <si>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</si>
  <si>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</si>
  <si>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</si>
  <si>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</si>
  <si>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</si>
  <si>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</si>
  <si>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</si>
  <si>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</si>
  <si>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</si>
  <si>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</si>
  <si>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</si>
  <si>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</si>
  <si>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</si>
  <si>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</si>
  <si>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</si>
  <si>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</si>
  <si>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</si>
  <si>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</si>
  <si>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</si>
  <si>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</si>
  <si>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</si>
  <si>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</si>
  <si>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</si>
  <si>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</si>
  <si>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</si>
  <si>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</si>
  <si>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</si>
  <si>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</si>
  <si>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</si>
  <si>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</si>
  <si>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</si>
  <si>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</si>
  <si>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</si>
  <si>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</si>
  <si>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</si>
  <si>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</si>
  <si>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</si>
  <si>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</si>
  <si>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</si>
  <si>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</si>
  <si>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</si>
  <si>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</si>
  <si>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</si>
  <si>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</si>
  <si>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</si>
  <si>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</si>
  <si>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</si>
  <si>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</si>
  <si>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</si>
  <si>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</si>
  <si>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</si>
  <si>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</si>
  <si>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</si>
  <si>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</si>
  <si>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</si>
  <si>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</si>
  <si>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</si>
  <si>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</si>
  <si>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</si>
  <si>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</si>
  <si>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</si>
  <si>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</si>
  <si>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</si>
  <si>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</si>
  <si>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</si>
  <si>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</si>
  <si>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</si>
  <si>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</si>
  <si>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</si>
  <si>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</si>
  <si>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</si>
  <si>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</si>
  <si>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</si>
  <si>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</si>
  <si>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</si>
  <si>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</si>
  <si>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</si>
  <si>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</si>
  <si>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</si>
  <si>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</si>
  <si>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</si>
  <si>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</si>
  <si>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</si>
  <si>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</si>
  <si>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</si>
  <si>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</si>
  <si>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</si>
  <si>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</si>
  <si>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</si>
  <si>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</si>
  <si>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</si>
  <si>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</si>
  <si>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</si>
  <si>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</si>
  <si>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</si>
  <si>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</si>
  <si>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</si>
  <si>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</si>
  <si>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</si>
  <si>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</si>
  <si>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</si>
  <si>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</si>
  <si>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</si>
  <si>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</si>
  <si>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</si>
  <si>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</si>
  <si>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</si>
  <si>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</si>
  <si>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</si>
  <si>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</si>
  <si>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</si>
  <si>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</si>
  <si>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</si>
  <si>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</si>
  <si>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</si>
  <si>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</si>
  <si>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</si>
  <si>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</si>
  <si>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</si>
  <si>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</si>
  <si>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</si>
  <si>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</si>
  <si>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</si>
  <si>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</si>
  <si>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</si>
  <si>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</si>
  <si>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</si>
  <si>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</si>
  <si>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</si>
  <si>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</si>
  <si>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</si>
  <si>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</si>
  <si>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</si>
  <si>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</si>
  <si>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</si>
  <si>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</si>
  <si>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</si>
  <si>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</si>
  <si>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</si>
  <si>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</si>
  <si>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</si>
  <si>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</si>
  <si>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</si>
  <si>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</si>
  <si>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</si>
  <si>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</si>
  <si>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</si>
  <si>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</si>
  <si>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</si>
  <si>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</si>
  <si>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</si>
  <si>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</si>
  <si>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</si>
  <si>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</si>
  <si>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</si>
  <si>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</si>
  <si>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</si>
  <si>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</si>
  <si>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</si>
  <si>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</si>
  <si>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</si>
  <si>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</si>
  <si>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</si>
  <si>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</si>
  <si>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</si>
  <si>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</si>
  <si>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</si>
  <si>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</si>
  <si>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</si>
  <si>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</si>
  <si>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</si>
  <si>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</si>
  <si>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</si>
  <si>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</si>
  <si>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</si>
  <si>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</si>
  <si>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</si>
  <si>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</si>
  <si>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</si>
  <si>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</si>
  <si>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</si>
  <si>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</si>
  <si>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</si>
  <si>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</si>
  <si>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</si>
  <si>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</si>
  <si>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</si>
  <si>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</si>
  <si>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</si>
  <si>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</si>
  <si>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</si>
  <si>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</si>
  <si>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</si>
  <si>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</si>
  <si>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</si>
  <si>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</si>
  <si>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</si>
  <si>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</si>
  <si>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</si>
  <si>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</si>
  <si>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</si>
  <si>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</si>
  <si>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</si>
  <si>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</si>
  <si>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</si>
  <si>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</si>
  <si>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</si>
  <si>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</si>
  <si>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</si>
  <si>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</si>
  <si>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</si>
  <si>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</si>
  <si>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</si>
  <si>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</si>
  <si>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</si>
  <si>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</si>
  <si>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</si>
  <si>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</si>
  <si>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</si>
  <si>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</si>
  <si>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</si>
  <si>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</si>
  <si>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</si>
  <si>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</si>
  <si>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</si>
  <si>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</si>
  <si>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</si>
  <si>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</si>
  <si>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</si>
  <si>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</si>
  <si>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</si>
  <si>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</si>
  <si>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</si>
  <si>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</si>
  <si>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</si>
  <si>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</si>
  <si>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</si>
  <si>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</si>
  <si>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</si>
  <si>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</si>
  <si>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</si>
  <si>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</si>
  <si>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</si>
  <si>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</si>
  <si>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</si>
  <si>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</si>
  <si>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</si>
  <si>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</si>
  <si>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</si>
  <si>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</si>
  <si>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</si>
  <si>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</si>
  <si>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</si>
  <si>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</si>
  <si>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</si>
  <si>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</si>
  <si>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</si>
  <si>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</si>
  <si>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</si>
  <si>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</si>
  <si>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</si>
  <si>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</si>
  <si>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</si>
  <si>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</si>
  <si>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</si>
  <si>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</si>
  <si>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</si>
  <si>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</si>
  <si>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</si>
  <si>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</si>
  <si>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</si>
  <si>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</si>
  <si>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</si>
  <si>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</si>
  <si>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</si>
  <si>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</si>
  <si>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</si>
  <si>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</si>
  <si>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</si>
  <si>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</si>
  <si>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</si>
  <si>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</si>
  <si>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</si>
  <si>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</si>
  <si>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</si>
  <si>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</si>
  <si>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</si>
  <si>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</si>
  <si>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</si>
  <si>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</si>
  <si>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</si>
  <si>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</si>
  <si>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</si>
  <si>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</si>
  <si>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</si>
  <si>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</si>
  <si>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</si>
  <si>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</si>
  <si>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</si>
  <si>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</si>
  <si>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</si>
  <si>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</si>
  <si>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</si>
  <si>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</si>
  <si>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</si>
  <si>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</si>
  <si>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</si>
  <si>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</si>
  <si>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</si>
  <si>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</si>
  <si>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</si>
  <si>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</si>
  <si>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</si>
  <si>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</si>
  <si>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</si>
  <si>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</si>
  <si>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</si>
  <si>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</si>
  <si>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</si>
  <si>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</si>
  <si>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</si>
  <si>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</si>
  <si>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</si>
  <si>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</si>
  <si>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</si>
  <si>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</si>
  <si>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</si>
  <si>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</si>
  <si>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</si>
  <si>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</si>
  <si>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</si>
  <si>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</si>
  <si>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</si>
  <si>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</si>
  <si>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</si>
  <si>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</si>
  <si>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</si>
  <si>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</si>
  <si>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</si>
  <si>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</si>
  <si>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</si>
  <si>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</si>
  <si>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</si>
  <si>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</si>
  <si>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</si>
  <si>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</si>
  <si>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</si>
  <si>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</si>
  <si>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</si>
  <si>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</si>
  <si>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</si>
  <si>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</si>
  <si>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</si>
  <si>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</si>
  <si>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</si>
  <si>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</si>
  <si>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</si>
  <si>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</si>
  <si>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</si>
  <si>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</si>
  <si>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</si>
  <si>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</si>
  <si>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</si>
  <si>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</si>
  <si>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</si>
  <si>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</si>
  <si>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</si>
  <si>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</si>
  <si>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</si>
  <si>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</si>
  <si>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</si>
  <si>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</si>
  <si>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</si>
  <si>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</si>
  <si>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</si>
  <si>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</si>
  <si>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</si>
  <si>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</si>
  <si>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</si>
  <si>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</si>
  <si>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</si>
  <si>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</si>
  <si>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</si>
  <si>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</si>
  <si>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</si>
  <si>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</si>
  <si>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</si>
  <si>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</si>
  <si>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</si>
  <si>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</si>
  <si>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</si>
  <si>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</si>
  <si>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</si>
  <si>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</si>
  <si>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</si>
  <si>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</si>
  <si>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</si>
  <si>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</si>
  <si>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</si>
  <si>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</si>
  <si>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</si>
  <si>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</si>
  <si>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</si>
  <si>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</si>
  <si>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</si>
  <si>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</si>
  <si>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</si>
  <si>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</si>
  <si>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</si>
  <si>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</si>
  <si>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</si>
  <si>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</si>
  <si>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</si>
  <si>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</si>
  <si>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</si>
  <si>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</si>
  <si>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</si>
  <si>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</si>
  <si>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</si>
  <si>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</si>
  <si>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</si>
  <si>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</si>
  <si>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</si>
  <si>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</si>
  <si>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</si>
  <si>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</si>
  <si>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</si>
  <si>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</si>
  <si>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</si>
  <si>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</si>
  <si>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</si>
  <si>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</si>
  <si>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</si>
  <si>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</si>
  <si>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</si>
  <si>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</si>
  <si>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</si>
  <si>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</si>
  <si>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</si>
  <si>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</si>
  <si>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</si>
  <si>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</si>
  <si>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</si>
  <si>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</si>
  <si>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</si>
  <si>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</si>
  <si>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</si>
  <si>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</si>
  <si>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</si>
  <si>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</si>
  <si>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</si>
  <si>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</si>
  <si>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</si>
  <si>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</si>
  <si>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</si>
  <si>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</si>
  <si>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</si>
  <si>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</si>
  <si>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</si>
  <si>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</si>
  <si>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</si>
  <si>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</si>
  <si>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</si>
  <si>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</si>
  <si>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</si>
  <si>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</si>
  <si>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</si>
  <si>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</si>
  <si>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</si>
  <si>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</si>
  <si>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</si>
  <si>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</si>
  <si>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</si>
  <si>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</si>
  <si>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</si>
  <si>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</si>
  <si>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</si>
  <si>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</si>
  <si>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</si>
  <si>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</si>
  <si>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</si>
  <si>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</si>
  <si>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</si>
  <si>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</si>
  <si>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</si>
  <si>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</si>
  <si>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</si>
  <si>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</si>
  <si>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</si>
  <si>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</si>
  <si>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</si>
  <si>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</si>
  <si>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</si>
  <si>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</si>
  <si>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</si>
  <si>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</si>
  <si>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</si>
  <si>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</si>
  <si>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</si>
  <si>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</si>
  <si>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</si>
  <si>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</si>
  <si>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</si>
  <si>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</si>
  <si>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</si>
  <si>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</si>
  <si>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</si>
  <si>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</si>
  <si>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</si>
  <si>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</si>
  <si>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</si>
  <si>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</si>
  <si>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</si>
  <si>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</si>
  <si>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</si>
  <si>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</si>
  <si>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</si>
  <si>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</si>
  <si>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</si>
  <si>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</si>
  <si>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</si>
  <si>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</si>
  <si>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</si>
  <si>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</si>
  <si>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</si>
  <si>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</si>
  <si>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</si>
  <si>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</si>
  <si>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</si>
  <si>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</si>
  <si>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</si>
  <si>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</si>
  <si>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</si>
  <si>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</si>
  <si>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</si>
  <si>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</si>
  <si>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</si>
  <si>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</si>
  <si>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</si>
  <si>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</si>
  <si>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</si>
  <si>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</si>
  <si>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</si>
  <si>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</si>
  <si>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</si>
  <si>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</si>
  <si>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</si>
  <si>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</si>
  <si>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</si>
  <si>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</si>
  <si>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</si>
  <si>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</si>
  <si>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</si>
  <si>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</si>
  <si>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</si>
  <si>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</si>
  <si>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</si>
  <si>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</si>
  <si>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</si>
  <si>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</si>
  <si>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</si>
  <si>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</si>
  <si>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</si>
  <si>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</si>
  <si>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</si>
  <si>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</si>
  <si>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</si>
  <si>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</si>
  <si>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</si>
  <si>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</si>
  <si>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</si>
  <si>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</si>
  <si>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</si>
  <si>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</si>
  <si>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</si>
  <si>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</si>
  <si>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</si>
  <si>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</si>
  <si>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</si>
  <si>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</si>
  <si>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</si>
  <si>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</si>
  <si>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</si>
  <si>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</si>
  <si>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</si>
  <si>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</si>
  <si>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</si>
  <si>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</si>
  <si>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</si>
  <si>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</si>
  <si>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</si>
  <si>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</si>
  <si>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</si>
  <si>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</si>
  <si>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</si>
  <si>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</si>
  <si>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</si>
  <si>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</si>
  <si>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</si>
  <si>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</si>
  <si>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</si>
  <si>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</si>
  <si>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</si>
  <si>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</si>
  <si>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</si>
  <si>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</si>
  <si>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</si>
  <si>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</si>
  <si>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</si>
  <si>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</si>
  <si>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</si>
  <si>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</si>
  <si>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</si>
  <si>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</si>
  <si>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</si>
  <si>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</si>
  <si>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</si>
  <si>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</si>
  <si>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</si>
  <si>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</si>
  <si>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</si>
  <si>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</si>
  <si>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</si>
  <si>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</si>
  <si>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</si>
  <si>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</si>
  <si>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</si>
  <si>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</si>
  <si>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</si>
  <si>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</si>
  <si>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</si>
  <si>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</si>
  <si>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</si>
  <si>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</si>
  <si>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</si>
  <si>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</si>
  <si>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</si>
  <si>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</si>
  <si>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</si>
  <si>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</si>
  <si>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</si>
  <si>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</si>
  <si>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</si>
  <si>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</si>
  <si>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</si>
  <si>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</si>
  <si>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</si>
  <si>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</si>
  <si>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</si>
  <si>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</si>
  <si>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</si>
  <si>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</si>
  <si>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</si>
  <si>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</si>
  <si>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</si>
  <si>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</si>
  <si>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</si>
  <si>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</si>
  <si>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</si>
  <si>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</si>
  <si>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</si>
  <si>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</si>
  <si>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</si>
  <si>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</si>
  <si>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</si>
  <si>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</si>
  <si>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</si>
  <si>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</si>
  <si>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</si>
  <si>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</si>
  <si>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</si>
  <si>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</si>
  <si>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</si>
  <si>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</si>
  <si>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</si>
  <si>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</si>
  <si>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</si>
  <si>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</si>
  <si>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</si>
  <si>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</si>
  <si>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</si>
  <si>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</si>
  <si>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</si>
  <si>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</si>
  <si>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</si>
  <si>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</si>
  <si>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</si>
  <si>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</si>
  <si>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</si>
  <si>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</si>
  <si>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</si>
  <si>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</si>
  <si>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</si>
  <si>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</si>
  <si>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</si>
  <si>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</si>
  <si>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</si>
  <si>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</si>
  <si>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</si>
  <si>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</si>
  <si>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</si>
  <si>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</si>
  <si>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</si>
  <si>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</si>
  <si>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</si>
  <si>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</si>
  <si>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</si>
  <si>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</si>
  <si>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</si>
  <si>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</si>
  <si>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</si>
  <si>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</si>
  <si>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</si>
  <si>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</si>
  <si>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</si>
  <si>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</si>
  <si>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</si>
  <si>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</si>
  <si>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</si>
  <si>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</si>
  <si>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</si>
  <si>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</si>
  <si>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</si>
  <si>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</si>
  <si>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</si>
  <si>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</si>
  <si>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</si>
  <si>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</si>
  <si>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</si>
  <si>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</si>
  <si>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</si>
  <si>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</si>
  <si>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</si>
  <si>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</si>
  <si>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</si>
  <si>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</si>
  <si>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</si>
  <si>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</si>
  <si>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</si>
  <si>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</si>
  <si>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</si>
  <si>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</si>
  <si>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</si>
  <si>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</si>
  <si>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</si>
  <si>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</si>
  <si>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</si>
  <si>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</si>
  <si>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</si>
  <si>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</si>
  <si>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</si>
  <si>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</si>
  <si>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</si>
  <si>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</si>
  <si>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</si>
  <si>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</si>
  <si>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</si>
  <si>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</si>
  <si>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</si>
  <si>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</si>
  <si>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</si>
  <si>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</si>
  <si>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</si>
  <si>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</si>
  <si>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</si>
  <si>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</si>
  <si>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</si>
  <si>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</si>
  <si>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</si>
  <si>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</si>
  <si>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</si>
  <si>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</si>
  <si>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</si>
  <si>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</si>
  <si>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</si>
  <si>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</si>
  <si>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</si>
  <si>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</si>
  <si>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</si>
  <si>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</si>
  <si>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</si>
  <si>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</si>
  <si>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</si>
  <si>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</si>
  <si>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</si>
  <si>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</si>
  <si>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</si>
  <si>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</si>
  <si>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</si>
  <si>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</si>
  <si>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</si>
  <si>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</si>
  <si>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</si>
  <si>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</si>
  <si>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</si>
  <si>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</si>
  <si>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</si>
  <si>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</si>
  <si>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</si>
  <si>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</si>
  <si>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</si>
  <si>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</si>
  <si>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</si>
  <si>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</si>
  <si>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</si>
  <si>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</si>
  <si>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</si>
  <si>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</si>
  <si>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</si>
  <si>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</si>
  <si>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</si>
  <si>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</si>
  <si>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</si>
  <si>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</si>
  <si>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</si>
  <si>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</si>
  <si>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</si>
  <si>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</si>
  <si>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</si>
  <si>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</si>
  <si>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</si>
  <si>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</si>
  <si>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</si>
  <si>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</si>
  <si>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</si>
  <si>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</si>
  <si>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</si>
  <si>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</si>
  <si>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</si>
  <si>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</si>
  <si>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</si>
  <si>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</si>
  <si>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</si>
  <si>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</si>
  <si>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</si>
  <si>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</si>
  <si>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</si>
  <si>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</si>
  <si>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</si>
  <si>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</si>
  <si>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</si>
  <si>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</si>
  <si>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</si>
  <si>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</si>
  <si>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</si>
  <si>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</si>
  <si>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</si>
  <si>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</si>
  <si>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</si>
  <si>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</si>
  <si>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</si>
  <si>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</si>
  <si>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</si>
  <si>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</si>
  <si>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</si>
  <si>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</si>
  <si>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</si>
  <si>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</si>
  <si>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</si>
  <si>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</si>
  <si>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</si>
  <si>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</si>
  <si>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</si>
  <si>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</si>
  <si>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</si>
  <si>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</si>
  <si>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</si>
  <si>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</si>
  <si>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</si>
  <si>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</si>
  <si>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</si>
  <si>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</si>
  <si>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</si>
  <si>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</si>
  <si>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</si>
  <si>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</si>
  <si>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</si>
  <si>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</si>
  <si>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</si>
  <si>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</si>
  <si>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</si>
  <si>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</si>
  <si>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</si>
  <si>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</si>
  <si>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</si>
  <si>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</si>
  <si>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</si>
  <si>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</si>
  <si>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</si>
  <si>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</si>
  <si>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</si>
  <si>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</si>
  <si>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</si>
  <si>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</si>
  <si>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</si>
  <si>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</si>
  <si>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</si>
  <si>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</si>
  <si>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</si>
  <si>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</si>
  <si>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</si>
  <si>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</si>
  <si>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</si>
  <si>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</si>
  <si>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</si>
  <si>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</si>
  <si>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</si>
  <si>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</si>
  <si>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</si>
  <si>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</si>
  <si>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</si>
  <si>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</si>
  <si>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</si>
  <si>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</si>
  <si>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</si>
  <si>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</si>
  <si>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</si>
  <si>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</si>
  <si>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</si>
  <si>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</si>
  <si>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</si>
  <si>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</si>
  <si>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</si>
  <si>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</si>
  <si>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</si>
  <si>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</si>
  <si>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</si>
  <si>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</si>
  <si>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</si>
  <si>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</si>
  <si>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</si>
  <si>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</si>
  <si>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</si>
  <si>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</si>
  <si>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</si>
  <si>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</si>
  <si>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</si>
  <si>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</si>
  <si>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</si>
  <si>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</si>
  <si>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</si>
  <si>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</si>
  <si>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</si>
  <si>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</si>
  <si>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</si>
  <si>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</si>
  <si>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</si>
  <si>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</si>
  <si>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</si>
  <si>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</si>
  <si>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</si>
  <si>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</si>
  <si>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</si>
  <si>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</si>
  <si>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</si>
  <si>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</si>
  <si>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</si>
  <si>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</si>
  <si>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</si>
  <si>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</si>
  <si>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</si>
  <si>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</si>
  <si>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</si>
  <si>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</si>
  <si>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</si>
  <si>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</si>
  <si>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</si>
  <si>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</si>
  <si>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</si>
  <si>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</si>
  <si>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</si>
  <si>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</si>
  <si>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</si>
  <si>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</si>
  <si>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</si>
  <si>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</si>
  <si>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</si>
  <si>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</si>
  <si>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</si>
  <si>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</si>
  <si>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</si>
  <si>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</si>
  <si>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</si>
  <si>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</si>
  <si>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</si>
  <si>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</si>
  <si>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</si>
  <si>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</si>
  <si>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</si>
  <si>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</si>
  <si>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</si>
  <si>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</si>
  <si>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</si>
  <si>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</si>
  <si>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</si>
  <si>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</si>
  <si>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</si>
  <si>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</si>
  <si>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</si>
  <si>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</si>
  <si>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</si>
  <si>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</si>
  <si>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</si>
  <si>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</si>
  <si>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</si>
  <si>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</si>
  <si>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</si>
  <si>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</si>
  <si>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</si>
  <si>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</si>
  <si>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</si>
  <si>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</si>
  <si>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</si>
  <si>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</si>
  <si>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</si>
  <si>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</si>
  <si>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</si>
  <si>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</si>
  <si>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</si>
  <si>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</si>
  <si>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</si>
  <si>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</si>
  <si>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</si>
  <si>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</si>
  <si>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</si>
  <si>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</si>
  <si>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</si>
  <si>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</si>
  <si>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</si>
  <si>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</si>
  <si>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</si>
  <si>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</si>
  <si>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</si>
  <si>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</si>
  <si>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</si>
  <si>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</si>
  <si>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</si>
  <si>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</si>
  <si>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</si>
  <si>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</si>
  <si>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</si>
  <si>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</si>
  <si>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</si>
  <si>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</si>
  <si>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</si>
  <si>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</si>
  <si>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</si>
  <si>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</si>
  <si>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</si>
  <si>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</si>
  <si>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</si>
  <si>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</si>
  <si>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</si>
  <si>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</si>
  <si>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</si>
  <si>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</si>
  <si>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</si>
  <si>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</si>
  <si>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</si>
  <si>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</si>
  <si>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</si>
  <si>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</si>
  <si>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</si>
  <si>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</si>
  <si>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</si>
  <si>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</si>
  <si>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</si>
  <si>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</si>
  <si>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</si>
  <si>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</si>
  <si>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</si>
  <si>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</si>
  <si>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</si>
  <si>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</si>
  <si>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</si>
  <si>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</si>
  <si>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</si>
  <si>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</si>
  <si>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</si>
  <si>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</si>
  <si>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</si>
  <si>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</si>
  <si>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</si>
  <si>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</si>
  <si>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</si>
  <si>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</si>
  <si>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</si>
  <si>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</si>
  <si>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</si>
  <si>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</si>
  <si>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</si>
  <si>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</si>
  <si>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</si>
  <si>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</si>
  <si>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</si>
  <si>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</si>
  <si>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</si>
  <si>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</si>
  <si>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</si>
  <si>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</si>
  <si>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</si>
  <si>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</si>
  <si>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</si>
  <si>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</si>
  <si>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</si>
  <si>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</si>
  <si>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</si>
  <si>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</si>
  <si>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</si>
  <si>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</si>
  <si>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</si>
  <si>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</si>
  <si>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</si>
  <si>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</si>
  <si>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</si>
  <si>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</si>
  <si>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</si>
  <si>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</si>
  <si>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</si>
  <si>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</si>
  <si>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</si>
  <si>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</si>
  <si>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</si>
  <si>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</si>
  <si>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</si>
  <si>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</si>
  <si>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</si>
  <si>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</si>
  <si>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</si>
  <si>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</si>
  <si>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</si>
  <si>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</si>
  <si>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</si>
  <si>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</si>
  <si>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</si>
  <si>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</si>
  <si>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</si>
  <si>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</si>
  <si>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</si>
  <si>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</si>
  <si>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</si>
  <si>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</si>
  <si>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</si>
  <si>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</si>
  <si>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</si>
  <si>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</si>
  <si>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</si>
  <si>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</si>
  <si>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</si>
  <si>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</si>
  <si>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</si>
  <si>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</si>
  <si>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</si>
  <si>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</si>
  <si>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</si>
  <si>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</si>
  <si>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</si>
  <si>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</si>
  <si>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</si>
  <si>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</si>
  <si>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</si>
  <si>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</si>
  <si>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</si>
  <si>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</si>
  <si>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</si>
  <si>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</si>
  <si>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</si>
  <si>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</si>
  <si>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</si>
  <si>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</si>
  <si>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</si>
  <si>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</si>
  <si>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</si>
  <si>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</si>
  <si>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</si>
  <si>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</si>
  <si>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</si>
  <si>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</si>
  <si>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</si>
  <si>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</si>
  <si>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</si>
  <si>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</si>
  <si>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</si>
  <si>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</si>
  <si>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</si>
  <si>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</si>
  <si>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</si>
  <si>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</si>
  <si>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</si>
  <si>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</si>
  <si>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</si>
  <si>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</si>
  <si>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</si>
  <si>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</si>
  <si>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</si>
  <si>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</si>
  <si>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</si>
  <si>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</si>
  <si>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</si>
  <si>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</si>
  <si>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</si>
  <si>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</si>
  <si>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</si>
  <si>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</si>
  <si>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</si>
  <si>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</si>
  <si>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</si>
  <si>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</si>
  <si>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</si>
  <si>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</si>
  <si>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</si>
  <si>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</si>
  <si>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</si>
  <si>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</si>
  <si>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</si>
  <si>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</si>
  <si>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</si>
  <si>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</si>
  <si>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</si>
  <si>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</si>
  <si>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</si>
  <si>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</si>
  <si>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</si>
  <si>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</si>
  <si>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</si>
  <si>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</si>
  <si>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</si>
  <si>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</si>
  <si>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</si>
  <si>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</si>
  <si>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</si>
  <si>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</si>
  <si>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</si>
  <si>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</si>
  <si>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</si>
  <si>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</si>
  <si>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</si>
  <si>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</si>
  <si>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</si>
  <si>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</si>
  <si>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</si>
  <si>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</si>
  <si>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</si>
  <si>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</si>
  <si>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</si>
  <si>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</si>
  <si>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</si>
  <si>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</si>
  <si>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</si>
  <si>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</si>
  <si>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</si>
  <si>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</si>
  <si>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</si>
  <si>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</si>
  <si>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</si>
  <si>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</si>
  <si>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</si>
  <si>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</si>
  <si>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</si>
  <si>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</si>
  <si>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</si>
  <si>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</si>
  <si>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</si>
  <si>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</si>
  <si>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</si>
  <si>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</si>
  <si>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</si>
  <si>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</si>
  <si>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</si>
  <si>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</si>
  <si>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</si>
  <si>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</si>
  <si>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</si>
  <si>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</si>
  <si>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</si>
  <si>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</si>
  <si>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</si>
  <si>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</si>
  <si>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</si>
  <si>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</si>
  <si>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</si>
  <si>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</si>
  <si>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</si>
  <si>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</si>
  <si>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</si>
  <si>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</si>
  <si>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</si>
  <si>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</si>
  <si>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</si>
  <si>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</si>
  <si>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</si>
  <si>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</si>
  <si>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</si>
  <si>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</si>
  <si>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</si>
  <si>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</si>
  <si>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</si>
  <si>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</si>
  <si>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</si>
  <si>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</si>
  <si>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</si>
  <si>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</si>
  <si>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</si>
  <si>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</si>
  <si>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</si>
  <si>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</si>
  <si>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</si>
  <si>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</si>
  <si>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</si>
  <si>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</si>
  <si>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</si>
  <si>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</si>
  <si>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</si>
  <si>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</si>
  <si>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</si>
  <si>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</si>
  <si>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</si>
  <si>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</si>
  <si>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</si>
  <si>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</si>
  <si>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</si>
  <si>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</si>
  <si>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</si>
  <si>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</si>
  <si>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</si>
  <si>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</si>
  <si>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</si>
  <si>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</si>
  <si>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</si>
  <si>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</si>
  <si>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</si>
  <si>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</si>
  <si>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</si>
  <si>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</si>
  <si>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</si>
  <si>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</si>
  <si>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</si>
  <si>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</si>
  <si>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</si>
  <si>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</si>
  <si>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</si>
  <si>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</si>
  <si>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</si>
  <si>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</si>
  <si>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</si>
  <si>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</si>
  <si>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</si>
  <si>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</si>
  <si>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</si>
  <si>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</si>
  <si>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</si>
  <si>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</si>
  <si>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</si>
  <si>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</si>
  <si>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</si>
  <si>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</si>
  <si>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</si>
  <si>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</si>
  <si>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</si>
  <si>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</si>
  <si>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</si>
  <si>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</si>
  <si>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</si>
  <si>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</si>
  <si>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</si>
  <si>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</si>
  <si>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</si>
  <si>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</si>
  <si>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</si>
  <si>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</si>
  <si>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</si>
  <si>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</si>
  <si>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</si>
  <si>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</si>
  <si>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</si>
  <si>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</si>
  <si>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</si>
  <si>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</si>
  <si>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</si>
  <si>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</si>
  <si>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</si>
  <si>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</si>
  <si>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</si>
  <si>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</si>
  <si>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</si>
  <si>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</si>
  <si>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</si>
  <si>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</si>
  <si>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</si>
  <si>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</si>
  <si>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</si>
  <si>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</si>
  <si>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</si>
  <si>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</si>
  <si>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</si>
  <si>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</si>
  <si>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</si>
  <si>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</si>
  <si>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</si>
  <si>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</si>
  <si>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</si>
  <si>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</si>
  <si>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</si>
  <si>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</si>
  <si>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</si>
  <si>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</si>
  <si>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</si>
  <si>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</si>
  <si>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</si>
  <si>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</si>
  <si>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</si>
  <si>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</si>
  <si>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</si>
  <si>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</si>
  <si>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</si>
  <si>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</si>
  <si>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</si>
  <si>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</si>
  <si>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</si>
  <si>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</si>
  <si>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</si>
  <si>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</si>
  <si>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</si>
  <si>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</si>
  <si>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</si>
  <si>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</si>
  <si>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</si>
  <si>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</si>
  <si>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</si>
  <si>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</si>
  <si>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</si>
  <si>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</si>
  <si>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</si>
  <si>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</si>
  <si>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</si>
  <si>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</si>
  <si>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</si>
  <si>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</si>
  <si>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</si>
  <si>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</si>
  <si>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</si>
  <si>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</si>
  <si>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</si>
  <si>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</si>
  <si>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</si>
  <si>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</si>
  <si>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</si>
  <si>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</si>
  <si>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</si>
  <si>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</si>
  <si>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</si>
  <si>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</si>
  <si>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</si>
  <si>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</si>
  <si>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</si>
  <si>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</si>
  <si>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</si>
  <si>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</si>
  <si>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</si>
  <si>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</si>
  <si>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</si>
  <si>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</si>
  <si>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</si>
  <si>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</si>
  <si>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</si>
  <si>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</si>
  <si>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</si>
  <si>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</si>
  <si>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</si>
  <si>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</si>
  <si>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</si>
  <si>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</si>
  <si>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</si>
  <si>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</si>
  <si>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</si>
  <si>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</si>
  <si>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</si>
  <si>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</si>
  <si>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</si>
  <si>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</si>
  <si>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</si>
  <si>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</si>
  <si>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</si>
  <si>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</si>
  <si>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</si>
  <si>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</si>
  <si>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</si>
  <si>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</si>
  <si>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</si>
  <si>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</si>
  <si>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</si>
  <si>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</si>
  <si>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</si>
  <si>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</si>
  <si>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</si>
  <si>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</si>
  <si>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</si>
  <si>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</si>
  <si>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</si>
  <si>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</si>
  <si>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</si>
  <si>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</si>
  <si>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</si>
  <si>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</si>
  <si>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</si>
  <si>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</si>
  <si>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</si>
  <si>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</si>
  <si>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</si>
  <si>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</si>
  <si>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</si>
  <si>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</si>
  <si>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</si>
  <si>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</si>
  <si>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</si>
  <si>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</si>
  <si>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</si>
  <si>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</si>
  <si>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</si>
  <si>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</si>
  <si>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</si>
  <si>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</si>
  <si>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</si>
  <si>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</si>
  <si>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</si>
  <si>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</si>
  <si>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</si>
  <si>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</si>
  <si>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</si>
  <si>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</si>
  <si>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</si>
  <si>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</si>
  <si>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</si>
  <si>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</si>
  <si>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</si>
  <si>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</si>
  <si>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</si>
  <si>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</si>
  <si>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</si>
  <si>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</si>
  <si>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</si>
  <si>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</si>
  <si>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</si>
  <si>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</si>
  <si>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</si>
  <si>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</si>
  <si>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</si>
  <si>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</si>
  <si>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</si>
  <si>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</si>
  <si>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</si>
  <si>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</si>
  <si>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</si>
  <si>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</si>
  <si>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</si>
  <si>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</si>
  <si>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</si>
  <si>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</si>
  <si>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</si>
  <si>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</si>
  <si>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</si>
  <si>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</si>
  <si>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</si>
  <si>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</si>
  <si>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</si>
  <si>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</si>
  <si>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</si>
  <si>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</si>
  <si>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</si>
  <si>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</si>
  <si>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</si>
  <si>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</si>
  <si>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</si>
  <si>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</si>
  <si>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</si>
  <si>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</si>
  <si>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</si>
  <si>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</si>
  <si>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</si>
  <si>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</si>
  <si>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</si>
  <si>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</si>
  <si>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</si>
  <si>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</si>
  <si>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</si>
  <si>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</si>
  <si>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</si>
  <si>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</si>
  <si>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</si>
  <si>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</si>
  <si>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</si>
  <si>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</si>
  <si>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</si>
  <si>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</si>
  <si>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</si>
  <si>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</si>
  <si>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</si>
  <si>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</si>
  <si>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</si>
  <si>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</si>
  <si>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</si>
  <si>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</si>
  <si>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</si>
  <si>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</si>
  <si>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</si>
  <si>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</si>
  <si>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</si>
  <si>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</si>
  <si>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</si>
  <si>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</si>
  <si>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</si>
  <si>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</si>
  <si>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</si>
  <si>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</si>
  <si>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</si>
  <si>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</si>
  <si>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</si>
  <si>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</si>
  <si>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</si>
  <si>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</si>
  <si>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</si>
  <si>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</si>
  <si>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</si>
  <si>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</si>
  <si>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</si>
  <si>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</si>
  <si>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</si>
  <si>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</si>
  <si>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</si>
  <si>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</si>
  <si>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</si>
  <si>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</si>
  <si>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</si>
  <si>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</si>
  <si>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</si>
  <si>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</si>
  <si>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</si>
  <si>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</si>
  <si>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</si>
  <si>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</si>
  <si>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</si>
  <si>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</si>
  <si>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</si>
  <si>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</si>
  <si>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</si>
  <si>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</si>
  <si>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</si>
  <si>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</si>
  <si>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</si>
  <si>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</si>
  <si>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</si>
  <si>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</si>
  <si>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</si>
  <si>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</si>
  <si>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</si>
  <si>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</si>
  <si>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</si>
  <si>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</si>
  <si>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</si>
  <si>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</si>
  <si>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</si>
  <si>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</si>
  <si>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</si>
  <si>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</si>
  <si>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</si>
  <si>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</si>
  <si>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</si>
  <si>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</si>
  <si>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</si>
  <si>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</si>
  <si>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</si>
  <si>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</si>
  <si>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</si>
  <si>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</si>
  <si>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</si>
  <si>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</si>
  <si>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</si>
  <si>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</si>
  <si>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</si>
  <si>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</si>
  <si>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</si>
  <si>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</si>
  <si>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</si>
  <si>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</si>
  <si>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</si>
  <si>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</si>
  <si>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</si>
  <si>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</si>
  <si>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</si>
  <si>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</si>
  <si>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</si>
  <si>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</si>
  <si>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</si>
  <si>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</si>
  <si>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</si>
  <si>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</si>
  <si>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</si>
  <si>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</si>
  <si>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</si>
  <si>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</si>
  <si>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</si>
  <si>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</si>
  <si>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</si>
  <si>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</si>
  <si>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</si>
  <si>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</si>
  <si>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</si>
  <si>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</si>
  <si>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</si>
  <si>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</si>
  <si>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</si>
  <si>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</si>
  <si>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</si>
  <si>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</si>
  <si>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</si>
  <si>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</si>
  <si>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</si>
  <si>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</si>
  <si>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</si>
  <si>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</si>
  <si>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</si>
  <si>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</si>
  <si>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</si>
  <si>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</si>
  <si>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</si>
  <si>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</si>
  <si>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</si>
  <si>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</si>
  <si>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</si>
  <si>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</si>
  <si>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</si>
  <si>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</si>
  <si>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</si>
  <si>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</si>
  <si>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</si>
  <si>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</si>
  <si>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</si>
  <si>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</si>
  <si>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</si>
  <si>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</si>
  <si>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</si>
  <si>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</si>
  <si>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</si>
  <si>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</si>
  <si>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</si>
  <si>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</si>
  <si>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</si>
  <si>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</si>
  <si>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</si>
  <si>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</si>
  <si>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</si>
  <si>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</si>
  <si>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</si>
  <si>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</si>
  <si>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</si>
  <si>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</si>
  <si>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</si>
  <si>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</si>
  <si>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</si>
  <si>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</si>
  <si>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</si>
  <si>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</si>
  <si>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</si>
  <si>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</si>
  <si>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</si>
  <si>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</si>
  <si>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</si>
  <si>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</si>
  <si>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</si>
  <si>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</si>
  <si>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</si>
  <si>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</si>
  <si>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</si>
  <si>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</si>
  <si>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</si>
  <si>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</si>
  <si>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</si>
  <si>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</si>
  <si>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</si>
  <si>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</si>
  <si>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</si>
  <si>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</si>
  <si>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</si>
  <si>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</si>
  <si>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</si>
  <si>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</si>
  <si>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</si>
  <si>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</si>
  <si>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</si>
  <si>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</si>
  <si>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</si>
  <si>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</si>
  <si>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</si>
  <si>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</si>
  <si>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</si>
  <si>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</si>
  <si>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</si>
  <si>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</si>
  <si>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</si>
  <si>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</si>
  <si>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</si>
  <si>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</si>
  <si>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</si>
  <si>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</si>
  <si>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</si>
  <si>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</si>
  <si>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</si>
  <si>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</si>
  <si>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</si>
  <si>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</si>
  <si>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</si>
  <si>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</si>
  <si>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</si>
  <si>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</si>
  <si>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</si>
  <si>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</si>
  <si>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</si>
  <si>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</si>
  <si>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</si>
  <si>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</si>
  <si>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</si>
  <si>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</si>
  <si>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</si>
  <si>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</si>
  <si>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</si>
  <si>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</si>
  <si>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</si>
  <si>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</si>
  <si>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</si>
  <si>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</si>
  <si>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</si>
  <si>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</si>
  <si>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</si>
  <si>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</si>
  <si>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</si>
  <si>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</si>
  <si>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</si>
  <si>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</si>
  <si>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</si>
  <si>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</si>
  <si>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</si>
  <si>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</si>
  <si>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</si>
  <si>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</si>
  <si>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</si>
  <si>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</si>
  <si>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</si>
  <si>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</si>
  <si>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</si>
  <si>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</si>
  <si>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</si>
  <si>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</si>
  <si>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</si>
  <si>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</si>
  <si>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</si>
  <si>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</si>
  <si>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</si>
  <si>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</si>
  <si>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</si>
  <si>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</si>
  <si>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</si>
  <si>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</si>
  <si>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</si>
  <si>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</si>
  <si>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</si>
  <si>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</si>
  <si>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</si>
  <si>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</si>
  <si>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</si>
  <si>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</si>
  <si>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</si>
  <si>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</si>
  <si>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</si>
  <si>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</si>
  <si>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</si>
  <si>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</si>
  <si>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</si>
  <si>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</si>
  <si>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</si>
  <si>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</si>
  <si>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</si>
  <si>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</si>
  <si>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</si>
  <si>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</si>
  <si>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</si>
  <si>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</si>
  <si>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</si>
  <si>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</si>
  <si>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</si>
  <si>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</si>
  <si>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</si>
  <si>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</si>
  <si>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</si>
  <si>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</si>
  <si>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</si>
  <si>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</si>
  <si>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</si>
  <si>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</si>
  <si>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</si>
  <si>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</si>
  <si>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</si>
  <si>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</si>
  <si>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</si>
  <si>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</si>
  <si>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</si>
  <si>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</si>
  <si>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</si>
  <si>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</si>
  <si>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</si>
  <si>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</si>
  <si>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</si>
  <si>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</si>
  <si>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</si>
  <si>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</si>
  <si>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</si>
  <si>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</si>
  <si>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</si>
  <si>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</si>
  <si>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</si>
  <si>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</si>
  <si>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</si>
  <si>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</si>
  <si>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</si>
  <si>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</si>
  <si>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</si>
  <si>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</si>
  <si>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</si>
  <si>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</si>
  <si>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</si>
  <si>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</si>
  <si>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</si>
  <si>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</si>
  <si>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</si>
  <si>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</si>
  <si>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</si>
  <si>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</si>
  <si>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</si>
  <si>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</si>
  <si>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</si>
  <si>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</si>
  <si>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</si>
  <si>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</si>
  <si>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</si>
  <si>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</si>
  <si>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</si>
  <si>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</si>
  <si>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</si>
  <si>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</si>
  <si>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</si>
  <si>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</si>
  <si>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</si>
  <si>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</si>
  <si>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</si>
  <si>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</si>
  <si>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</si>
  <si>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</si>
  <si>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</si>
  <si>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</si>
  <si>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</si>
  <si>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</si>
  <si>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</si>
  <si>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</si>
  <si>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</si>
  <si>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</si>
  <si>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</si>
  <si>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</si>
  <si>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</si>
  <si>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</si>
  <si>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</si>
  <si>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</si>
  <si>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</si>
  <si>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</si>
  <si>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</si>
  <si>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</si>
  <si>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</si>
  <si>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</si>
  <si>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</si>
  <si>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</si>
  <si>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</si>
  <si>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</si>
  <si>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</si>
  <si>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</si>
  <si>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</si>
  <si>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</si>
  <si>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</si>
  <si>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</si>
  <si>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</si>
  <si>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</si>
  <si>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</si>
  <si>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</si>
  <si>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</si>
  <si>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</si>
  <si>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</si>
  <si>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</si>
  <si>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</si>
  <si>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</si>
  <si>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</si>
  <si>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</si>
  <si>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</si>
  <si>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</si>
  <si>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</si>
  <si>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</si>
  <si>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</si>
  <si>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</si>
  <si>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</si>
  <si>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</si>
  <si>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</si>
  <si>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</si>
  <si>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</si>
  <si>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</si>
  <si>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</si>
  <si>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</si>
  <si>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</si>
  <si>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</si>
  <si>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</si>
  <si>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</si>
  <si>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</si>
  <si>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</si>
  <si>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</si>
  <si>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</si>
  <si>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</si>
  <si>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</si>
  <si>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</si>
  <si>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</si>
  <si>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</si>
  <si>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</si>
  <si>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</si>
  <si>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</si>
  <si>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</si>
  <si>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</si>
  <si>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</si>
  <si>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</si>
  <si>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</si>
  <si>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</si>
  <si>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</si>
  <si>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</si>
  <si>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</si>
  <si>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</si>
  <si>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</si>
  <si>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</si>
  <si>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</si>
  <si>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</si>
  <si>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</si>
  <si>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</si>
  <si>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</si>
  <si>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</si>
  <si>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</si>
  <si>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</si>
  <si>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</si>
  <si>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</si>
  <si>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</si>
  <si>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</si>
  <si>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</si>
  <si>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</si>
  <si>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</si>
  <si>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</si>
  <si>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</si>
  <si>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</si>
  <si>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</si>
  <si>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</si>
  <si>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</si>
  <si>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</si>
  <si>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</si>
  <si>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</si>
  <si>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</si>
  <si>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</si>
  <si>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</si>
  <si>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</si>
  <si>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</si>
  <si>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</si>
  <si>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</si>
  <si>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</si>
  <si>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</si>
  <si>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</si>
  <si>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</si>
  <si>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</si>
  <si>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</si>
  <si>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</si>
  <si>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</si>
  <si>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</si>
  <si>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</si>
  <si>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</si>
  <si>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</si>
  <si>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</si>
  <si>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</si>
  <si>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</si>
  <si>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</si>
  <si>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</si>
  <si>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</si>
  <si>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</si>
  <si>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</si>
  <si>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</si>
  <si>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</si>
  <si>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</si>
  <si>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</si>
  <si>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</si>
  <si>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</si>
  <si>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</si>
  <si>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</si>
  <si>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</si>
  <si>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</si>
  <si>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</si>
  <si>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</si>
  <si>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</si>
  <si>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</si>
  <si>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</si>
  <si>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</si>
  <si>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</si>
  <si>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</si>
  <si>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</si>
  <si>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</si>
  <si>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</si>
  <si>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</si>
  <si>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</si>
  <si>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</si>
  <si>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</si>
  <si>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</si>
  <si>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</si>
  <si>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</si>
  <si>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</si>
  <si>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</si>
  <si>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</si>
  <si>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</si>
  <si>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</si>
  <si>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</si>
  <si>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</si>
  <si>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</si>
  <si>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</si>
  <si>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</si>
  <si>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</si>
  <si>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</si>
  <si>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</si>
  <si>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</si>
  <si>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</si>
  <si>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</si>
  <si>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</si>
  <si>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</si>
  <si>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</si>
  <si>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</si>
  <si>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</si>
  <si>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</si>
  <si>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</si>
  <si>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</si>
  <si>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</si>
  <si>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</si>
  <si>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</si>
  <si>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</si>
  <si>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</si>
  <si>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</si>
  <si>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</si>
  <si>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</si>
  <si>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</si>
  <si>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</si>
  <si>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</si>
  <si>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</si>
  <si>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</si>
  <si>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</si>
  <si>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</si>
  <si>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</si>
  <si>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</si>
  <si>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</si>
  <si>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</si>
  <si>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</si>
  <si>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</si>
  <si>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</si>
  <si>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</si>
  <si>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</si>
  <si>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</si>
  <si>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</si>
  <si>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</si>
  <si>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</si>
  <si>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</si>
  <si>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</si>
  <si>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</si>
  <si>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</si>
  <si>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</si>
  <si>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</si>
  <si>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</si>
  <si>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</si>
  <si>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</si>
  <si>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</si>
  <si>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</si>
  <si>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</si>
  <si>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</si>
  <si>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</si>
  <si>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</si>
  <si>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</si>
  <si>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</si>
  <si>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</si>
  <si>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</si>
  <si>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</si>
  <si>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</si>
  <si>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</si>
  <si>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</si>
  <si>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</si>
  <si>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</si>
  <si>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</si>
  <si>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</si>
  <si>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</si>
  <si>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</si>
  <si>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</si>
  <si>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</si>
  <si>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</si>
  <si>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</si>
  <si>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</si>
  <si>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</si>
  <si>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</si>
  <si>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</si>
  <si>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</si>
  <si>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</si>
  <si>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</si>
  <si>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</si>
  <si>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</si>
  <si>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</si>
  <si>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</si>
  <si>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</si>
  <si>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</si>
  <si>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</si>
  <si>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</si>
  <si>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</si>
  <si>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</si>
  <si>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</si>
  <si>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</si>
  <si>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</si>
  <si>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</si>
  <si>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</si>
  <si>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</si>
  <si>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</si>
  <si>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</si>
  <si>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</si>
  <si>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</si>
  <si>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</si>
  <si>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</si>
  <si>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</si>
  <si>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</si>
  <si>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</si>
  <si>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</si>
  <si>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</si>
  <si>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</si>
  <si>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</si>
  <si>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</si>
  <si>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</si>
  <si>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</si>
  <si>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</si>
  <si>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</si>
  <si>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</si>
  <si>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</si>
  <si>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</si>
  <si>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</si>
  <si>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</si>
  <si>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</si>
  <si>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</si>
  <si>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</si>
  <si>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</si>
  <si>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</si>
  <si>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</si>
  <si>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</si>
  <si>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</si>
  <si>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</si>
  <si>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</si>
  <si>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</si>
  <si>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</si>
  <si>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</si>
  <si>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</si>
  <si>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</si>
  <si>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</si>
  <si>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</si>
  <si>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</si>
  <si>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</si>
  <si>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</si>
  <si>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</si>
  <si>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</si>
  <si>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</si>
  <si>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</si>
  <si>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</si>
  <si>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</si>
  <si>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</si>
  <si>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</si>
  <si>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</si>
  <si>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</si>
  <si>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</si>
  <si>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</si>
  <si>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</si>
  <si>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</si>
  <si>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</si>
  <si>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</si>
  <si>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</si>
  <si>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</si>
  <si>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</si>
  <si>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</si>
  <si>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</si>
  <si>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</si>
  <si>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</si>
  <si>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</si>
  <si>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</si>
  <si>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</si>
  <si>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</si>
  <si>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</si>
  <si>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</si>
  <si>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</si>
  <si>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</si>
  <si>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</si>
  <si>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</si>
  <si>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</si>
  <si>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</si>
  <si>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</si>
  <si>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</si>
  <si>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</si>
  <si>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</si>
  <si>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</si>
  <si>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</si>
  <si>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</si>
  <si>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</si>
  <si>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</si>
  <si>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</si>
  <si>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</si>
  <si>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</si>
  <si>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</si>
  <si>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</si>
  <si>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</si>
  <si>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</si>
  <si>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</si>
  <si>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</si>
  <si>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</si>
  <si>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</si>
  <si>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</si>
  <si>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</si>
  <si>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</si>
  <si>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</si>
  <si>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</si>
  <si>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</si>
  <si>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</si>
  <si>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</si>
  <si>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</si>
  <si>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</si>
  <si>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</si>
  <si>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</si>
  <si>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</si>
  <si>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</si>
  <si>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</si>
  <si>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</si>
  <si>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</si>
  <si>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</si>
  <si>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</si>
  <si>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</si>
  <si>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</si>
  <si>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</si>
  <si>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</si>
  <si>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</si>
  <si>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</si>
  <si>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</si>
  <si>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</si>
  <si>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</si>
  <si>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</si>
  <si>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</si>
  <si>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</si>
  <si>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</si>
  <si>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</si>
  <si>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</si>
  <si>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</si>
  <si>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</si>
  <si>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</si>
  <si>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</si>
  <si>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</si>
  <si>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</si>
  <si>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</si>
  <si>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</si>
  <si>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</si>
  <si>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</si>
  <si>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</si>
  <si>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</si>
  <si>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</si>
  <si>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</si>
  <si>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</si>
  <si>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</si>
  <si>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</si>
  <si>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</si>
  <si>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</si>
  <si>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</si>
  <si>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</si>
  <si>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</si>
  <si>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</si>
  <si>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</si>
  <si>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</si>
  <si>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</si>
  <si>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</si>
  <si>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</si>
  <si>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</si>
  <si>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</si>
  <si>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</si>
  <si>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</si>
  <si>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</si>
  <si>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</si>
  <si>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</si>
  <si>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</si>
  <si>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</si>
  <si>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</si>
  <si>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</si>
  <si>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</si>
  <si>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</si>
  <si>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</si>
  <si>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</si>
  <si>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</si>
  <si>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</si>
  <si>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</si>
  <si>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</si>
  <si>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</si>
  <si>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</si>
  <si>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</si>
  <si>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</si>
  <si>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</si>
  <si>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</si>
  <si>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</si>
  <si>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</si>
  <si>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</si>
  <si>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</si>
  <si>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</si>
  <si>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</si>
  <si>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</si>
  <si>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</si>
  <si>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</si>
  <si>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</si>
  <si>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</si>
  <si>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</si>
  <si>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</si>
  <si>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</si>
  <si>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</si>
  <si>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</si>
  <si>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</si>
  <si>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</si>
  <si>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</si>
  <si>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</si>
  <si>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</si>
  <si>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</si>
  <si>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</si>
  <si>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</si>
  <si>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</si>
  <si>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</si>
  <si>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</si>
  <si>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</si>
  <si>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</si>
  <si>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</si>
  <si>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</si>
  <si>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</si>
  <si>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</si>
  <si>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</si>
  <si>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</si>
  <si>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</si>
  <si>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</si>
  <si>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</si>
  <si>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</si>
  <si>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</si>
  <si>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</si>
  <si>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</si>
  <si>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</si>
  <si>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</si>
  <si>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</si>
  <si>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</si>
  <si>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</si>
  <si>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</si>
  <si>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</si>
  <si>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</si>
  <si>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</si>
  <si>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</si>
  <si>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</si>
  <si>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</si>
  <si>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</si>
  <si>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</si>
  <si>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</si>
  <si>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</si>
  <si>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</si>
  <si>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</si>
  <si>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</si>
  <si>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</si>
  <si>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</si>
  <si>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</si>
  <si>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</si>
  <si>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</si>
  <si>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</si>
  <si>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</si>
  <si>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</si>
  <si>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</si>
  <si>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</si>
  <si>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</si>
  <si>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</si>
  <si>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</si>
  <si>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</si>
  <si>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</si>
  <si>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</si>
  <si>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</si>
  <si>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</si>
  <si>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</si>
  <si>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</si>
  <si>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</si>
  <si>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</si>
  <si>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</si>
  <si>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</si>
  <si>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</si>
  <si>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</si>
  <si>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</si>
  <si>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</si>
  <si>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</si>
  <si>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</si>
  <si>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</si>
  <si>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</si>
  <si>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</si>
  <si>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</si>
  <si>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</si>
  <si>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</si>
  <si>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</si>
  <si>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</si>
  <si>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</si>
  <si>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</si>
  <si>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</si>
  <si>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</si>
  <si>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</si>
  <si>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</si>
  <si>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</si>
  <si>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</si>
  <si>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</si>
  <si>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</si>
  <si>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</si>
  <si>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</si>
  <si>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</si>
  <si>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</si>
  <si>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</si>
  <si>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</si>
  <si>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</si>
  <si>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</si>
  <si>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</si>
  <si>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</si>
  <si>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</si>
  <si>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</si>
  <si>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</si>
  <si>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</si>
  <si>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</si>
  <si>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</si>
  <si>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</si>
  <si>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</si>
  <si>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</si>
  <si>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</si>
  <si>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</si>
  <si>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</si>
  <si>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</si>
  <si>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</si>
  <si>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</si>
  <si>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</si>
  <si>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</si>
  <si>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</si>
  <si>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</si>
  <si>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</si>
  <si>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</si>
  <si>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</si>
  <si>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</si>
  <si>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</si>
  <si>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</si>
  <si>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</si>
  <si>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</si>
  <si>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</si>
  <si>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</si>
  <si>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</si>
  <si>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</si>
  <si>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</si>
  <si>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</si>
  <si>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</si>
  <si>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</si>
  <si>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</si>
  <si>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</si>
  <si>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</si>
  <si>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</si>
  <si>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</si>
  <si>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</si>
  <si>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</si>
  <si>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</si>
  <si>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</si>
  <si>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</si>
  <si>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</si>
  <si>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</si>
  <si>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</si>
  <si>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</si>
  <si>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</si>
  <si>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</si>
  <si>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</si>
  <si>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</si>
  <si>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</si>
  <si>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</si>
  <si>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</si>
  <si>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</si>
  <si>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</si>
  <si>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</si>
  <si>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</si>
  <si>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</si>
  <si>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</si>
  <si>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</si>
  <si>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</si>
  <si>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</si>
  <si>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</si>
  <si>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</si>
  <si>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</si>
  <si>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</si>
  <si>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</si>
  <si>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北京天民房地产开发有限公司</t>
    <phoneticPr fontId="6" type="noConversion"/>
  </si>
  <si>
    <t>企业</t>
  </si>
  <si>
    <r>
      <rPr>
        <sz val="12"/>
        <color theme="9" tint="-0.249977111117893"/>
        <rFont val="宋体"/>
        <family val="3"/>
        <charset val="134"/>
      </rPr>
      <t>怀柔区庙城镇郑重庄</t>
    </r>
    <r>
      <rPr>
        <sz val="12"/>
        <color theme="9" tint="-0.249977111117893"/>
        <rFont val="Arial"/>
        <family val="2"/>
      </rPr>
      <t>636</t>
    </r>
    <r>
      <rPr>
        <sz val="12"/>
        <color theme="9" tint="-0.249977111117893"/>
        <rFont val="宋体"/>
        <family val="3"/>
        <charset val="134"/>
      </rPr>
      <t>号</t>
    </r>
    <phoneticPr fontId="6" type="noConversion"/>
  </si>
  <si>
    <t>核定资产</t>
  </si>
  <si>
    <t>房地产市场价值</t>
  </si>
  <si>
    <t>北京市</t>
  </si>
  <si>
    <t>出让</t>
  </si>
  <si>
    <t>是</t>
  </si>
  <si>
    <t>地上</t>
  </si>
  <si>
    <t>平房</t>
  </si>
  <si>
    <t>平房</t>
    <phoneticPr fontId="16" type="noConversion"/>
  </si>
  <si>
    <t>楼房</t>
  </si>
  <si>
    <t>楼房</t>
    <phoneticPr fontId="16" type="noConversion"/>
  </si>
  <si>
    <t>估价对象</t>
    <phoneticPr fontId="143" type="noConversion"/>
  </si>
  <si>
    <t>用途</t>
    <phoneticPr fontId="143" type="noConversion"/>
  </si>
  <si>
    <t>建筑面积</t>
    <phoneticPr fontId="143" type="noConversion"/>
  </si>
  <si>
    <t>房屋结构</t>
    <phoneticPr fontId="143" type="noConversion"/>
  </si>
  <si>
    <t>楼层</t>
    <phoneticPr fontId="143" type="noConversion"/>
  </si>
  <si>
    <t>1幢</t>
    <phoneticPr fontId="143" type="noConversion"/>
  </si>
  <si>
    <t>商业</t>
    <phoneticPr fontId="143" type="noConversion"/>
  </si>
  <si>
    <t>混合</t>
    <phoneticPr fontId="143" type="noConversion"/>
  </si>
  <si>
    <t>1/1</t>
    <phoneticPr fontId="143" type="noConversion"/>
  </si>
  <si>
    <t>2幢</t>
    <phoneticPr fontId="143" type="noConversion"/>
  </si>
  <si>
    <t>3幢</t>
    <phoneticPr fontId="143" type="noConversion"/>
  </si>
  <si>
    <t>办公</t>
    <phoneticPr fontId="143" type="noConversion"/>
  </si>
  <si>
    <t>4幢</t>
    <phoneticPr fontId="143" type="noConversion"/>
  </si>
  <si>
    <t>5幢</t>
    <phoneticPr fontId="143" type="noConversion"/>
  </si>
  <si>
    <t>6幢</t>
    <phoneticPr fontId="143" type="noConversion"/>
  </si>
  <si>
    <t>商业</t>
    <phoneticPr fontId="143" type="noConversion"/>
  </si>
  <si>
    <t>1-2/2</t>
    <phoneticPr fontId="143" type="noConversion"/>
  </si>
  <si>
    <t>基准地价修正（商业1）</t>
    <phoneticPr fontId="16" type="noConversion"/>
  </si>
  <si>
    <t>Ⅸ-怀1</t>
  </si>
  <si>
    <t>住宿餐饮用地</t>
  </si>
  <si>
    <t>不临58条商业街</t>
  </si>
  <si>
    <t>与级别开发程度不一致</t>
  </si>
  <si>
    <t>通路</t>
  </si>
  <si>
    <t>通电</t>
  </si>
  <si>
    <t>通讯</t>
  </si>
  <si>
    <t>通上水</t>
  </si>
  <si>
    <t>通下水</t>
  </si>
  <si>
    <t>通热</t>
  </si>
  <si>
    <t>平整</t>
  </si>
  <si>
    <t>按公示增长率计算</t>
  </si>
  <si>
    <t>楼层修正</t>
  </si>
  <si>
    <t>2020-1</t>
    <phoneticPr fontId="3" type="noConversion"/>
  </si>
  <si>
    <t>2020-2</t>
    <phoneticPr fontId="143" type="noConversion"/>
  </si>
  <si>
    <t>商务金融用地（办公类）</t>
  </si>
  <si>
    <t>容积率修正</t>
  </si>
  <si>
    <t>成本法 (商业1)</t>
  </si>
  <si>
    <t>成本法 (商业1)</t>
    <phoneticPr fontId="16" type="noConversion"/>
  </si>
  <si>
    <t>商业1</t>
  </si>
  <si>
    <t>商业1</t>
    <phoneticPr fontId="7" type="noConversion"/>
  </si>
  <si>
    <t>商业2</t>
    <phoneticPr fontId="7" type="noConversion"/>
  </si>
  <si>
    <r>
      <rPr>
        <sz val="10"/>
        <color indexed="8"/>
        <rFont val="宋体"/>
        <family val="3"/>
        <charset val="134"/>
      </rPr>
      <t>办公</t>
    </r>
    <r>
      <rPr>
        <sz val="10"/>
        <color indexed="8"/>
        <rFont val="Arial"/>
        <family val="2"/>
      </rPr>
      <t>3</t>
    </r>
    <phoneticPr fontId="7" type="noConversion"/>
  </si>
  <si>
    <r>
      <rPr>
        <sz val="11"/>
        <color indexed="8"/>
        <rFont val="宋体"/>
        <family val="3"/>
        <charset val="134"/>
      </rPr>
      <t>商业</t>
    </r>
    <r>
      <rPr>
        <sz val="11"/>
        <color indexed="8"/>
        <rFont val="Arial"/>
        <family val="2"/>
      </rPr>
      <t>4</t>
    </r>
    <phoneticPr fontId="7" type="noConversion"/>
  </si>
  <si>
    <r>
      <rPr>
        <sz val="11"/>
        <color indexed="8"/>
        <rFont val="宋体"/>
        <family val="3"/>
        <charset val="134"/>
      </rPr>
      <t>商业</t>
    </r>
    <r>
      <rPr>
        <sz val="11"/>
        <color indexed="8"/>
        <rFont val="Arial"/>
        <family val="2"/>
      </rPr>
      <t>5</t>
    </r>
    <phoneticPr fontId="7" type="noConversion"/>
  </si>
  <si>
    <r>
      <rPr>
        <sz val="11"/>
        <color indexed="8"/>
        <rFont val="宋体"/>
        <family val="3"/>
        <charset val="134"/>
      </rPr>
      <t>商业</t>
    </r>
    <r>
      <rPr>
        <sz val="11"/>
        <color indexed="8"/>
        <rFont val="Arial"/>
        <family val="2"/>
      </rPr>
      <t>6</t>
    </r>
    <phoneticPr fontId="7" type="noConversion"/>
  </si>
  <si>
    <t>成新度</t>
  </si>
  <si>
    <t>比较法（商业1）</t>
    <phoneticPr fontId="16" type="noConversion"/>
  </si>
  <si>
    <t>收益法 (商业1)</t>
  </si>
  <si>
    <t>押一</t>
  </si>
  <si>
    <t>砖混</t>
  </si>
  <si>
    <t>非生产用房</t>
  </si>
  <si>
    <t>商业</t>
    <phoneticPr fontId="31" type="noConversion"/>
  </si>
  <si>
    <t>正常</t>
  </si>
  <si>
    <t>收益法</t>
    <phoneticPr fontId="143" type="noConversion"/>
  </si>
  <si>
    <t>成本法</t>
    <phoneticPr fontId="143" type="noConversion"/>
  </si>
  <si>
    <t>估价对象周边商业氛围较成熟，人流量较少，商业繁华度一般</t>
    <phoneticPr fontId="25" type="noConversion"/>
  </si>
  <si>
    <t>估价对象周边办公楼项目较少，入驻率一般，办公集聚程度一般</t>
    <phoneticPr fontId="25" type="noConversion"/>
  </si>
  <si>
    <t>估价对象周边有h08路、h40路、h63路、h70路等多条公交线路、项目内可停车，综合评价交通便捷度一般</t>
    <phoneticPr fontId="41" type="noConversion"/>
  </si>
  <si>
    <t>估价对象所在区域公共配套设施齐备情况一般</t>
    <phoneticPr fontId="41" type="noConversion"/>
  </si>
  <si>
    <t>六通</t>
  </si>
  <si>
    <t>六通</t>
    <phoneticPr fontId="25" type="noConversion"/>
  </si>
  <si>
    <t>区域自然环境：城南公园、怀河；人文环境：郑重庄社区村委会；综合评价环境状况一般</t>
    <phoneticPr fontId="41" type="noConversion"/>
  </si>
  <si>
    <t>城市次干道——富密路</t>
    <phoneticPr fontId="25" type="noConversion"/>
  </si>
  <si>
    <t>一般</t>
  </si>
  <si>
    <t>较好</t>
  </si>
  <si>
    <t>怀柔区商业街</t>
    <phoneticPr fontId="3" type="noConversion"/>
  </si>
  <si>
    <t>怀柔区青春路主街</t>
    <phoneticPr fontId="3" type="noConversion"/>
  </si>
  <si>
    <t>怀柔区开放路9号</t>
    <phoneticPr fontId="3" type="noConversion"/>
  </si>
  <si>
    <t>单面临街</t>
  </si>
  <si>
    <t>单面临街</t>
    <phoneticPr fontId="31" type="noConversion"/>
  </si>
  <si>
    <t>不临街</t>
    <phoneticPr fontId="31" type="noConversion"/>
  </si>
  <si>
    <r>
      <t>1</t>
    </r>
    <r>
      <rPr>
        <sz val="11"/>
        <color indexed="8"/>
        <rFont val="宋体"/>
        <family val="3"/>
        <charset val="134"/>
      </rPr>
      <t>层</t>
    </r>
    <phoneticPr fontId="31" type="noConversion"/>
  </si>
  <si>
    <t>1层</t>
  </si>
  <si>
    <t>独立商业</t>
  </si>
  <si>
    <t>独立商业</t>
    <phoneticPr fontId="31" type="noConversion"/>
  </si>
  <si>
    <t>楼宇底商</t>
  </si>
  <si>
    <t>楼宇底商</t>
    <phoneticPr fontId="31" type="noConversion"/>
  </si>
  <si>
    <t>混合</t>
  </si>
  <si>
    <t>混合</t>
    <phoneticPr fontId="31" type="noConversion"/>
  </si>
  <si>
    <t>普通装修</t>
  </si>
  <si>
    <t>普通装修</t>
    <phoneticPr fontId="31" type="noConversion"/>
  </si>
  <si>
    <t>七通</t>
    <phoneticPr fontId="31" type="noConversion"/>
  </si>
  <si>
    <t>六通</t>
    <phoneticPr fontId="31" type="noConversion"/>
  </si>
  <si>
    <t>标准层高</t>
  </si>
  <si>
    <t>标准层高</t>
    <phoneticPr fontId="31" type="noConversion"/>
  </si>
  <si>
    <t>普通装修</t>
    <phoneticPr fontId="31" type="noConversion"/>
  </si>
  <si>
    <t>简单装修</t>
  </si>
  <si>
    <t>简单装修</t>
    <phoneticPr fontId="31" type="noConversion"/>
  </si>
  <si>
    <t>简单装修</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</si>
  <si>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</si>
  <si>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 (商业1)</t>
    <phoneticPr fontId="16" type="noConversion"/>
  </si>
  <si>
    <t>收益法 (办公)</t>
  </si>
  <si>
    <t>收益法 (办公)</t>
    <phoneticPr fontId="16" type="noConversion"/>
  </si>
  <si>
    <t>办公3</t>
  </si>
  <si>
    <t>比较法（办公）</t>
    <phoneticPr fontId="16" type="noConversion"/>
  </si>
  <si>
    <t>办公</t>
    <phoneticPr fontId="32" type="noConversion"/>
  </si>
  <si>
    <t>平房</t>
    <phoneticPr fontId="32" type="noConversion"/>
  </si>
  <si>
    <t>楼房</t>
    <phoneticPr fontId="32" type="noConversion"/>
  </si>
  <si>
    <t>普通装修</t>
    <phoneticPr fontId="32" type="noConversion"/>
  </si>
  <si>
    <t>标准层高</t>
    <phoneticPr fontId="32" type="noConversion"/>
  </si>
  <si>
    <t>简单装修</t>
    <phoneticPr fontId="32" type="noConversion"/>
  </si>
  <si>
    <t>简单装修</t>
    <phoneticPr fontId="32" type="noConversion"/>
  </si>
  <si>
    <t>租金</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</si>
  <si>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</si>
  <si>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北京美莱服装服饰有限公司</t>
    <phoneticPr fontId="3" type="noConversion"/>
  </si>
  <si>
    <t>南华园二区</t>
    <phoneticPr fontId="3" type="noConversion"/>
  </si>
  <si>
    <t>泉河园二区</t>
    <phoneticPr fontId="3" type="noConversion"/>
  </si>
  <si>
    <t>现房</t>
  </si>
  <si>
    <t xml:space="preserve">成本法 (办公) </t>
    <phoneticPr fontId="16" type="noConversion"/>
  </si>
  <si>
    <t>商业1</t>
    <phoneticPr fontId="25" type="noConversion"/>
  </si>
  <si>
    <r>
      <rPr>
        <sz val="10"/>
        <color indexed="8"/>
        <rFont val="宋体"/>
        <family val="3"/>
        <charset val="134"/>
      </rPr>
      <t>商业</t>
    </r>
    <r>
      <rPr>
        <sz val="10"/>
        <color indexed="8"/>
        <rFont val="Arial"/>
        <family val="2"/>
      </rPr>
      <t>2</t>
    </r>
    <phoneticPr fontId="25" type="noConversion"/>
  </si>
  <si>
    <r>
      <rPr>
        <sz val="10"/>
        <color indexed="8"/>
        <rFont val="宋体"/>
        <family val="3"/>
        <charset val="134"/>
      </rPr>
      <t>商业</t>
    </r>
    <r>
      <rPr>
        <sz val="10"/>
        <color indexed="8"/>
        <rFont val="Arial"/>
        <family val="2"/>
      </rPr>
      <t>4</t>
    </r>
    <phoneticPr fontId="25" type="noConversion"/>
  </si>
  <si>
    <r>
      <rPr>
        <sz val="10"/>
        <color indexed="8"/>
        <rFont val="宋体"/>
        <family val="3"/>
        <charset val="134"/>
      </rPr>
      <t>商业</t>
    </r>
    <r>
      <rPr>
        <sz val="10"/>
        <color indexed="8"/>
        <rFont val="Arial"/>
        <family val="2"/>
      </rPr>
      <t>5</t>
    </r>
    <phoneticPr fontId="25" type="noConversion"/>
  </si>
  <si>
    <r>
      <rPr>
        <sz val="10"/>
        <color indexed="8"/>
        <rFont val="宋体"/>
        <family val="3"/>
        <charset val="134"/>
      </rPr>
      <t>商业</t>
    </r>
    <r>
      <rPr>
        <sz val="10"/>
        <color indexed="8"/>
        <rFont val="Arial"/>
        <family val="2"/>
      </rPr>
      <t>6</t>
    </r>
    <phoneticPr fontId="25" type="noConversion"/>
  </si>
  <si>
    <t>楼层</t>
    <phoneticPr fontId="3" type="noConversion"/>
  </si>
  <si>
    <r>
      <t>1</t>
    </r>
    <r>
      <rPr>
        <sz val="10"/>
        <color indexed="8"/>
        <rFont val="宋体"/>
        <family val="3"/>
        <charset val="134"/>
      </rPr>
      <t>至</t>
    </r>
    <r>
      <rPr>
        <sz val="10"/>
        <color indexed="8"/>
        <rFont val="Arial"/>
        <family val="2"/>
      </rPr>
      <t>2</t>
    </r>
    <phoneticPr fontId="25" type="noConversion"/>
  </si>
  <si>
    <t>1至2</t>
  </si>
  <si>
    <t>单价</t>
    <phoneticPr fontId="143" type="noConversion"/>
  </si>
  <si>
    <t>好</t>
  </si>
  <si>
    <t>成本法 (商业2层)</t>
    <phoneticPr fontId="16" type="noConversion"/>
  </si>
  <si>
    <t>基准地价修正（办公）</t>
    <phoneticPr fontId="16" type="noConversion"/>
  </si>
  <si>
    <t>基准地价修正 (商业2层)</t>
    <phoneticPr fontId="16" type="noConversion"/>
  </si>
  <si>
    <t>商业6</t>
  </si>
  <si>
    <t>收益还原</t>
  </si>
  <si>
    <t>总价</t>
    <phoneticPr fontId="143" type="noConversion"/>
  </si>
  <si>
    <t>房+地</t>
    <phoneticPr fontId="143" type="noConversion"/>
  </si>
  <si>
    <t>房</t>
    <phoneticPr fontId="143" type="noConversion"/>
  </si>
  <si>
    <t>地</t>
    <phoneticPr fontId="143" type="noConversion"/>
  </si>
  <si>
    <t>比例</t>
    <phoneticPr fontId="143" type="noConversion"/>
  </si>
  <si>
    <t xml:space="preserve">收益法 (商业2层) </t>
  </si>
  <si>
    <t xml:space="preserve">收益法 (商业2层) </t>
    <phoneticPr fontId="16" type="noConversion"/>
  </si>
  <si>
    <t>按成本法分配房地价值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</si>
</sst>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50" fillId="2" borderId="1" xfId="0" applyFont="1" applyFill="1" applyBorder="1" applyAlignment="1" applyProtection="1">
      <alignment vertical="center" wrapText="1"/>
      <protection locked="0"/>
    </xf>
    <xf numFmtId="179" fontId="51" fillId="6" borderId="0" xfId="0" applyNumberFormat="1" applyFont="1" applyFill="1" applyBorder="1" applyAlignment="1" applyProtection="1">
      <alignment vertical="center" wrapText="1"/>
    </xf>
    <xf numFmtId="176" fontId="50" fillId="6" borderId="54" xfId="0" applyNumberFormat="1" applyFont="1" applyFill="1" applyBorder="1" applyAlignment="1" applyProtection="1">
      <alignment vertical="center" wrapText="1"/>
    </xf>
    <xf numFmtId="0" fontId="50" fillId="6" borderId="58" xfId="0" applyFont="1" applyFill="1" applyBorder="1" applyAlignment="1" applyProtection="1">
      <alignment vertical="center" wrapText="1"/>
    </xf>
    <xf numFmtId="0" fontId="50" fillId="6" borderId="4" xfId="0" applyFont="1" applyFill="1" applyBorder="1" applyAlignment="1" applyProtection="1">
      <alignment vertical="center" wrapText="1"/>
    </xf>
    <xf numFmtId="0" fontId="47" fillId="0" borderId="2" xfId="0" applyFont="1" applyBorder="1" applyAlignment="1" applyProtection="1">
      <alignment vertical="center" wrapText="1"/>
      <protection locked="0"/>
    </xf>
    <xf numFmtId="0" fontId="47" fillId="0" borderId="0" xfId="0" applyFont="1" applyFill="1" applyBorder="1" applyAlignment="1" applyProtection="1">
      <alignment vertical="center" wrapText="1"/>
    </xf>
    <xf numFmtId="0" fontId="52" fillId="0" borderId="0" xfId="0" applyFont="1" applyAlignment="1" applyProtection="1">
      <alignment vertical="center"/>
    </xf>
    <xf numFmtId="0" fontId="99" fillId="0" borderId="0" xfId="10">
      <alignment vertical="center"/>
    </xf>
    <xf numFmtId="0" fontId="99" fillId="0" borderId="0" xfId="10" applyAlignment="1">
      <alignment horizontal="left" vertical="center"/>
    </xf>
    <xf numFmtId="177" fontId="80" fillId="0" borderId="1" xfId="1" applyNumberFormat="1" applyFont="1" applyFill="1" applyBorder="1" applyAlignment="1" applyProtection="1">
      <alignment vertical="center"/>
      <protection locked="0" hidden="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1" xfId="10" applyBorder="1" applyAlignment="1">
      <alignment horizontal="left" vertical="center"/>
    </xf>
    <xf numFmtId="49" fontId="99" fillId="0" borderId="1" xfId="10" applyNumberFormat="1" applyFont="1" applyBorder="1" applyAlignment="1">
      <alignment horizontal="left" vertical="center"/>
    </xf>
    <xf numFmtId="49" fontId="99" fillId="0" borderId="1" xfId="10" applyNumberFormat="1" applyBorder="1" applyAlignment="1">
      <alignment horizontal="left" vertical="center"/>
    </xf>
    <xf numFmtId="9" fontId="99" fillId="0" borderId="1" xfId="10" applyNumberFormat="1" applyBorder="1"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58" fontId="50" fillId="0" borderId="111" xfId="0" applyNumberFormat="1" applyFont="1" applyFill="1" applyBorder="1" applyAlignment="1" applyProtection="1">
      <alignment horizontal="center" vertical="center" wrapText="1"/>
      <protection locked="0"/>
    </xf>
    <xf numFmtId="0" fontId="99" fillId="0" borderId="1" xfId="10" applyBorder="1" applyAlignment="1">
      <alignment horizontal="center" vertical="center"/>
    </xf>
    <xf numFmtId="0" fontId="99" fillId="0" borderId="0" xfId="10" applyAlignment="1">
      <alignment horizontal="center" vertical="center"/>
    </xf>
    <xf numFmtId="0" fontId="99" fillId="0" borderId="1" xfId="10"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9" fontId="47" fillId="0" borderId="13" xfId="0" applyNumberFormat="1"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9" fontId="47" fillId="0" borderId="1" xfId="0" applyNumberFormat="1"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99" fillId="0" borderId="1" xfId="10" applyNumberFormat="1" applyBorder="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xf numFmtId="0" fontId="99" fillId="0" borderId="1" xfId="10"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178" fillId="0" borderId="1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63500</xdr:rowOff>
    </xdr:from>
    <xdr:to>
      <xdr:col>7</xdr:col>
      <xdr:colOff>177800</xdr:colOff>
      <xdr:row>44</xdr:row>
      <xdr:rowOff>127000</xdr:rowOff>
    </xdr:to>
    <xdr:pic>
      <xdr:nvPicPr>
        <xdr:cNvPr id="2" name="图片 1">
          <a:extLst>
            <a:ext uri="{FF2B5EF4-FFF2-40B4-BE49-F238E27FC236}">
              <a16:creationId xmlns="" xmlns:a16="http://schemas.microsoft.com/office/drawing/2014/main" id="{DD23D4BA-00C6-784A-887E-8F1B1D6CC2E4}"/>
            </a:ext>
          </a:extLst>
        </xdr:cNvPr>
        <xdr:cNvPicPr>
          <a:picLocks noChangeAspect="1"/>
        </xdr:cNvPicPr>
      </xdr:nvPicPr>
      <xdr:blipFill>
        <a:blip xmlns:r="http://schemas.openxmlformats.org/officeDocument/2006/relationships" r:embed="rId1" cstate="print"/>
        <a:stretch>
          <a:fillRect/>
        </a:stretch>
      </xdr:blipFill>
      <xdr:spPr>
        <a:xfrm>
          <a:off x="0" y="1778000"/>
          <a:ext cx="6045200" cy="589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103306</xdr:colOff>
      <xdr:row>32</xdr:row>
      <xdr:rowOff>37410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1761906" cy="5523810"/>
        </a:xfrm>
        <a:prstGeom prst="rect">
          <a:avLst/>
        </a:prstGeom>
      </xdr:spPr>
    </xdr:pic>
    <xdr:clientData/>
  </xdr:twoCellAnchor>
  <xdr:twoCellAnchor editAs="oneCell">
    <xdr:from>
      <xdr:col>0</xdr:col>
      <xdr:colOff>0</xdr:colOff>
      <xdr:row>31</xdr:row>
      <xdr:rowOff>152400</xdr:rowOff>
    </xdr:from>
    <xdr:to>
      <xdr:col>17</xdr:col>
      <xdr:colOff>131877</xdr:colOff>
      <xdr:row>63</xdr:row>
      <xdr:rowOff>132667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67350"/>
          <a:ext cx="11790477" cy="5466667"/>
        </a:xfrm>
        <a:prstGeom prst="rect">
          <a:avLst/>
        </a:prstGeom>
      </xdr:spPr>
    </xdr:pic>
    <xdr:clientData/>
  </xdr:twoCellAnchor>
  <xdr:twoCellAnchor editAs="oneCell">
    <xdr:from>
      <xdr:col>0</xdr:col>
      <xdr:colOff>0</xdr:colOff>
      <xdr:row>63</xdr:row>
      <xdr:rowOff>76200</xdr:rowOff>
    </xdr:from>
    <xdr:to>
      <xdr:col>16</xdr:col>
      <xdr:colOff>493867</xdr:colOff>
      <xdr:row>95</xdr:row>
      <xdr:rowOff>46943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877550"/>
          <a:ext cx="11466667" cy="5457143"/>
        </a:xfrm>
        <a:prstGeom prst="rect">
          <a:avLst/>
        </a:prstGeom>
      </xdr:spPr>
    </xdr:pic>
    <xdr:clientData/>
  </xdr:twoCellAnchor>
  <xdr:twoCellAnchor editAs="oneCell">
    <xdr:from>
      <xdr:col>0</xdr:col>
      <xdr:colOff>0</xdr:colOff>
      <xdr:row>95</xdr:row>
      <xdr:rowOff>0</xdr:rowOff>
    </xdr:from>
    <xdr:to>
      <xdr:col>8</xdr:col>
      <xdr:colOff>513600</xdr:colOff>
      <xdr:row>126</xdr:row>
      <xdr:rowOff>8860</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16287750"/>
          <a:ext cx="6000000" cy="5323810"/>
        </a:xfrm>
        <a:prstGeom prst="rect">
          <a:avLst/>
        </a:prstGeom>
      </xdr:spPr>
    </xdr:pic>
    <xdr:clientData/>
  </xdr:twoCellAnchor>
  <xdr:twoCellAnchor editAs="oneCell">
    <xdr:from>
      <xdr:col>0</xdr:col>
      <xdr:colOff>0</xdr:colOff>
      <xdr:row>161</xdr:row>
      <xdr:rowOff>142875</xdr:rowOff>
    </xdr:from>
    <xdr:to>
      <xdr:col>13</xdr:col>
      <xdr:colOff>617934</xdr:colOff>
      <xdr:row>189</xdr:row>
      <xdr:rowOff>104180</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27746325"/>
          <a:ext cx="9533334" cy="4761905"/>
        </a:xfrm>
        <a:prstGeom prst="rect">
          <a:avLst/>
        </a:prstGeom>
      </xdr:spPr>
    </xdr:pic>
    <xdr:clientData/>
  </xdr:twoCellAnchor>
  <xdr:twoCellAnchor editAs="oneCell">
    <xdr:from>
      <xdr:col>0</xdr:col>
      <xdr:colOff>0</xdr:colOff>
      <xdr:row>188</xdr:row>
      <xdr:rowOff>104775</xdr:rowOff>
    </xdr:from>
    <xdr:to>
      <xdr:col>12</xdr:col>
      <xdr:colOff>303734</xdr:colOff>
      <xdr:row>215</xdr:row>
      <xdr:rowOff>94673</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0" y="32337375"/>
          <a:ext cx="8533334" cy="4619048"/>
        </a:xfrm>
        <a:prstGeom prst="rect">
          <a:avLst/>
        </a:prstGeom>
      </xdr:spPr>
    </xdr:pic>
    <xdr:clientData/>
  </xdr:twoCellAnchor>
  <xdr:twoCellAnchor editAs="oneCell">
    <xdr:from>
      <xdr:col>0</xdr:col>
      <xdr:colOff>0</xdr:colOff>
      <xdr:row>119</xdr:row>
      <xdr:rowOff>95250</xdr:rowOff>
    </xdr:from>
    <xdr:to>
      <xdr:col>14</xdr:col>
      <xdr:colOff>246420</xdr:colOff>
      <xdr:row>147</xdr:row>
      <xdr:rowOff>56555</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0" y="20497800"/>
          <a:ext cx="9847620" cy="4761905"/>
        </a:xfrm>
        <a:prstGeom prst="rect">
          <a:avLst/>
        </a:prstGeom>
      </xdr:spPr>
    </xdr:pic>
    <xdr:clientData/>
  </xdr:twoCellAnchor>
  <xdr:twoCellAnchor editAs="oneCell">
    <xdr:from>
      <xdr:col>0</xdr:col>
      <xdr:colOff>0</xdr:colOff>
      <xdr:row>145</xdr:row>
      <xdr:rowOff>114300</xdr:rowOff>
    </xdr:from>
    <xdr:to>
      <xdr:col>15</xdr:col>
      <xdr:colOff>93953</xdr:colOff>
      <xdr:row>176</xdr:row>
      <xdr:rowOff>18398</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0" y="24974550"/>
          <a:ext cx="10380953"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580;&#21830;&#1999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抵押物清单（分楼）"/>
      <sheetName val="数据-汇总表"/>
      <sheetName val="数据-取费表"/>
      <sheetName val="估价对象房地状况"/>
      <sheetName val="系统读取表"/>
      <sheetName val="结果表"/>
      <sheetName val="成本法"/>
      <sheetName val="成本法 (元)-商业"/>
      <sheetName val="假设开发法"/>
      <sheetName val="收益法"/>
      <sheetName val="收益法 (元)-商业"/>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基准地价修正-商业</v>
          </cell>
        </row>
        <row r="17">
          <cell r="A17" t="str">
            <v>特殊厂房</v>
          </cell>
          <cell r="B17" t="str">
            <v>基准地价修正-办公</v>
          </cell>
        </row>
        <row r="18">
          <cell r="A18" t="str">
            <v>办公楼</v>
          </cell>
          <cell r="B18" t="str">
            <v>收益法 (元)-办公</v>
          </cell>
        </row>
        <row r="19">
          <cell r="A19" t="str">
            <v>宿舍</v>
          </cell>
          <cell r="B19" t="str">
            <v>成本法 (元)-商业</v>
          </cell>
        </row>
        <row r="20">
          <cell r="A20" t="str">
            <v>食堂</v>
          </cell>
          <cell r="B20" t="str">
            <v>成本法 (元)-办公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平房</v>
          </cell>
          <cell r="B27" t="str">
            <v>*</v>
          </cell>
        </row>
        <row r="28">
          <cell r="A28" t="str">
            <v>楼房</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怀柔区庙城镇郑重庄636号</v>
          </cell>
        </row>
      </sheetData>
      <sheetData sheetId="11" refreshError="1"/>
      <sheetData sheetId="12" refreshError="1"/>
      <sheetData sheetId="13" refreshError="1"/>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北京市怀柔区庙城镇郑重庄636号房地产市场价值预评估</v>
      </c>
    </row>
    <row r="3" spans="1:2" s="1593" customFormat="1">
      <c r="A3" s="1591" t="s">
        <v>1213</v>
      </c>
      <c r="B3" s="1592">
        <f>'预评函-封皮'!B40</f>
        <v>0</v>
      </c>
    </row>
    <row r="4" spans="1:2" s="1593" customFormat="1">
      <c r="A4" s="1591" t="s">
        <v>1214</v>
      </c>
      <c r="B4" s="1592" t="str">
        <f>'预评函-封皮'!B46</f>
        <v>（注册号：0)、（注册号：0)</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受贵公司委托，我公司对北京市怀柔区庙城镇郑重庄636号房地产市场价值进行了预评估。</v>
      </c>
    </row>
    <row r="7" spans="1:2" s="1593" customFormat="1">
      <c r="A7" s="1591" t="s">
        <v>1256</v>
      </c>
      <c r="B7" s="1592" t="str">
        <f>'预评函-1'!A7</f>
        <v>估价对象为北京市怀柔区庙城镇郑重庄636号房地产，为北京天民房地产开发有限公司所有。根据《国有土地使用证》[]，估价对象（分摊）出让国有建设用地使用权面积为10500平方米，建筑面积为2602.9平方米。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为估价委托人了解估价对象房地产市场价值提供参考依据。</v>
      </c>
    </row>
    <row r="12" spans="1:2" s="1593" customFormat="1">
      <c r="A12" s="1591" t="s">
        <v>1218</v>
      </c>
      <c r="B12" s="1592" t="str">
        <f>'预评函-1'!A15</f>
        <v>2020年4月1日（评估专业人员实地查勘之日）</v>
      </c>
    </row>
    <row r="13" spans="1:2" s="1593" customFormat="1">
      <c r="A13" s="1591" t="s">
        <v>1219</v>
      </c>
      <c r="B13" s="1592" t="str">
        <f>'预评函-1'!A18</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v>
      </c>
    </row>
    <row r="16" spans="1:2" s="1593" customFormat="1">
      <c r="A16" s="1591" t="s">
        <v>1222</v>
      </c>
      <c r="B16" s="1592" t="str">
        <f>'预评函-1'!A21</f>
        <v>——</v>
      </c>
    </row>
    <row r="17" spans="1:2" s="1593" customFormat="1">
      <c r="A17" s="1591" t="s">
        <v>1223</v>
      </c>
      <c r="B17" s="1592" t="str">
        <f>'预评函-1'!A22</f>
        <v>——</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1226</v>
      </c>
      <c r="B20" s="1592">
        <f ca="1">'预评函-2'!D5</f>
        <v>86</v>
      </c>
    </row>
    <row r="21" spans="1:2" s="1593" customFormat="1">
      <c r="A21" s="1591" t="s">
        <v>1227</v>
      </c>
      <c r="B21" s="1592">
        <f ca="1">'预评函-2'!D7</f>
        <v>20141</v>
      </c>
    </row>
    <row r="22" spans="1:2" s="1593" customFormat="1">
      <c r="A22" s="1591" t="s">
        <v>1228</v>
      </c>
      <c r="B22" s="1592" t="str">
        <f ca="1">'预评函-2'!D6</f>
        <v>捌拾陆万元整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86</v>
      </c>
    </row>
    <row r="31" spans="1:2" s="1593" customFormat="1">
      <c r="A31" s="1591" t="s">
        <v>1266</v>
      </c>
      <c r="B31" s="1592">
        <f ca="1">'预评函-2'!D15</f>
        <v>330</v>
      </c>
    </row>
    <row r="32" spans="1:2" s="1593" customFormat="1">
      <c r="A32" s="1591" t="s">
        <v>1233</v>
      </c>
      <c r="B32" s="1592" t="str">
        <f ca="1">'预评函-2'!D14</f>
        <v>捌拾陆万元整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北京市怀柔区庙城镇郑重庄636号房地产</v>
      </c>
    </row>
    <row r="42" spans="1:2" s="1593" customFormat="1">
      <c r="A42" s="1591" t="s">
        <v>1280</v>
      </c>
      <c r="B42" s="1592" t="str">
        <f>'预评函-3'!B2</f>
        <v>建筑面积</v>
      </c>
    </row>
    <row r="43" spans="1:2" s="1593" customFormat="1">
      <c r="A43" s="1591" t="s">
        <v>1281</v>
      </c>
      <c r="B43" s="1592">
        <f>'预评函-3'!B4</f>
        <v>2602.9</v>
      </c>
    </row>
    <row r="44" spans="1:2" s="1593" customFormat="1">
      <c r="A44" s="1591" t="s">
        <v>1265</v>
      </c>
      <c r="B44" s="1592" t="str">
        <f>'预评函-3'!C2</f>
        <v>(分摊)土地面积</v>
      </c>
    </row>
    <row r="45" spans="1:2" s="1593" customFormat="1">
      <c r="A45" s="1591" t="s">
        <v>1237</v>
      </c>
      <c r="B45" s="1592">
        <f>'预评函-3'!C4</f>
        <v>10500</v>
      </c>
    </row>
    <row r="46" spans="1:2" s="1593" customFormat="1">
      <c r="A46" s="1591" t="s">
        <v>1263</v>
      </c>
      <c r="B46" s="1592" t="str">
        <f>'预评函-3'!D2</f>
        <v>出让国有建设用地使用权价值</v>
      </c>
    </row>
    <row r="47" spans="1:2" s="1593" customFormat="1">
      <c r="A47" s="1591" t="s">
        <v>1238</v>
      </c>
      <c r="B47" s="1592" t="e">
        <f ca="1">'预评函-3'!D4</f>
        <v>#REF!</v>
      </c>
    </row>
    <row r="48" spans="1:2" s="1593" customFormat="1">
      <c r="A48" s="1591" t="s">
        <v>1239</v>
      </c>
      <c r="B48" s="1592" t="e">
        <f ca="1">'预评函-3'!E4</f>
        <v>#REF!</v>
      </c>
    </row>
    <row r="49" spans="1:2" s="1593" customFormat="1">
      <c r="A49" s="1591" t="s">
        <v>1240</v>
      </c>
      <c r="B49" s="1592" t="e">
        <f ca="1">'预评函-3'!D5</f>
        <v>#REF!</v>
      </c>
    </row>
    <row r="50" spans="1:2" s="1593" customFormat="1">
      <c r="A50" s="1591" t="s">
        <v>1264</v>
      </c>
      <c r="B50" s="1592" t="str">
        <f>'预评函-3'!F2</f>
        <v>在建建筑物价值</v>
      </c>
    </row>
    <row r="51" spans="1:2" s="1593" customFormat="1">
      <c r="A51" s="1591" t="s">
        <v>1241</v>
      </c>
      <c r="B51" s="1592" t="e">
        <f ca="1">'预评函-3'!F4</f>
        <v>#REF!</v>
      </c>
    </row>
    <row r="52" spans="1:2" s="1593" customFormat="1">
      <c r="A52" s="1591" t="s">
        <v>1242</v>
      </c>
      <c r="B52" s="1592" t="e">
        <f ca="1">'预评函-3'!G4</f>
        <v>#REF!</v>
      </c>
    </row>
    <row r="53" spans="1:2" s="1593" customFormat="1">
      <c r="A53" s="1591" t="s">
        <v>1270</v>
      </c>
      <c r="B53" s="1592" t="e">
        <f ca="1">'预评函-3'!F5</f>
        <v>#REF!</v>
      </c>
    </row>
    <row r="54" spans="1:2" s="1593" customFormat="1">
      <c r="A54" s="1591" t="s">
        <v>1288</v>
      </c>
      <c r="B54" s="1592" t="str">
        <f>'预评函-3'!A8</f>
        <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
      </c>
    </row>
    <row r="58" spans="1:2" s="1590" customFormat="1" ht="15" thickTop="1">
      <c r="A58" s="1588" t="s">
        <v>1243</v>
      </c>
      <c r="B58" s="1589" t="str">
        <f>'预评函-4'!A12</f>
        <v>2.本次评估设定估价对象房地产权属无争议，未被查封或者以其他形式限制其房地产权利，未设定抵押权等他项权利，不涉及第三方权利义务。</v>
      </c>
    </row>
    <row r="59" spans="1:2" s="1593" customFormat="1">
      <c r="A59" s="1591" t="s">
        <v>1244</v>
      </c>
      <c r="B59" s="1592" t="str">
        <f>'预评函-4'!A13</f>
        <v>——</v>
      </c>
    </row>
    <row r="60" spans="1:2" s="1593" customFormat="1">
      <c r="A60" s="1591" t="s">
        <v>1245</v>
      </c>
      <c r="B60" s="1592" t="str">
        <f>'预评函-4'!A14</f>
        <v>——</v>
      </c>
    </row>
    <row r="61" spans="1:2" s="1593" customFormat="1">
      <c r="A61" s="1591" t="s">
        <v>1246</v>
      </c>
      <c r="B61" s="1592" t="str">
        <f>'预评函-4'!A15</f>
        <v>——</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v>
      </c>
    </row>
    <row r="65" spans="1:2" s="1593" customFormat="1">
      <c r="A65" s="1591" t="s">
        <v>1249</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f>'预评函-4'!A4</f>
        <v>0</v>
      </c>
    </row>
    <row r="71" spans="1:2">
      <c r="A71" s="1591" t="s">
        <v>1253</v>
      </c>
      <c r="B71" s="1592">
        <f>'预评函-4'!B4</f>
        <v>0</v>
      </c>
    </row>
    <row r="72" spans="1:2">
      <c r="A72" s="1591" t="s">
        <v>1254</v>
      </c>
      <c r="B72" s="1600">
        <f>'预评函-4'!A5</f>
        <v>0</v>
      </c>
    </row>
    <row r="73" spans="1:2" s="1587" customFormat="1" ht="15" thickBot="1">
      <c r="A73" s="1594" t="s">
        <v>1255</v>
      </c>
      <c r="B73" s="1595">
        <f>'预评函-4'!B5</f>
        <v>0</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1681</v>
      </c>
      <c r="C1" s="2008" t="s">
        <v>758</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1139</v>
      </c>
      <c r="R1" s="2009" t="s">
        <v>1133</v>
      </c>
      <c r="S1" s="2009" t="s">
        <v>1694</v>
      </c>
      <c r="T1" s="2011" t="s">
        <v>1695</v>
      </c>
      <c r="U1" s="2009" t="s">
        <v>1696</v>
      </c>
      <c r="V1" s="2009" t="s">
        <v>1697</v>
      </c>
      <c r="W1" s="2009" t="s">
        <v>755</v>
      </c>
    </row>
    <row r="2" spans="1:23">
      <c r="A2" s="2013" t="s">
        <v>22</v>
      </c>
      <c r="B2" s="2013" t="s">
        <v>1698</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1135</v>
      </c>
      <c r="S2" s="2015" t="s">
        <v>1704</v>
      </c>
      <c r="T2" s="2015" t="s">
        <v>1705</v>
      </c>
      <c r="U2" s="2015" t="s">
        <v>1704</v>
      </c>
      <c r="V2" s="2015" t="s">
        <v>1706</v>
      </c>
      <c r="W2" s="2015" t="s">
        <v>1704</v>
      </c>
    </row>
    <row r="3" spans="1:23">
      <c r="A3" s="2013" t="s">
        <v>1707</v>
      </c>
      <c r="B3" s="2016" t="s">
        <v>3094</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1134</v>
      </c>
      <c r="S3" s="2015" t="s">
        <v>1712</v>
      </c>
      <c r="T3" s="2015" t="s">
        <v>1713</v>
      </c>
      <c r="U3" s="2015" t="s">
        <v>1712</v>
      </c>
      <c r="V3" s="2015" t="s">
        <v>1714</v>
      </c>
      <c r="W3" s="2015" t="s">
        <v>1712</v>
      </c>
    </row>
    <row r="4" spans="1:23">
      <c r="A4" s="2013" t="s">
        <v>1715</v>
      </c>
      <c r="B4" s="2013" t="s">
        <v>1716</v>
      </c>
      <c r="C4" s="2014" t="s">
        <v>761</v>
      </c>
      <c r="D4" s="2015" t="s">
        <v>863</v>
      </c>
      <c r="E4" s="2015" t="s">
        <v>1717</v>
      </c>
      <c r="F4" s="2015" t="s">
        <v>1718</v>
      </c>
      <c r="G4" s="2015">
        <v>70</v>
      </c>
      <c r="H4" s="2015" t="s">
        <v>1718</v>
      </c>
      <c r="I4" s="2015" t="s">
        <v>1719</v>
      </c>
      <c r="K4" s="2015" t="s">
        <v>1720</v>
      </c>
      <c r="L4" s="2015" t="s">
        <v>1720</v>
      </c>
      <c r="M4" s="2015" t="s">
        <v>1720</v>
      </c>
      <c r="N4" s="2015" t="s">
        <v>1720</v>
      </c>
      <c r="O4" s="2015" t="s">
        <v>1720</v>
      </c>
      <c r="P4" s="2015" t="s">
        <v>1720</v>
      </c>
      <c r="Q4" s="2015" t="s">
        <v>1720</v>
      </c>
      <c r="R4" s="2015" t="s">
        <v>1136</v>
      </c>
      <c r="S4" s="2015" t="s">
        <v>1720</v>
      </c>
      <c r="T4" s="2015" t="s">
        <v>1721</v>
      </c>
      <c r="U4" s="2015" t="s">
        <v>1720</v>
      </c>
      <c r="W4" s="2015" t="s">
        <v>1720</v>
      </c>
    </row>
    <row r="5" spans="1:23">
      <c r="A5" s="2013" t="s">
        <v>1722</v>
      </c>
      <c r="B5" s="2013" t="s">
        <v>1723</v>
      </c>
      <c r="C5" s="2014" t="s">
        <v>762</v>
      </c>
      <c r="F5" s="2015" t="s">
        <v>1724</v>
      </c>
      <c r="H5" s="2015" t="s">
        <v>1725</v>
      </c>
      <c r="I5" s="2015" t="s">
        <v>1726</v>
      </c>
      <c r="K5" s="2015" t="s">
        <v>1727</v>
      </c>
      <c r="L5" s="2015" t="s">
        <v>1727</v>
      </c>
      <c r="M5" s="2015" t="s">
        <v>1727</v>
      </c>
      <c r="N5" s="2015" t="s">
        <v>1727</v>
      </c>
      <c r="O5" s="2015" t="s">
        <v>1727</v>
      </c>
      <c r="P5" s="2015" t="s">
        <v>1727</v>
      </c>
      <c r="Q5" s="2015" t="s">
        <v>1727</v>
      </c>
      <c r="R5" s="2015" t="s">
        <v>1137</v>
      </c>
      <c r="S5" s="2015" t="s">
        <v>1727</v>
      </c>
      <c r="T5" s="2015" t="s">
        <v>1728</v>
      </c>
      <c r="U5" s="2015" t="s">
        <v>1727</v>
      </c>
      <c r="W5" s="2015" t="s">
        <v>1727</v>
      </c>
    </row>
    <row r="6" spans="1:23">
      <c r="A6" s="2013" t="s">
        <v>1729</v>
      </c>
      <c r="B6" s="2016" t="s">
        <v>3147</v>
      </c>
      <c r="C6" s="2019" t="s">
        <v>30</v>
      </c>
      <c r="F6" s="2015" t="s">
        <v>1725</v>
      </c>
      <c r="H6" s="2015" t="s">
        <v>1730</v>
      </c>
      <c r="I6" s="2015" t="s">
        <v>1731</v>
      </c>
      <c r="K6" s="2015" t="s">
        <v>1732</v>
      </c>
      <c r="L6" s="2015" t="s">
        <v>1732</v>
      </c>
      <c r="M6" s="2015" t="s">
        <v>1732</v>
      </c>
      <c r="N6" s="2015" t="s">
        <v>1732</v>
      </c>
      <c r="O6" s="2015" t="s">
        <v>1732</v>
      </c>
      <c r="P6" s="2015" t="s">
        <v>1732</v>
      </c>
      <c r="Q6" s="2015" t="s">
        <v>1732</v>
      </c>
      <c r="R6" s="2015" t="s">
        <v>1138</v>
      </c>
      <c r="S6" s="2015" t="s">
        <v>1732</v>
      </c>
      <c r="T6" s="2015"/>
      <c r="U6" s="2015" t="s">
        <v>1732</v>
      </c>
      <c r="W6" s="2015" t="s">
        <v>1732</v>
      </c>
    </row>
    <row r="7" spans="1:23">
      <c r="A7" s="2013" t="s">
        <v>1733</v>
      </c>
      <c r="B7" s="2016" t="s">
        <v>1140</v>
      </c>
      <c r="C7" s="2014" t="s">
        <v>31</v>
      </c>
      <c r="F7" s="2015" t="s">
        <v>1734</v>
      </c>
      <c r="H7" s="2015" t="s">
        <v>1735</v>
      </c>
      <c r="I7" s="2015" t="s">
        <v>1736</v>
      </c>
    </row>
    <row r="8" spans="1:23">
      <c r="A8" s="2013" t="s">
        <v>1737</v>
      </c>
      <c r="B8" s="2013" t="s">
        <v>1738</v>
      </c>
      <c r="C8" s="2014" t="s">
        <v>763</v>
      </c>
      <c r="F8" s="2015" t="s">
        <v>1739</v>
      </c>
      <c r="H8" s="2015"/>
      <c r="I8" s="2015" t="s">
        <v>1740</v>
      </c>
    </row>
    <row r="9" spans="1:23">
      <c r="A9" s="2013" t="s">
        <v>1741</v>
      </c>
      <c r="B9" s="2016" t="s">
        <v>3103</v>
      </c>
      <c r="C9" s="2014" t="s">
        <v>764</v>
      </c>
      <c r="F9" s="2015" t="s">
        <v>1742</v>
      </c>
      <c r="H9" s="2015"/>
    </row>
    <row r="10" spans="1:23">
      <c r="A10" s="2013" t="s">
        <v>1743</v>
      </c>
      <c r="B10" s="2016" t="s">
        <v>3151</v>
      </c>
      <c r="C10" s="2014" t="s">
        <v>765</v>
      </c>
      <c r="F10" s="2015" t="s">
        <v>16</v>
      </c>
    </row>
    <row r="11" spans="1:23">
      <c r="A11" s="2013" t="s">
        <v>1744</v>
      </c>
      <c r="B11" s="2013" t="s">
        <v>1745</v>
      </c>
      <c r="C11" s="2014" t="s">
        <v>766</v>
      </c>
    </row>
    <row r="12" spans="1:23">
      <c r="A12" s="2013" t="s">
        <v>1746</v>
      </c>
      <c r="B12" s="2013" t="s">
        <v>1747</v>
      </c>
      <c r="C12" s="2014" t="s">
        <v>767</v>
      </c>
    </row>
    <row r="13" spans="1:23">
      <c r="A13" s="2013" t="s">
        <v>1748</v>
      </c>
      <c r="B13" s="2013" t="s">
        <v>1749</v>
      </c>
      <c r="C13" s="2014" t="s">
        <v>768</v>
      </c>
    </row>
    <row r="14" spans="1:23">
      <c r="A14" s="2013" t="s">
        <v>1750</v>
      </c>
      <c r="B14" s="2013" t="s">
        <v>1751</v>
      </c>
      <c r="C14" s="2015" t="s">
        <v>16</v>
      </c>
    </row>
    <row r="15" spans="1:23">
      <c r="A15" s="2013" t="s">
        <v>1752</v>
      </c>
      <c r="B15" s="2013" t="s">
        <v>1753</v>
      </c>
      <c r="C15" s="2014"/>
    </row>
    <row r="16" spans="1:23">
      <c r="A16" s="2013" t="s">
        <v>1754</v>
      </c>
      <c r="B16" s="2013" t="s">
        <v>3075</v>
      </c>
      <c r="C16" s="2014"/>
    </row>
    <row r="17" spans="1:3">
      <c r="A17" s="2013" t="s">
        <v>1755</v>
      </c>
      <c r="B17" s="2013" t="s">
        <v>3177</v>
      </c>
      <c r="C17" s="2014"/>
    </row>
    <row r="18" spans="1:3">
      <c r="A18" s="2013" t="s">
        <v>1756</v>
      </c>
      <c r="B18" s="2013" t="s">
        <v>3165</v>
      </c>
      <c r="C18" s="2014"/>
    </row>
    <row r="19" spans="1:3">
      <c r="A19" s="2013" t="s">
        <v>1757</v>
      </c>
      <c r="B19" s="2013" t="s">
        <v>3149</v>
      </c>
      <c r="C19" s="2014"/>
    </row>
    <row r="20" spans="1:3">
      <c r="A20" s="2013" t="s">
        <v>1758</v>
      </c>
      <c r="B20" s="2013" t="s">
        <v>3176</v>
      </c>
      <c r="C20" s="2014"/>
    </row>
    <row r="21" spans="1:3">
      <c r="A21" s="2013" t="s">
        <v>1759</v>
      </c>
      <c r="B21" s="2013" t="s">
        <v>3187</v>
      </c>
      <c r="C21" s="2014"/>
    </row>
    <row r="22" spans="1:3">
      <c r="A22" s="2013" t="s">
        <v>1760</v>
      </c>
      <c r="B22" s="2013" t="s">
        <v>3178</v>
      </c>
      <c r="C22" s="2014"/>
    </row>
    <row r="23" spans="1:3">
      <c r="A23" s="2013" t="s">
        <v>1761</v>
      </c>
      <c r="B23" s="2013" t="s">
        <v>756</v>
      </c>
      <c r="C23" s="2014"/>
    </row>
    <row r="24" spans="1:3">
      <c r="A24" s="2013" t="s">
        <v>1762</v>
      </c>
      <c r="B24" s="2013" t="s">
        <v>756</v>
      </c>
      <c r="C24" s="2014"/>
    </row>
    <row r="25" spans="1:3">
      <c r="A25" s="2013" t="s">
        <v>1763</v>
      </c>
      <c r="B25" s="2013" t="s">
        <v>756</v>
      </c>
      <c r="C25" s="2014"/>
    </row>
    <row r="26" spans="1:3">
      <c r="A26" s="2013" t="s">
        <v>1764</v>
      </c>
      <c r="B26" s="2013" t="s">
        <v>756</v>
      </c>
      <c r="C26" s="2014"/>
    </row>
    <row r="27" spans="1:3">
      <c r="A27" s="2013" t="s">
        <v>3055</v>
      </c>
      <c r="B27" s="2013" t="s">
        <v>756</v>
      </c>
      <c r="C27" s="2014"/>
    </row>
    <row r="28" spans="1:3">
      <c r="A28" s="2013" t="s">
        <v>3057</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852</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636号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853</v>
      </c>
      <c r="B52" s="2020" t="s">
        <v>854</v>
      </c>
      <c r="C52" s="2018" t="s">
        <v>855</v>
      </c>
      <c r="D52" s="2018" t="s">
        <v>856</v>
      </c>
    </row>
    <row r="53" spans="1:4">
      <c r="A53" s="3062" t="s">
        <v>857</v>
      </c>
      <c r="B53" s="2021" t="s">
        <v>858</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021" t="s">
        <v>859</v>
      </c>
      <c r="C54" s="2018" t="s">
        <v>1273</v>
      </c>
    </row>
    <row r="55" spans="1:4">
      <c r="A55" s="3062"/>
      <c r="B55" s="2021" t="s">
        <v>860</v>
      </c>
      <c r="C55" s="2018" t="s">
        <v>1274</v>
      </c>
    </row>
    <row r="56" spans="1:4">
      <c r="A56" s="3062"/>
      <c r="B56" s="2021" t="s">
        <v>861</v>
      </c>
      <c r="C56" s="2018" t="s">
        <v>1278</v>
      </c>
    </row>
    <row r="57" spans="1:4">
      <c r="A57" s="3062"/>
      <c r="B57" s="2021" t="s">
        <v>862</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1765</v>
      </c>
      <c r="B1" s="3063" t="str">
        <f>IF(B10="北京市","北京市",C10)&amp;F10&amp;IF(结果表!G1="在建","出让国有建设用地使用权及在建建筑物",IF(结果表!G1="土地","出让国有建设用地使用权",))&amp;B9&amp;"预评估"</f>
        <v>北京市怀柔区庙城镇郑重庄636号房地产市场价值预评估</v>
      </c>
      <c r="C1" s="3064"/>
      <c r="D1" s="3064"/>
      <c r="E1" s="3064"/>
      <c r="F1" s="3064"/>
      <c r="G1" s="3064"/>
      <c r="H1" s="3064"/>
      <c r="I1" s="306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北京市怀柔区庙城镇郑重庄636号房地产市场价值</v>
      </c>
    </row>
    <row r="2" spans="1:19" ht="18" customHeight="1">
      <c r="A2" s="2025" t="s">
        <v>1766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北京市怀柔区庙城镇郑重庄636号房地产</v>
      </c>
    </row>
    <row r="3" spans="1:19" ht="18" customHeight="1">
      <c r="A3" s="2034" t="s">
        <v>1767</v>
      </c>
      <c r="B3" s="2035">
        <f>D3</f>
        <v>43922</v>
      </c>
      <c r="C3" s="2036" t="s">
        <v>1768</v>
      </c>
      <c r="D3" s="2035">
        <v>43922</v>
      </c>
      <c r="E3" s="2025"/>
      <c r="F3" s="2025"/>
      <c r="G3" s="2025"/>
      <c r="H3" s="2025"/>
      <c r="I3" s="2025"/>
      <c r="J3" s="2025"/>
      <c r="K3" s="2026"/>
      <c r="L3" s="2027"/>
      <c r="M3" s="2027"/>
      <c r="N3" s="2028"/>
      <c r="O3" s="2029"/>
      <c r="P3" s="2028"/>
      <c r="Q3" s="2028"/>
      <c r="R3" s="2028"/>
      <c r="S3" s="2030"/>
    </row>
    <row r="4" spans="1:19" ht="18" customHeight="1" thickBot="1">
      <c r="A4" s="2037" t="s">
        <v>1769</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1772</v>
      </c>
      <c r="B7" s="2052"/>
      <c r="C7" s="2049"/>
      <c r="D7" s="2050"/>
      <c r="E7" s="2033"/>
      <c r="F7" s="2041"/>
      <c r="G7" s="2041"/>
      <c r="H7" s="2041"/>
      <c r="I7" s="2041"/>
      <c r="J7" s="2041"/>
      <c r="K7" s="2053"/>
      <c r="L7" s="2027"/>
      <c r="M7" s="2027"/>
      <c r="N7" s="2028"/>
      <c r="O7" s="2029"/>
      <c r="P7" s="2028"/>
      <c r="Q7" s="2028"/>
      <c r="R7" s="2028"/>
    </row>
    <row r="8" spans="1:19" ht="18" customHeight="1">
      <c r="A8" s="2047" t="s">
        <v>1773</v>
      </c>
      <c r="B8" s="2054" t="s">
        <v>3048</v>
      </c>
      <c r="C8" s="2055"/>
      <c r="D8" s="3066" t="s">
        <v>1774</v>
      </c>
      <c r="E8" s="2056"/>
      <c r="F8" s="2057"/>
      <c r="G8" s="2025"/>
      <c r="H8" s="2025"/>
      <c r="I8" s="2025"/>
      <c r="J8" s="2041"/>
      <c r="K8" s="2042"/>
      <c r="L8" s="2027"/>
      <c r="M8" s="2027"/>
      <c r="N8" s="2028"/>
      <c r="O8" s="2029"/>
      <c r="P8" s="2028"/>
      <c r="Q8" s="2028"/>
      <c r="R8" s="2028"/>
    </row>
    <row r="9" spans="1:19" ht="18" customHeight="1" thickBot="1">
      <c r="A9" s="2039" t="s">
        <v>1775</v>
      </c>
      <c r="B9" s="2058" t="s">
        <v>3049</v>
      </c>
      <c r="C9" s="2059"/>
      <c r="D9" s="3067"/>
      <c r="E9" s="2058"/>
      <c r="F9" s="2060"/>
      <c r="G9" s="2061"/>
      <c r="H9" s="2061"/>
      <c r="I9" s="2061"/>
      <c r="J9" s="2041"/>
      <c r="K9" s="2053"/>
      <c r="L9" s="2027"/>
      <c r="M9" s="2027"/>
      <c r="N9" s="2028"/>
      <c r="O9" s="2029"/>
      <c r="P9" s="2028"/>
      <c r="Q9" s="2028"/>
      <c r="R9" s="2028"/>
    </row>
    <row r="10" spans="1:19" ht="18" customHeight="1" thickTop="1">
      <c r="A10" s="2062" t="s">
        <v>1776</v>
      </c>
      <c r="B10" s="2063" t="s">
        <v>3050</v>
      </c>
      <c r="C10" s="2064"/>
      <c r="D10" s="2046"/>
      <c r="E10" s="2065" t="s">
        <v>1777</v>
      </c>
      <c r="F10" s="2066" t="s">
        <v>3047</v>
      </c>
      <c r="G10" s="2067"/>
      <c r="H10" s="2068"/>
      <c r="I10" s="2046"/>
      <c r="J10" s="2041"/>
      <c r="K10" s="2053"/>
      <c r="L10" s="2027"/>
      <c r="M10" s="2027"/>
      <c r="N10" s="2028"/>
      <c r="O10" s="2029"/>
      <c r="P10" s="2028"/>
      <c r="Q10" s="2028"/>
      <c r="R10" s="2028"/>
    </row>
    <row r="11" spans="1:19" ht="18" customHeight="1">
      <c r="A11" s="2069" t="s">
        <v>1778</v>
      </c>
      <c r="B11" s="2070" t="s">
        <v>3046</v>
      </c>
      <c r="C11" s="2951" t="s">
        <v>3045</v>
      </c>
      <c r="D11" s="2071"/>
      <c r="E11" s="2041"/>
      <c r="F11" s="2041"/>
      <c r="G11" s="2041"/>
      <c r="H11" s="2041"/>
      <c r="I11" s="2041"/>
      <c r="J11" s="2041"/>
      <c r="K11" s="2053"/>
      <c r="L11" s="2027"/>
      <c r="M11" s="2027"/>
      <c r="N11" s="2028"/>
      <c r="O11" s="2029"/>
      <c r="P11" s="2028"/>
      <c r="Q11" s="2028"/>
      <c r="R11" s="2028"/>
    </row>
    <row r="12" spans="1:19" ht="18" customHeight="1">
      <c r="A12" s="2072" t="s">
        <v>1779</v>
      </c>
      <c r="B12" s="2070" t="s">
        <v>3051</v>
      </c>
      <c r="C12" s="2073" t="s">
        <v>1780</v>
      </c>
      <c r="D12" s="2074" t="s">
        <v>1781</v>
      </c>
      <c r="E12" s="2074" t="s">
        <v>1782</v>
      </c>
      <c r="F12" s="2074" t="s">
        <v>1783</v>
      </c>
      <c r="G12" s="2074" t="s">
        <v>1784</v>
      </c>
      <c r="H12" s="2074" t="s">
        <v>1785</v>
      </c>
      <c r="I12" s="2074" t="s">
        <v>1786</v>
      </c>
      <c r="J12" s="2041"/>
      <c r="K12" s="2053"/>
      <c r="L12" s="2027"/>
      <c r="M12" s="2027"/>
      <c r="N12" s="2028"/>
      <c r="O12" s="2029"/>
      <c r="P12" s="2028"/>
      <c r="Q12" s="2028"/>
      <c r="R12" s="2028"/>
    </row>
    <row r="13" spans="1:19" ht="18" customHeight="1">
      <c r="A13" s="2075"/>
      <c r="B13" s="2076"/>
      <c r="C13" s="2077" t="s">
        <v>1787</v>
      </c>
      <c r="D13" s="2078"/>
      <c r="E13" s="2078">
        <v>50761</v>
      </c>
      <c r="F13" s="2078">
        <v>50761</v>
      </c>
      <c r="G13" s="2078"/>
      <c r="H13" s="2078"/>
      <c r="I13" s="1047"/>
      <c r="J13" s="2041"/>
      <c r="K13" s="2053"/>
      <c r="L13" s="2027"/>
      <c r="M13" s="2027"/>
      <c r="N13" s="2028"/>
      <c r="O13" s="2029"/>
      <c r="P13" s="2028"/>
      <c r="Q13" s="2028"/>
      <c r="R13" s="2028"/>
    </row>
    <row r="14" spans="1:19" ht="18" customHeight="1">
      <c r="A14" s="2075"/>
      <c r="B14" s="2076"/>
      <c r="C14" s="2077" t="s">
        <v>1788</v>
      </c>
      <c r="D14" s="1050"/>
      <c r="E14" s="1050">
        <v>40</v>
      </c>
      <c r="F14" s="1050">
        <v>50</v>
      </c>
      <c r="G14" s="1050"/>
      <c r="H14" s="1050"/>
      <c r="I14" s="1050"/>
      <c r="J14" s="2041"/>
      <c r="K14" s="2079"/>
      <c r="L14" s="2027"/>
      <c r="M14" s="2027"/>
      <c r="N14" s="2028"/>
      <c r="O14" s="2029"/>
      <c r="P14" s="2028"/>
      <c r="Q14" s="2028"/>
      <c r="R14" s="2028"/>
    </row>
    <row r="15" spans="1:19" ht="18" customHeight="1">
      <c r="A15" s="2062"/>
      <c r="B15" s="2080"/>
      <c r="C15" s="2077" t="s">
        <v>1789</v>
      </c>
      <c r="D15" s="1049" t="str">
        <f>IF(B12="出让",IF(D13="","",ROUNDDOWN(MIN((D13-$D$3)/365,D14),2)),D14)</f>
        <v/>
      </c>
      <c r="E15" s="1049">
        <f>IF(B12="出让",IF(E13="","",ROUNDDOWN(MIN((E13-$D$3)/365,E14),2)),E14)</f>
        <v>18.73</v>
      </c>
      <c r="F15" s="1049">
        <f>IF(B12="出让",IF(F13="","",ROUNDDOWN(MIN((F13-$D$3)/365,F14),2)),F14)</f>
        <v>18.73</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1790</v>
      </c>
      <c r="B16" s="3073"/>
      <c r="C16" s="3074"/>
      <c r="D16" s="3075"/>
      <c r="E16" s="2084" t="s">
        <v>1791</v>
      </c>
      <c r="F16" s="3076"/>
      <c r="G16" s="3077"/>
      <c r="H16" s="3077"/>
      <c r="I16" s="3078"/>
      <c r="J16" s="2028"/>
      <c r="K16" s="2081"/>
      <c r="L16" s="2082"/>
      <c r="M16" s="2082"/>
      <c r="N16" s="2083"/>
      <c r="O16" s="2082"/>
      <c r="P16" s="2083"/>
      <c r="Q16" s="2028"/>
      <c r="R16" s="2028"/>
    </row>
    <row r="17" spans="1:22" ht="18" customHeight="1">
      <c r="A17" s="2085" t="s">
        <v>1792</v>
      </c>
      <c r="B17" s="2034" t="s">
        <v>1793</v>
      </c>
      <c r="C17" s="1054">
        <f>'数据-汇总表'!E3</f>
        <v>2602.9</v>
      </c>
      <c r="D17" s="2086" t="s">
        <v>1794</v>
      </c>
      <c r="E17" s="3079" t="s">
        <v>1795</v>
      </c>
      <c r="F17" s="3080"/>
      <c r="G17" s="3080"/>
      <c r="H17" s="3080"/>
      <c r="I17" s="3081"/>
      <c r="J17" s="2028"/>
      <c r="K17" s="2087"/>
      <c r="L17" s="2082"/>
      <c r="M17" s="2082"/>
      <c r="N17" s="2083"/>
      <c r="O17" s="2082"/>
      <c r="P17" s="2083"/>
      <c r="Q17" s="2028"/>
      <c r="R17" s="2028"/>
      <c r="S17" s="2028"/>
      <c r="T17" s="2028"/>
      <c r="U17" s="2028"/>
      <c r="V17" s="2028"/>
    </row>
    <row r="18" spans="1:22" ht="36" customHeight="1" thickBot="1">
      <c r="A18" s="2088" t="s">
        <v>1796</v>
      </c>
      <c r="B18" s="2037" t="s">
        <v>1797</v>
      </c>
      <c r="C18" s="1444">
        <f>'数据-汇总表'!D3</f>
        <v>10500</v>
      </c>
      <c r="D18" s="2089" t="s">
        <v>1794</v>
      </c>
      <c r="E18" s="3082" t="s">
        <v>1798</v>
      </c>
      <c r="F18" s="3083"/>
      <c r="G18" s="3083"/>
      <c r="H18" s="3083"/>
      <c r="I18" s="3084"/>
      <c r="J18" s="2028"/>
      <c r="K18" s="2087"/>
      <c r="L18" s="2082"/>
      <c r="M18" s="2082"/>
      <c r="N18" s="2083"/>
      <c r="O18" s="2082"/>
      <c r="P18" s="2083"/>
      <c r="Q18" s="2028"/>
      <c r="R18" s="2028"/>
      <c r="S18" s="2028"/>
      <c r="T18" s="2028"/>
      <c r="U18" s="2028"/>
      <c r="V18" s="2028"/>
    </row>
    <row r="19" spans="1:22" ht="37.5" customHeight="1" thickTop="1" thickBot="1">
      <c r="A19" s="373" t="s">
        <v>1799</v>
      </c>
      <c r="B19" s="352" t="s">
        <v>1800</v>
      </c>
      <c r="C19" s="2090"/>
      <c r="D19" s="2091" t="s">
        <v>1801</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1802</v>
      </c>
      <c r="B20" s="3069" t="s">
        <v>1803</v>
      </c>
      <c r="C20" s="3070"/>
      <c r="D20" s="3071" t="s">
        <v>1804</v>
      </c>
      <c r="E20" s="3072"/>
      <c r="F20" s="2096" t="s">
        <v>1805</v>
      </c>
      <c r="G20" s="2041"/>
      <c r="H20" s="2041"/>
      <c r="I20" s="2041"/>
      <c r="J20" s="2041"/>
      <c r="K20" s="3068" t="s">
        <v>1806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1807</v>
      </c>
      <c r="C21" s="2098" t="s">
        <v>1808</v>
      </c>
      <c r="D21" s="2099" t="s">
        <v>1809</v>
      </c>
      <c r="E21" s="2100" t="s">
        <v>1808</v>
      </c>
      <c r="F21" s="2101"/>
      <c r="G21" s="2041"/>
      <c r="H21" s="2041"/>
      <c r="I21" s="2041"/>
      <c r="J21" s="2041"/>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1810</v>
      </c>
      <c r="C22" s="2098" t="s">
        <v>1811</v>
      </c>
      <c r="D22" s="2025"/>
      <c r="E22" s="2025"/>
      <c r="F22" s="2103"/>
      <c r="G22" s="2041"/>
      <c r="H22" s="2041"/>
      <c r="I22" s="2041"/>
      <c r="J22" s="2041"/>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1812</v>
      </c>
      <c r="B23" s="183" t="s">
        <v>1813</v>
      </c>
      <c r="C23" s="2105"/>
      <c r="D23" s="2106" t="s">
        <v>1813</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1814</v>
      </c>
      <c r="C24" s="2110"/>
      <c r="D24" s="2104" t="s">
        <v>1814</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1815</v>
      </c>
      <c r="C25" s="2110"/>
      <c r="D25" s="2104" t="s">
        <v>1815</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1816</v>
      </c>
      <c r="C26" s="2114"/>
      <c r="D26" s="2115" t="s">
        <v>1817</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86" t="s">
        <v>1818</v>
      </c>
      <c r="B27" s="2062" t="s">
        <v>1819</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86"/>
      <c r="B28" s="2034" t="s">
        <v>1820</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86"/>
      <c r="B29" s="2034" t="s">
        <v>1821</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87"/>
      <c r="B30" s="2034" t="s">
        <v>1822</v>
      </c>
      <c r="C30" s="3088"/>
      <c r="D30" s="3089"/>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90" t="s">
        <v>1823</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91"/>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91"/>
      <c r="B33" s="2129"/>
      <c r="C33" s="2069"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1824</v>
      </c>
      <c r="B34" s="2132"/>
      <c r="C34" s="2132"/>
      <c r="D34" s="2132"/>
      <c r="E34" s="2132"/>
      <c r="F34" s="2132"/>
      <c r="G34" s="2132"/>
      <c r="H34" s="2132"/>
      <c r="I34" s="2041"/>
      <c r="J34" s="2041"/>
      <c r="K34" s="1795">
        <f>COUNTIF(B34:H34,"——")</f>
        <v>0</v>
      </c>
      <c r="L34" s="2073" t="s">
        <v>1825</v>
      </c>
      <c r="M34" s="2073" t="s">
        <v>1826</v>
      </c>
      <c r="N34" s="2073" t="s">
        <v>1827</v>
      </c>
      <c r="O34" s="2073" t="s">
        <v>1828</v>
      </c>
      <c r="P34" s="2073" t="s">
        <v>1829</v>
      </c>
      <c r="Q34" s="2073" t="s">
        <v>1830</v>
      </c>
      <c r="R34" s="2073" t="s">
        <v>1831</v>
      </c>
      <c r="S34" s="3085" t="s">
        <v>1832</v>
      </c>
      <c r="T34" s="2133" t="str">
        <f>NUMBERSTRING(7-K34,1)&amp;"通"</f>
        <v>七通</v>
      </c>
      <c r="U34" s="2028"/>
      <c r="V34" s="2028"/>
    </row>
    <row r="35" spans="1:22" ht="18" customHeight="1">
      <c r="A35" s="2134"/>
      <c r="B35" s="3092" t="s">
        <v>1833</v>
      </c>
      <c r="C35" s="3092"/>
      <c r="D35" s="3092"/>
      <c r="E35" s="3092"/>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5"/>
      <c r="T35" s="48" t="str">
        <f>IF(T34="一通",L35,IF(T34="二通",M35,IF(T34="三通",N35,IF(T34="四通",O35,IF(T34="五通",P35,IF(T34="六通",Q35,R35))))))</f>
        <v>、、、、、、</v>
      </c>
      <c r="U35" s="2028"/>
      <c r="V35" s="2028"/>
    </row>
    <row r="36" spans="1:22" ht="18" customHeight="1">
      <c r="A36" s="2136"/>
      <c r="B36" s="2135" t="s">
        <v>1834</v>
      </c>
      <c r="C36" s="2135" t="s">
        <v>1835</v>
      </c>
      <c r="D36" s="2135" t="s">
        <v>1836</v>
      </c>
      <c r="E36" s="2135" t="s">
        <v>1837</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1838</v>
      </c>
      <c r="B37" s="2139" t="s">
        <v>530</v>
      </c>
      <c r="C37" s="2139" t="s">
        <v>530</v>
      </c>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1839</v>
      </c>
      <c r="B38" s="2141" t="s">
        <v>3076</v>
      </c>
      <c r="C38" s="2141" t="s">
        <v>3076</v>
      </c>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1841</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031" customWidth="1"/>
    <col min="4" max="4" width="9.125" style="2158" customWidth="1"/>
    <col min="5" max="6" width="10" style="2219"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29"/>
      <c r="C1" s="2028"/>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1862</v>
      </c>
      <c r="B2" s="11" t="s">
        <v>1863</v>
      </c>
      <c r="C2" s="369"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1865</v>
      </c>
      <c r="AZ2" s="1270"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10500</v>
      </c>
      <c r="B3" s="14">
        <f>IF(C3="否",G5-AT5,G5)</f>
        <v>2602.9</v>
      </c>
      <c r="C3" s="2952"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0" customFormat="1" ht="13.5" thickBot="1">
      <c r="A4" s="2167"/>
      <c r="B4" s="2168"/>
      <c r="C4" s="295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9"/>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3"/>
      <c r="C5" s="2424"/>
      <c r="D5" s="1806"/>
      <c r="E5" s="16" t="s">
        <v>1</v>
      </c>
      <c r="F5" s="16">
        <f>SUM(F13:F587)</f>
        <v>0</v>
      </c>
      <c r="G5" s="16">
        <f>SUM(G13:G587)</f>
        <v>2602.9</v>
      </c>
      <c r="H5" s="16">
        <f t="shared" ref="H5:AT5" si="0">SUM(H13:H656)</f>
        <v>2602.9</v>
      </c>
      <c r="I5" s="16">
        <f t="shared" si="0"/>
        <v>183.90000000000003</v>
      </c>
      <c r="J5" s="16">
        <f t="shared" si="0"/>
        <v>0</v>
      </c>
      <c r="K5" s="16">
        <f t="shared" si="0"/>
        <v>1310.5999999999999</v>
      </c>
      <c r="L5" s="16">
        <f t="shared" si="0"/>
        <v>0</v>
      </c>
      <c r="M5" s="16">
        <f t="shared" si="0"/>
        <v>1108.4000000000001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2602.9</v>
      </c>
      <c r="BA5" s="18">
        <f t="shared" si="1"/>
        <v>2602.9</v>
      </c>
      <c r="BB5" s="18">
        <f t="shared" si="1"/>
        <v>183.90000000000003</v>
      </c>
      <c r="BC5" s="18">
        <f t="shared" si="1"/>
        <v>1310.5999999999999</v>
      </c>
      <c r="BD5" s="18">
        <f t="shared" si="1"/>
        <v>1108.4000000000001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954"/>
      <c r="D6" s="2172"/>
      <c r="E6" s="16">
        <f>H6+AC6+AT6</f>
        <v>10500</v>
      </c>
      <c r="F6" s="16" t="s">
        <v>1</v>
      </c>
      <c r="G6" s="16" t="s">
        <v>2</v>
      </c>
      <c r="H6" s="20">
        <f>SUMIF(I$12:AB$12,"总值",I6:AB6)</f>
        <v>10500</v>
      </c>
      <c r="I6" s="16">
        <f t="shared" ref="I6:AB6" si="2">ROUND($A$3*I5/$B$3,2)</f>
        <v>741.85</v>
      </c>
      <c r="J6" s="16">
        <f t="shared" si="2"/>
        <v>0</v>
      </c>
      <c r="K6" s="16">
        <f t="shared" si="2"/>
        <v>5286.91</v>
      </c>
      <c r="L6" s="16">
        <f t="shared" si="2"/>
        <v>0</v>
      </c>
      <c r="M6" s="16">
        <f t="shared" si="2"/>
        <v>4471.24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10500</v>
      </c>
      <c r="AZ6" s="16" t="s">
        <v>3</v>
      </c>
      <c r="BA6" s="16">
        <f>ROUND($AY$6*BA5/$AZ$5,2)</f>
        <v>10500</v>
      </c>
      <c r="BB6" s="16">
        <f>ROUND($AY$6*BB5/$AZ$5,2)</f>
        <v>741.85</v>
      </c>
      <c r="BC6" s="16">
        <f t="shared" ref="BC6:BH6" si="4">ROUND($AY$6*BC5/$AZ$5,2)</f>
        <v>5286.91</v>
      </c>
      <c r="BD6" s="16">
        <f t="shared" si="4"/>
        <v>4471.24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955" t="s">
        <v>1873</v>
      </c>
      <c r="D7" s="2108" t="s">
        <v>1874</v>
      </c>
      <c r="E7" s="2108" t="s">
        <v>1875</v>
      </c>
      <c r="F7" s="2108"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5"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4"/>
      <c r="AX8" s="1292"/>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179"/>
      <c r="D9" s="2179"/>
      <c r="E9" s="2179"/>
      <c r="F9" s="2179"/>
      <c r="G9" s="1292"/>
      <c r="H9" s="2187" t="s">
        <v>1889</v>
      </c>
      <c r="I9" s="2188" t="s">
        <v>3053</v>
      </c>
      <c r="J9" s="981"/>
      <c r="K9" s="2188" t="s">
        <v>3053</v>
      </c>
      <c r="L9" s="981"/>
      <c r="M9" s="2188" t="s">
        <v>3053</v>
      </c>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4"/>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179"/>
      <c r="D10" s="2179"/>
      <c r="E10" s="2179"/>
      <c r="F10" s="2179"/>
      <c r="G10" s="1292"/>
      <c r="H10" s="28"/>
      <c r="I10" s="2188" t="s">
        <v>1369</v>
      </c>
      <c r="J10" s="981"/>
      <c r="K10" s="2194" t="s">
        <v>1369</v>
      </c>
      <c r="L10" s="981"/>
      <c r="M10" s="2194" t="s">
        <v>27</v>
      </c>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4"/>
      <c r="AX10" s="1292"/>
      <c r="AY10" s="28"/>
      <c r="AZ10" s="28"/>
      <c r="BA10" s="2196" t="s">
        <v>1889</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179"/>
      <c r="D11" s="2179"/>
      <c r="E11" s="2179"/>
      <c r="F11" s="2179"/>
      <c r="G11" s="1292"/>
      <c r="H11" s="2196"/>
      <c r="I11" s="2199" t="s">
        <v>3054</v>
      </c>
      <c r="J11" s="2200"/>
      <c r="K11" s="2199" t="s">
        <v>3056</v>
      </c>
      <c r="L11" s="2200"/>
      <c r="M11" s="2199" t="s">
        <v>3054</v>
      </c>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4"/>
      <c r="AU11" s="2179"/>
      <c r="AV11" s="1292"/>
      <c r="AW11" s="2164"/>
      <c r="AX11" s="1292"/>
      <c r="AY11" s="28"/>
      <c r="AZ11" s="28"/>
      <c r="BA11" s="28"/>
      <c r="BB11" s="2184" t="str">
        <f>I10</f>
        <v>商业</v>
      </c>
      <c r="BC11" s="2184" t="str">
        <f>K10</f>
        <v>商业</v>
      </c>
      <c r="BD11" s="2184" t="str">
        <f>M10</f>
        <v>办公</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6" customFormat="1" ht="12.75">
      <c r="A12" s="2204"/>
      <c r="B12" s="2204"/>
      <c r="C12" s="2956"/>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5"/>
      <c r="AX12" s="31"/>
      <c r="AY12" s="2208"/>
      <c r="AZ12" s="28"/>
      <c r="BA12" s="2196"/>
      <c r="BB12" s="24" t="str">
        <f>I11</f>
        <v>平房</v>
      </c>
      <c r="BC12" s="2209" t="str">
        <f>K11</f>
        <v>楼房</v>
      </c>
      <c r="BD12" s="2209" t="str">
        <f>M11</f>
        <v>平房</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6" customFormat="1" ht="12.75">
      <c r="A13" s="1272"/>
      <c r="B13" s="1272"/>
      <c r="C13" s="2152">
        <v>1</v>
      </c>
      <c r="D13" s="2210" t="s">
        <v>3052</v>
      </c>
      <c r="E13" s="16">
        <f>IF($C$3="是",ROUND($A$3*G13/$B$3,2),ROUND($A$3*(G13-AT13)/$B$3,2))</f>
        <v>172.25</v>
      </c>
      <c r="F13" s="32"/>
      <c r="G13" s="33">
        <f>H13+AC13+AT13</f>
        <v>42.7</v>
      </c>
      <c r="H13" s="20">
        <f>SUMIF(I$12:AB$12,"总值",I13:AB13)</f>
        <v>42.7</v>
      </c>
      <c r="I13" s="2211">
        <v>42.7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172.25</v>
      </c>
      <c r="AZ13" s="16">
        <f>BA13+BL13</f>
        <v>42.7</v>
      </c>
      <c r="BA13" s="16">
        <f>SUM(BB13:BK13)</f>
        <v>42.7</v>
      </c>
      <c r="BB13" s="16">
        <f>IF($D13="是",I13-J13,0)</f>
        <v>42.7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v>2</v>
      </c>
      <c r="D14" s="2210" t="s">
        <v>3052</v>
      </c>
      <c r="E14" s="16">
        <f>IF($C$3="是",ROUND($A$3*G14/$B$3,2),ROUND($A$3*(G14-AT14)/$B$3,2))</f>
        <v>167.81</v>
      </c>
      <c r="F14" s="32"/>
      <c r="G14" s="33">
        <f>H14+AC14+AT14</f>
        <v>41.6</v>
      </c>
      <c r="H14" s="20">
        <f>SUMIF(I$12:AB$12,"总值",I14:AB14)</f>
        <v>41.6</v>
      </c>
      <c r="I14" s="2211">
        <v>41.6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167.81</v>
      </c>
      <c r="AZ14" s="16">
        <f>BA14+BL14</f>
        <v>41.6</v>
      </c>
      <c r="BA14" s="16">
        <f>SUM(BB14:BK14)</f>
        <v>41.6</v>
      </c>
      <c r="BB14" s="16">
        <f>IF($D14="是",I14-J14,0)</f>
        <v>41.6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v>3</v>
      </c>
      <c r="D15" s="2210" t="s">
        <v>3052</v>
      </c>
      <c r="E15" s="16">
        <f>IF($C$3="是",ROUND($A$3*G15/$B$3,2),ROUND($A$3*(G15-AT15)/$B$3,2))</f>
        <v>4471.24</v>
      </c>
      <c r="F15" s="32"/>
      <c r="G15" s="33">
        <f>H15+AC15+AT15</f>
        <v>1108.4000000000001</v>
      </c>
      <c r="H15" s="20">
        <f>SUMIF(I$12:AB$12,"总值",I15:AB15)</f>
        <v>1108.4000000000001</v>
      </c>
      <c r="I15" s="2211"/>
      <c r="J15" s="2211"/>
      <c r="K15" s="2211"/>
      <c r="L15" s="2211"/>
      <c r="M15" s="2211">
        <v>1108.4000000000001</v>
      </c>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4471.24</v>
      </c>
      <c r="AZ15" s="16">
        <f>BA15+BL15</f>
        <v>1108.4000000000001</v>
      </c>
      <c r="BA15" s="16">
        <f>SUM(BB15:BK15)</f>
        <v>1108.4000000000001</v>
      </c>
      <c r="BB15" s="16">
        <f>IF($D15="是",I15-J15,0)</f>
        <v>0</v>
      </c>
      <c r="BC15" s="16">
        <f>IF($D15="是",K15-L15,0)</f>
        <v>0</v>
      </c>
      <c r="BD15" s="16">
        <f>IF($D15="是",M15-N15,0)</f>
        <v>1108.4000000000001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v>4</v>
      </c>
      <c r="D16" s="2210" t="s">
        <v>3052</v>
      </c>
      <c r="E16" s="16">
        <f>IF($C$3="是",ROUND($A$3*G16/$B$3,2),ROUND($A$3*(G16-AT16)/$B$3,2))</f>
        <v>108.51</v>
      </c>
      <c r="F16" s="32"/>
      <c r="G16" s="33">
        <f>H16+AC16+AT16</f>
        <v>26.9</v>
      </c>
      <c r="H16" s="20">
        <f>SUMIF(I$12:AB$12,"总值",I16:AB16)</f>
        <v>26.9</v>
      </c>
      <c r="I16" s="2211">
        <v>26.9</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108.51</v>
      </c>
      <c r="AZ16" s="16">
        <f>BA16+BL16</f>
        <v>26.9</v>
      </c>
      <c r="BA16" s="16">
        <f>SUM(BB16:BK16)</f>
        <v>26.9</v>
      </c>
      <c r="BB16" s="16">
        <f>IF($D16="是",I16-J16,0)</f>
        <v>26.9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v>5</v>
      </c>
      <c r="D17" s="2210" t="s">
        <v>3052</v>
      </c>
      <c r="E17" s="16">
        <f>IF($C$3="是",ROUND($A$3*G17/$B$3,2),ROUND($A$3*(G17-AT17)/$B$3,2))</f>
        <v>293.27</v>
      </c>
      <c r="F17" s="32"/>
      <c r="G17" s="33">
        <f>H17+AC17+AT17</f>
        <v>72.7</v>
      </c>
      <c r="H17" s="20">
        <f>SUMIF(I$12:AB$12,"总值",I17:AB17)</f>
        <v>72.7</v>
      </c>
      <c r="I17" s="2211">
        <v>72.7</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293.27</v>
      </c>
      <c r="AZ17" s="16">
        <f>BA17+BL17</f>
        <v>72.7</v>
      </c>
      <c r="BA17" s="16">
        <f>SUM(BB17:BK17)</f>
        <v>72.7</v>
      </c>
      <c r="BB17" s="16">
        <f>IF($D17="是",I17-J17,0)</f>
        <v>72.7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v>6</v>
      </c>
      <c r="D18" s="2215" t="s">
        <v>3052</v>
      </c>
      <c r="E18" s="35">
        <f t="shared" ref="E18:E112" si="7">IF($C$3="是",ROUND($A$3*G18/$B$3,2),ROUND($A$3*(G18-AT18)/$B$3,2))</f>
        <v>5286.91</v>
      </c>
      <c r="F18" s="36"/>
      <c r="G18" s="37">
        <f t="shared" ref="G18:G109" si="8">H18+AC18+AT18</f>
        <v>1310.5999999999999</v>
      </c>
      <c r="H18" s="38">
        <f t="shared" ref="H18:H109" si="9">SUMIF(I$12:AB$12,"总值",I18:AB18)</f>
        <v>1310.5999999999999</v>
      </c>
      <c r="I18" s="39"/>
      <c r="J18" s="39"/>
      <c r="K18" s="39">
        <v>1310.5999999999999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6</v>
      </c>
      <c r="AY18" s="42">
        <f t="shared" ref="AY18:AY109" si="14">ROUND($AY$6*AZ18/$AZ$5,2)</f>
        <v>5286.91</v>
      </c>
      <c r="AZ18" s="35">
        <f t="shared" ref="AZ18:AZ109" si="15">BA18+BL18</f>
        <v>1310.5999999999999</v>
      </c>
      <c r="BA18" s="35">
        <f t="shared" ref="BA18:BA109" si="16">SUM(BB18:BK18)</f>
        <v>1310.5999999999999</v>
      </c>
      <c r="BB18" s="35">
        <f t="shared" ref="BB18:BB109" si="17">IF($D18="是",I18-J18,0)</f>
        <v>0</v>
      </c>
      <c r="BC18" s="35">
        <f t="shared" ref="BC18:BC109" si="18">IF($D18="是",K18-L18,0)</f>
        <v>1310.5999999999999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7"/>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7"/>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7"/>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7"/>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7"/>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7"/>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7"/>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7"/>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7"/>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7"/>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7"/>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7"/>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7"/>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7"/>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7"/>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7"/>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7"/>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7"/>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7"/>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7"/>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7"/>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7"/>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7"/>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7"/>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7"/>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7"/>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7"/>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7"/>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7"/>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7"/>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7"/>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7"/>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7"/>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7"/>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7"/>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7"/>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7"/>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7"/>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7"/>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7"/>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7"/>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7"/>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7"/>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7"/>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7"/>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7"/>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7"/>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7"/>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7"/>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7"/>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7"/>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7"/>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7"/>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7"/>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7"/>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7"/>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7"/>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7"/>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7"/>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7"/>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7"/>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7"/>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7"/>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7"/>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7"/>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7"/>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7"/>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7"/>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7"/>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7"/>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7"/>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7"/>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7"/>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7"/>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7"/>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7"/>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7"/>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7"/>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7"/>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7"/>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0"/>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0"/>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0"/>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7"/>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7"/>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7"/>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7"/>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7"/>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7"/>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7"/>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7"/>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7"/>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7"/>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7"/>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7"/>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7"/>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7"/>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7"/>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7"/>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7"/>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7"/>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7"/>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7"/>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7"/>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7"/>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7"/>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7"/>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7"/>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7"/>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7"/>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7"/>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7"/>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7"/>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7"/>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7"/>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7"/>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7"/>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7"/>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7"/>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7"/>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7"/>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7"/>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7"/>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7"/>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7"/>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7"/>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7"/>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7"/>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7"/>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7"/>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7"/>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7"/>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7"/>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7"/>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7"/>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7"/>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7"/>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7"/>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7"/>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7"/>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7"/>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7"/>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7"/>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7"/>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7"/>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7"/>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7"/>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7"/>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7"/>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7"/>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7"/>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7"/>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7"/>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7"/>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7"/>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7"/>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7"/>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7"/>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7"/>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7"/>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7"/>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7"/>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7"/>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7"/>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7"/>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7"/>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7"/>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7"/>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7"/>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7"/>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7"/>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7"/>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7"/>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7"/>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7"/>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0"/>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0"/>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0"/>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7"/>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7"/>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7"/>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7"/>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7"/>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7"/>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7"/>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7"/>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7"/>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7"/>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7"/>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7"/>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7"/>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7"/>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7"/>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7"/>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7"/>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7"/>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7"/>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7"/>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7"/>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7"/>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7"/>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7"/>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7"/>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7"/>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7"/>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7"/>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7"/>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7"/>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7"/>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7"/>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7"/>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7"/>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7"/>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7"/>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7"/>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7"/>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7"/>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7"/>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7"/>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7"/>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7"/>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7"/>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7"/>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7"/>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7"/>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7"/>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7"/>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7"/>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7"/>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7"/>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7"/>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7"/>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7"/>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7"/>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7"/>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7"/>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7"/>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7"/>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7"/>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7"/>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7"/>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7"/>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7"/>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7"/>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7"/>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7"/>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7"/>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7"/>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7"/>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7"/>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7"/>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7"/>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7"/>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7"/>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7"/>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7"/>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7"/>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7"/>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7"/>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7"/>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7"/>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7"/>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7"/>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7"/>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7"/>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7"/>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7"/>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7"/>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7"/>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7"/>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10"/>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10"/>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10"/>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7"/>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7"/>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7"/>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7"/>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7"/>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7"/>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7"/>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7"/>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7"/>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7"/>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7"/>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7"/>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7"/>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7"/>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7"/>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7"/>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7"/>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7"/>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7"/>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7"/>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7"/>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7"/>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7"/>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7"/>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7"/>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7"/>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7"/>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7"/>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7"/>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7"/>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7"/>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7"/>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7"/>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7"/>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7"/>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7"/>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7"/>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7"/>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7"/>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7"/>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7"/>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7"/>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7"/>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7"/>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7"/>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7"/>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7"/>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7"/>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7"/>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7"/>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7"/>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7"/>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7"/>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7"/>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7"/>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7"/>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7"/>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7"/>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7"/>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7"/>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7"/>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7"/>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7"/>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7"/>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7"/>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7"/>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7"/>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7"/>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7"/>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7"/>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7"/>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7"/>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7"/>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7"/>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7"/>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7"/>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7"/>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7"/>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7"/>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7"/>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7"/>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7"/>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7"/>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7"/>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7"/>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7"/>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7"/>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7"/>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7"/>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7"/>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7"/>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7"/>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10"/>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10"/>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10"/>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7"/>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7"/>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7"/>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7"/>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7"/>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7"/>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7"/>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7"/>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7"/>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7"/>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7"/>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7"/>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7"/>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7"/>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7"/>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7"/>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7"/>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7"/>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7"/>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7"/>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7"/>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7"/>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7"/>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7"/>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7"/>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7"/>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7"/>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7"/>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7"/>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7"/>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7"/>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7"/>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7"/>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7"/>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7"/>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7"/>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7"/>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7"/>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7"/>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7"/>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7"/>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7"/>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7"/>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7"/>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7"/>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7"/>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7"/>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7"/>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7"/>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7"/>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7"/>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7"/>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7"/>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7"/>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7"/>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7"/>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7"/>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7"/>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7"/>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7"/>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7"/>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7"/>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7"/>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7"/>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7"/>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7"/>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7"/>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7"/>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7"/>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7"/>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7"/>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7"/>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7"/>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7"/>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7"/>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7"/>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7"/>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7"/>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7"/>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7"/>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7"/>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7"/>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7"/>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7"/>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7"/>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7"/>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7"/>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7"/>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7"/>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7"/>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7"/>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7"/>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10"/>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10"/>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10"/>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7"/>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7"/>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7"/>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7"/>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7"/>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7"/>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7"/>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7"/>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7"/>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7"/>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7"/>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7"/>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7"/>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7"/>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7"/>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7"/>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7"/>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7"/>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7"/>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7"/>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7"/>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7"/>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7"/>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7"/>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7"/>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7"/>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7"/>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7"/>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7"/>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7"/>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7"/>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7"/>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7"/>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7"/>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7"/>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7"/>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7"/>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7"/>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7"/>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7"/>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7"/>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7"/>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7"/>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7"/>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7"/>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7"/>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7"/>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7"/>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7"/>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7"/>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7"/>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7"/>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7"/>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7"/>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7"/>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7"/>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7"/>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7"/>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7"/>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7"/>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7"/>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7"/>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7"/>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7"/>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7"/>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7"/>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7"/>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7"/>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7"/>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7"/>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7"/>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7"/>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7"/>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7"/>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7"/>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7"/>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7"/>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7"/>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7"/>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7"/>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7"/>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7"/>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7"/>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7"/>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7"/>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7"/>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7"/>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7"/>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7"/>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7"/>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7"/>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7"/>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10"/>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10"/>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10"/>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958"/>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959"/>
      <c r="D589" s="2221"/>
    </row>
    <row r="590" spans="1:72" s="2220" customFormat="1">
      <c r="C590" s="2959"/>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104" t="s">
        <v>1929</v>
      </c>
      <c r="B2" s="3104"/>
      <c r="C2" s="3104"/>
      <c r="D2" s="967" t="s">
        <v>1905</v>
      </c>
      <c r="E2" s="2224" t="s">
        <v>1906</v>
      </c>
      <c r="F2" s="1392"/>
      <c r="G2" s="2225"/>
      <c r="H2" s="2226"/>
      <c r="I2" s="2227" t="s">
        <v>1930</v>
      </c>
      <c r="J2" s="1392"/>
      <c r="K2" s="1392"/>
      <c r="L2" s="1392"/>
      <c r="M2" s="1392"/>
      <c r="N2" s="1427"/>
      <c r="O2" s="1392"/>
      <c r="P2" s="1392"/>
    </row>
    <row r="3" spans="1:16" ht="15.75" thickBot="1">
      <c r="A3" s="3105" t="s">
        <v>1903</v>
      </c>
      <c r="B3" s="3105"/>
      <c r="C3" s="3105"/>
      <c r="D3" s="46">
        <f>'数据-基础表'!AY6</f>
        <v>10500</v>
      </c>
      <c r="E3" s="46">
        <f>'数据-基础表'!AZ5</f>
        <v>2602.9</v>
      </c>
      <c r="F3" s="1392"/>
      <c r="G3" s="1399"/>
      <c r="H3" s="1247" t="s">
        <v>1904</v>
      </c>
      <c r="I3" s="55">
        <f>ROUND('数据-基础表'!B3/'数据-基础表'!A3,2)</f>
        <v>0.25</v>
      </c>
      <c r="J3" s="1392"/>
      <c r="K3" s="1392"/>
      <c r="L3" s="1392"/>
      <c r="M3" s="1392"/>
      <c r="N3" s="1427"/>
      <c r="O3" s="1392"/>
      <c r="P3" s="1392"/>
    </row>
    <row r="4" spans="1:16" ht="15">
      <c r="A4" s="3106"/>
      <c r="B4" s="3107"/>
      <c r="C4" s="3108"/>
      <c r="D4" s="2228" t="s">
        <v>1905</v>
      </c>
      <c r="E4" s="2229" t="s">
        <v>1906</v>
      </c>
      <c r="F4" s="1392"/>
      <c r="G4" s="2230" t="s">
        <v>1931</v>
      </c>
      <c r="H4" s="1247" t="s">
        <v>1911</v>
      </c>
      <c r="I4" s="55">
        <f>ROUND(SUMIF('数据-基础表'!I9:AS9,"地上",'数据-基础表'!I5:AS5)/'数据-基础表'!A3,2)</f>
        <v>0.25</v>
      </c>
      <c r="J4" s="1392"/>
      <c r="K4" s="1392"/>
      <c r="L4" s="1392"/>
      <c r="M4" s="1392"/>
      <c r="N4" s="1427"/>
      <c r="O4" s="1392"/>
      <c r="P4" s="1392"/>
    </row>
    <row r="5" spans="1:16">
      <c r="A5" s="47" t="s">
        <v>1907</v>
      </c>
      <c r="B5" s="3109" t="s">
        <v>1908</v>
      </c>
      <c r="C5" s="3109"/>
      <c r="D5" s="48">
        <f>ROUND($D$3*E5/$E$3,2)</f>
        <v>0</v>
      </c>
      <c r="E5" s="49">
        <f>SUMIF('数据-基础表'!$11:$11,"住宅",'数据-基础表'!$5:$5)</f>
        <v>0</v>
      </c>
      <c r="F5" s="1392"/>
      <c r="G5" s="1399"/>
      <c r="H5" s="1247" t="s">
        <v>1904</v>
      </c>
      <c r="I5" s="55">
        <f>ROUND(E31/D31,2)</f>
        <v>0.25</v>
      </c>
      <c r="J5" s="1392"/>
      <c r="K5" s="1392"/>
      <c r="L5" s="1392"/>
      <c r="M5" s="1392"/>
      <c r="N5" s="1392"/>
      <c r="O5" s="1392"/>
      <c r="P5" s="1392"/>
    </row>
    <row r="6" spans="1:16" ht="15" thickBot="1">
      <c r="A6" s="2231"/>
      <c r="B6" s="3109" t="s">
        <v>1909</v>
      </c>
      <c r="C6" s="3109"/>
      <c r="D6" s="48">
        <f>ROUND($D$3*E6/$E$3,2)</f>
        <v>10500</v>
      </c>
      <c r="E6" s="49">
        <f>E3-E5</f>
        <v>2602.9</v>
      </c>
      <c r="F6" s="1392"/>
      <c r="G6" s="2232" t="s">
        <v>1910</v>
      </c>
      <c r="H6" s="1399" t="s">
        <v>1911</v>
      </c>
      <c r="I6" s="939">
        <f>ROUND(F31/D31,2)</f>
        <v>0.25</v>
      </c>
      <c r="J6" s="1392"/>
      <c r="K6" s="1392"/>
      <c r="L6" s="1392"/>
      <c r="M6" s="1392"/>
      <c r="N6" s="1392"/>
      <c r="O6" s="1392"/>
      <c r="P6" s="1392"/>
    </row>
    <row r="7" spans="1:16" ht="15">
      <c r="A7" s="3101"/>
      <c r="B7" s="3102"/>
      <c r="C7" s="3103"/>
      <c r="D7" s="2228" t="s">
        <v>1905</v>
      </c>
      <c r="E7" s="2233" t="s">
        <v>1912</v>
      </c>
      <c r="F7" s="1392"/>
      <c r="G7" s="2225" t="s">
        <v>1913</v>
      </c>
      <c r="H7" s="64"/>
      <c r="I7" s="420"/>
      <c r="J7" s="1392"/>
      <c r="K7" s="1392"/>
      <c r="L7" s="1392"/>
      <c r="M7" s="1392"/>
      <c r="N7" s="1392"/>
      <c r="O7" s="1392"/>
      <c r="P7" s="1392"/>
    </row>
    <row r="8" spans="1:16">
      <c r="A8" s="47" t="s">
        <v>1914</v>
      </c>
      <c r="B8" s="50" t="s">
        <v>1915</v>
      </c>
      <c r="C8" s="48" t="s">
        <v>1916</v>
      </c>
      <c r="D8" s="48">
        <f t="shared" ref="D8:D15" si="0">ROUND($D$3*E8/$E$3,2)</f>
        <v>10500</v>
      </c>
      <c r="E8" s="51">
        <f>SUMIF('数据-基础表'!BB10:BK10,"地上",'数据-基础表'!BB5:BK5)</f>
        <v>2602.9</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10500</v>
      </c>
      <c r="E16" s="53">
        <f>SUM(E8:E15)</f>
        <v>2602.9</v>
      </c>
      <c r="F16" s="1392"/>
      <c r="G16" s="2234"/>
      <c r="H16" s="2237" t="s">
        <v>1933</v>
      </c>
      <c r="I16" s="2238"/>
      <c r="J16" s="1392"/>
      <c r="K16" s="3098" t="s">
        <v>1933</v>
      </c>
      <c r="L16" s="3099"/>
      <c r="M16" s="3099"/>
      <c r="N16" s="3099"/>
      <c r="O16" s="3099"/>
      <c r="P16" s="3100"/>
    </row>
    <row r="17" spans="1:19" ht="15">
      <c r="A17" s="2239" t="s">
        <v>1934</v>
      </c>
      <c r="B17" s="2240" t="s">
        <v>1935</v>
      </c>
      <c r="C17" s="2241" t="s">
        <v>1936</v>
      </c>
      <c r="D17" s="2242" t="s">
        <v>1924</v>
      </c>
      <c r="E17" s="2243" t="s">
        <v>1925</v>
      </c>
      <c r="F17" s="2244"/>
      <c r="G17" s="2245"/>
      <c r="H17" s="2246" t="s">
        <v>1937</v>
      </c>
      <c r="I17" s="2247" t="s">
        <v>1922</v>
      </c>
      <c r="J17" s="1392"/>
      <c r="K17" s="3095" t="s">
        <v>1938</v>
      </c>
      <c r="L17" s="3096"/>
      <c r="M17" s="3097"/>
      <c r="N17" s="3095" t="s">
        <v>1939</v>
      </c>
      <c r="O17" s="3096"/>
      <c r="P17" s="3097"/>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962" t="s">
        <v>3096</v>
      </c>
      <c r="D19" s="48">
        <f>ROUND($D$3*E19/$E$3,2)</f>
        <v>172.25</v>
      </c>
      <c r="E19" s="56">
        <f t="shared" ref="E19:E26" si="1">SUM(F19:G19)</f>
        <v>42.7</v>
      </c>
      <c r="F19" s="57">
        <f>'数据-基础表'!H13</f>
        <v>42.7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172.25</v>
      </c>
      <c r="S19" s="1248">
        <f t="shared" si="5"/>
        <v>42.7</v>
      </c>
    </row>
    <row r="20" spans="1:19">
      <c r="A20" s="2260"/>
      <c r="B20" s="50" t="s">
        <v>1951</v>
      </c>
      <c r="C20" s="2962" t="s">
        <v>3097</v>
      </c>
      <c r="D20" s="48">
        <f t="shared" ref="D20:D26" si="6">ROUND($D$3*E20/$E$3,2)</f>
        <v>167.81</v>
      </c>
      <c r="E20" s="56">
        <f t="shared" si="1"/>
        <v>41.6</v>
      </c>
      <c r="F20" s="57">
        <f>'数据-基础表'!H14</f>
        <v>41.6</v>
      </c>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167.81</v>
      </c>
      <c r="S20" s="1248">
        <f t="shared" si="5"/>
        <v>41.6</v>
      </c>
    </row>
    <row r="21" spans="1:19">
      <c r="A21" s="2260"/>
      <c r="B21" s="50" t="s">
        <v>1951</v>
      </c>
      <c r="C21" s="2257" t="s">
        <v>3098</v>
      </c>
      <c r="D21" s="48">
        <f t="shared" si="6"/>
        <v>4471.24</v>
      </c>
      <c r="E21" s="56">
        <f t="shared" si="1"/>
        <v>1108.4000000000001</v>
      </c>
      <c r="F21" s="57">
        <f>'数据-基础表'!H15</f>
        <v>1108.4000000000001</v>
      </c>
      <c r="G21" s="58"/>
      <c r="H21" s="723">
        <f t="shared" si="7"/>
        <v>0</v>
      </c>
      <c r="I21" s="51">
        <f t="shared" si="2"/>
        <v>0</v>
      </c>
      <c r="J21" s="1392"/>
      <c r="K21" s="1391">
        <f t="shared" si="3"/>
        <v>0</v>
      </c>
      <c r="L21" s="1247">
        <f t="shared" si="4"/>
        <v>0</v>
      </c>
      <c r="M21" s="1403">
        <f t="shared" si="8"/>
        <v>0</v>
      </c>
      <c r="N21" s="2258"/>
      <c r="O21" s="2259"/>
      <c r="P21" s="1403">
        <f t="shared" si="9"/>
        <v>0</v>
      </c>
      <c r="R21" s="1247">
        <f t="shared" si="5"/>
        <v>4471.24</v>
      </c>
      <c r="S21" s="1248">
        <f t="shared" si="5"/>
        <v>1108.4000000000001</v>
      </c>
    </row>
    <row r="22" spans="1:19">
      <c r="A22" s="2260"/>
      <c r="B22" s="50" t="s">
        <v>1951</v>
      </c>
      <c r="C22" s="60" t="s">
        <v>3099</v>
      </c>
      <c r="D22" s="48">
        <f t="shared" si="6"/>
        <v>108.51</v>
      </c>
      <c r="E22" s="56">
        <f t="shared" si="1"/>
        <v>26.9</v>
      </c>
      <c r="F22" s="61">
        <f>'数据-基础表'!H16</f>
        <v>26.9</v>
      </c>
      <c r="G22" s="62"/>
      <c r="H22" s="723">
        <f t="shared" si="7"/>
        <v>0</v>
      </c>
      <c r="I22" s="51">
        <f t="shared" si="2"/>
        <v>0</v>
      </c>
      <c r="J22" s="1392"/>
      <c r="K22" s="1391">
        <f t="shared" si="3"/>
        <v>0</v>
      </c>
      <c r="L22" s="1247">
        <f t="shared" si="4"/>
        <v>0</v>
      </c>
      <c r="M22" s="1403">
        <f t="shared" si="8"/>
        <v>0</v>
      </c>
      <c r="N22" s="2258"/>
      <c r="O22" s="2259"/>
      <c r="P22" s="1403">
        <f t="shared" si="9"/>
        <v>0</v>
      </c>
      <c r="R22" s="1247">
        <f t="shared" si="5"/>
        <v>108.51</v>
      </c>
      <c r="S22" s="1248">
        <f t="shared" si="5"/>
        <v>26.9</v>
      </c>
    </row>
    <row r="23" spans="1:19">
      <c r="A23" s="2260"/>
      <c r="B23" s="50" t="s">
        <v>1951</v>
      </c>
      <c r="C23" s="60" t="s">
        <v>3100</v>
      </c>
      <c r="D23" s="48">
        <f>ROUND($D$3*E23/$E$3,2)</f>
        <v>293.27</v>
      </c>
      <c r="E23" s="56">
        <f>SUM(F23:G23)</f>
        <v>72.7</v>
      </c>
      <c r="F23" s="61">
        <f>'数据-基础表'!H17</f>
        <v>72.7</v>
      </c>
      <c r="G23" s="62"/>
      <c r="H23" s="723">
        <f>ROUND($D$3*I23/$E$3,2)</f>
        <v>0</v>
      </c>
      <c r="I23" s="51">
        <f t="shared" si="2"/>
        <v>0</v>
      </c>
      <c r="J23" s="1392"/>
      <c r="K23" s="1391">
        <f t="shared" si="3"/>
        <v>0</v>
      </c>
      <c r="L23" s="1247">
        <f t="shared" si="4"/>
        <v>0</v>
      </c>
      <c r="M23" s="1403">
        <f t="shared" si="8"/>
        <v>0</v>
      </c>
      <c r="N23" s="2258"/>
      <c r="O23" s="2259"/>
      <c r="P23" s="1403">
        <f t="shared" si="9"/>
        <v>0</v>
      </c>
      <c r="R23" s="1247">
        <f t="shared" si="5"/>
        <v>293.27</v>
      </c>
      <c r="S23" s="1248">
        <f t="shared" si="5"/>
        <v>72.7</v>
      </c>
    </row>
    <row r="24" spans="1:19">
      <c r="A24" s="2260"/>
      <c r="B24" s="50" t="s">
        <v>1951</v>
      </c>
      <c r="C24" s="60" t="s">
        <v>3101</v>
      </c>
      <c r="D24" s="48">
        <f>ROUND($D$3*E24/$E$3,2)</f>
        <v>5286.91</v>
      </c>
      <c r="E24" s="56">
        <f>SUM(F24:G24)</f>
        <v>1310.5999999999999</v>
      </c>
      <c r="F24" s="61">
        <f>'数据-基础表'!H18</f>
        <v>1310.5999999999999</v>
      </c>
      <c r="G24" s="62"/>
      <c r="H24" s="723">
        <f>ROUND($D$3*I24/$E$3,2)</f>
        <v>0</v>
      </c>
      <c r="I24" s="51">
        <f t="shared" si="2"/>
        <v>0</v>
      </c>
      <c r="J24" s="1392"/>
      <c r="K24" s="1391">
        <f t="shared" si="3"/>
        <v>0</v>
      </c>
      <c r="L24" s="1247">
        <f t="shared" si="4"/>
        <v>0</v>
      </c>
      <c r="M24" s="1403">
        <f t="shared" si="8"/>
        <v>0</v>
      </c>
      <c r="N24" s="2258"/>
      <c r="O24" s="2259"/>
      <c r="P24" s="1403">
        <f t="shared" si="9"/>
        <v>0</v>
      </c>
      <c r="R24" s="1247">
        <f t="shared" si="5"/>
        <v>5286.91</v>
      </c>
      <c r="S24" s="1248">
        <f t="shared" si="5"/>
        <v>1310.5999999999999</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29.25" thickBot="1">
      <c r="A27" s="2260"/>
      <c r="B27" s="48"/>
      <c r="C27" s="2263" t="s">
        <v>1952</v>
      </c>
      <c r="D27" s="1393">
        <f>SUM(D19:D26)</f>
        <v>10499.99</v>
      </c>
      <c r="E27" s="1394">
        <f>IF(SUM(E19:E26)='数据-基础表'!BA5,SUM(E19:E26),IF(F27="地上面积有误","面积有误","地下面积有误"))</f>
        <v>2602.9</v>
      </c>
      <c r="F27" s="1393">
        <f>IF(SUM(F19:F26)=E8,SUM(F19:F26),"地上面积有误")</f>
        <v>2602.9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10499.99误差-0.01</v>
      </c>
      <c r="S27" s="1247">
        <f>IF(SUM(S19:S26)=$E$3,SUM(S19:S26),SUM(S19:S26)&amp;"误差"&amp;ROUND(SUM(S19:S26)-E3,2))</f>
        <v>2602.9</v>
      </c>
    </row>
    <row r="28" spans="1:19">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1956</v>
      </c>
      <c r="D31" s="729">
        <f>D27+D30</f>
        <v>10499.99</v>
      </c>
      <c r="E31" s="729">
        <f>E27+E30</f>
        <v>2602.9</v>
      </c>
      <c r="F31" s="730">
        <f>F27+F30</f>
        <v>2602.9</v>
      </c>
      <c r="G31" s="731">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1959</v>
      </c>
      <c r="B2" s="1266">
        <f>项目基本情况!D3</f>
        <v>43922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3102</v>
      </c>
      <c r="O5" s="2293" t="s">
        <v>1979</v>
      </c>
      <c r="P5" s="2296" t="s">
        <v>1980</v>
      </c>
      <c r="Q5" s="69" t="s">
        <v>1981</v>
      </c>
      <c r="R5" s="2297" t="s">
        <v>1982</v>
      </c>
      <c r="S5" s="2298" t="s">
        <v>1983</v>
      </c>
      <c r="T5" s="2299" t="s">
        <v>1984</v>
      </c>
      <c r="U5" s="1267" t="s">
        <v>1985</v>
      </c>
      <c r="V5" s="1268" t="s">
        <v>1986</v>
      </c>
      <c r="W5" s="1268" t="s">
        <v>1987</v>
      </c>
      <c r="X5" s="71"/>
      <c r="Y5" s="70" t="s">
        <v>1988</v>
      </c>
      <c r="Z5" s="2300" t="s">
        <v>1985</v>
      </c>
      <c r="AA5" s="1268" t="s">
        <v>1986</v>
      </c>
      <c r="AB5" s="1268" t="s">
        <v>1987</v>
      </c>
      <c r="AC5" s="71"/>
      <c r="AD5" s="71" t="s">
        <v>1988</v>
      </c>
      <c r="AE5" s="1267" t="s">
        <v>1989</v>
      </c>
      <c r="AF5" s="1268" t="s">
        <v>1990</v>
      </c>
      <c r="AG5" s="70" t="s">
        <v>1991</v>
      </c>
      <c r="AH5" s="1267" t="s">
        <v>1992</v>
      </c>
      <c r="AI5" s="2300" t="s">
        <v>1993</v>
      </c>
      <c r="AJ5" s="2300" t="s">
        <v>1994</v>
      </c>
      <c r="AK5" s="1268" t="s">
        <v>1995</v>
      </c>
      <c r="AL5" s="1268" t="s">
        <v>1996</v>
      </c>
      <c r="AM5" s="70" t="s">
        <v>1997</v>
      </c>
      <c r="AN5" s="2301" t="s">
        <v>1998</v>
      </c>
      <c r="AO5" s="2073" t="s">
        <v>1999</v>
      </c>
      <c r="AP5" s="1249" t="s">
        <v>2000</v>
      </c>
      <c r="AQ5" s="2302" t="s">
        <v>2001</v>
      </c>
      <c r="AR5" s="2302"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3" t="str">
        <f>'数据-汇总表'!C19</f>
        <v>商业1</v>
      </c>
      <c r="B6" s="2304" t="str">
        <f>IF(A6=0,"","经营性")</f>
        <v>经营性</v>
      </c>
      <c r="C6" s="2305" t="s">
        <v>1369</v>
      </c>
      <c r="D6" s="1051">
        <f>SUMIF(项目基本情况!D$12:I$12,C6,项目基本情况!D$14:I$14)</f>
        <v>40</v>
      </c>
      <c r="E6" s="1048">
        <f>IF(B6="","",SUMIF(项目基本情况!D$12:I$12,C6,项目基本情况!D$13:I$13))</f>
        <v>50761</v>
      </c>
      <c r="F6" s="72">
        <f>SUMIF(项目基本情况!D$12:I$12,C6,项目基本情况!D$15:I$15)</f>
        <v>18.73</v>
      </c>
      <c r="G6" s="73">
        <f>IF(ISERROR(ROUND(POWER(1+H6,D6-F6)*(POWER(1+H6,F6)-1)/(POWER(1+H6,D6)-1),3)),0,ROUND(POWER(1+H6,D6-F6)*(POWER(1+H6,F6)-1)/(POWER(1+H6,D6)-1),3))</f>
        <v>0.65700000000000003</v>
      </c>
      <c r="H6" s="802">
        <v>0.04</v>
      </c>
      <c r="I6" s="802">
        <v>0.05</v>
      </c>
      <c r="J6" s="74">
        <v>7.0000000000000007E-2</v>
      </c>
      <c r="K6" s="1251">
        <f>SUMIF('数据-汇总表'!C$19:C$33,A6,'数据-汇总表'!E$19:E$33)</f>
        <v>42.7</v>
      </c>
      <c r="L6" s="803">
        <v>1500</v>
      </c>
      <c r="M6" s="75">
        <f t="shared" ref="M6:M14" si="0">ROUND(K6*L6/10000,0)</f>
        <v>6</v>
      </c>
      <c r="N6" s="801">
        <v>0.6</v>
      </c>
      <c r="O6" s="75" t="str">
        <f>IF($N$5="成新度","——",ROUND(M6*N6,0))</f>
        <v>——</v>
      </c>
      <c r="P6" s="76" t="str">
        <f>IF($N$5="成新度","——",M6-O6)</f>
        <v>——</v>
      </c>
      <c r="Q6" s="804">
        <v>0.15</v>
      </c>
      <c r="R6" s="77">
        <f ca="1">SUMIF('数据-汇总表'!C$19:C$33,A6,'数据-汇总表'!R$19:R$27)</f>
        <v>172.25</v>
      </c>
      <c r="S6" s="54">
        <f>IF('数据-汇总表'!$I$17="按面积比例",SUMIF('数据-汇总表'!C$19:C$33,A6,'数据-汇总表'!K$19:K$33),SUMIF('数据-汇总表'!C$19:C$33,A6,'数据-汇总表'!N$19:N$33))</f>
        <v>0</v>
      </c>
      <c r="T6" s="1443">
        <f>ROUND($L$14*S6/10000,0)</f>
        <v>0</v>
      </c>
      <c r="U6" s="78">
        <f>'比较法（商业1）'!C49</f>
        <v>2.5</v>
      </c>
      <c r="V6" s="79">
        <v>2.5000000000000001E-2</v>
      </c>
      <c r="W6" s="79">
        <v>0.1</v>
      </c>
      <c r="X6" s="1261"/>
      <c r="Y6" s="80">
        <f>N6</f>
        <v>0.6</v>
      </c>
      <c r="Z6" s="81"/>
      <c r="AA6" s="74"/>
      <c r="AB6" s="74"/>
      <c r="AC6" s="1261"/>
      <c r="AD6" s="82"/>
      <c r="AE6" s="1262">
        <f ca="1">IF(AN6="",0,SUMIF(INDIRECT("'"&amp;AN6&amp;"'"&amp;"!E:E"),$AE$5,INDIRECT("'"&amp;AN6&amp;"'"&amp;"!F:F")))</f>
        <v>18.73</v>
      </c>
      <c r="AF6" s="1804"/>
      <c r="AG6" s="147">
        <f>IF(AF6="",0,AE6-AF6)</f>
        <v>0</v>
      </c>
      <c r="AH6" s="83">
        <f>面积及结果汇总!C3</f>
        <v>42.7</v>
      </c>
      <c r="AI6" s="85">
        <v>365</v>
      </c>
      <c r="AJ6" s="86"/>
      <c r="AK6" s="87">
        <v>1.4999999999999999E-2</v>
      </c>
      <c r="AL6" s="88">
        <v>1.5E-3</v>
      </c>
      <c r="AM6" s="89">
        <v>0.01</v>
      </c>
      <c r="AN6" s="2306" t="s">
        <v>3104</v>
      </c>
      <c r="AO6" s="55">
        <f ca="1">SUMIF(INDIRECT("'"&amp;AN6&amp;"'"&amp;"!A:A"),"总价",INDIRECT("'"&amp;AN6&amp;"'"&amp;"!B:B"))</f>
        <v>44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商业2</v>
      </c>
      <c r="B7" s="2304" t="str">
        <f t="shared" ref="B7:B13" si="1">IF(A7=0,"","经营性")</f>
        <v>经营性</v>
      </c>
      <c r="C7" s="2305" t="s">
        <v>1369</v>
      </c>
      <c r="D7" s="1051">
        <f>SUMIF(项目基本情况!D$12:I$12,C7,项目基本情况!D$14:I$14)</f>
        <v>40</v>
      </c>
      <c r="E7" s="1048">
        <f>IF(B7="","",SUMIF(项目基本情况!D$12:I$12,C7,项目基本情况!D$13:I$13))</f>
        <v>50761</v>
      </c>
      <c r="F7" s="72">
        <f>SUMIF(项目基本情况!D$12:I$12,C7,项目基本情况!D$15:I$15)</f>
        <v>18.73</v>
      </c>
      <c r="G7" s="73">
        <f t="shared" ref="G7:G11" si="2">IF(ISERROR(ROUND(POWER(1+H7,D7-F7)*(POWER(1+H7,F7)-1)/(POWER(1+H7,D7)-1),3)),0,ROUND(POWER(1+H7,D7-F7)*(POWER(1+H7,F7)-1)/(POWER(1+H7,D7)-1),3))</f>
        <v>0</v>
      </c>
      <c r="H7" s="802"/>
      <c r="I7" s="802"/>
      <c r="J7" s="74"/>
      <c r="K7" s="1251">
        <f>SUMIF('数据-汇总表'!C$19:C$33,A7,'数据-汇总表'!E$19:E$33)</f>
        <v>41.6</v>
      </c>
      <c r="L7" s="803"/>
      <c r="M7" s="75">
        <f t="shared" si="0"/>
        <v>0</v>
      </c>
      <c r="N7" s="801">
        <v>0.6</v>
      </c>
      <c r="O7" s="75" t="str">
        <f t="shared" ref="O7:O14" si="3">IF($N$5="成新度","——",ROUND(M7*N7,0))</f>
        <v>——</v>
      </c>
      <c r="P7" s="76" t="str">
        <f t="shared" ref="P7:P14" si="4">IF($N$5="成新度","——",M7-O7)</f>
        <v>——</v>
      </c>
      <c r="Q7" s="804"/>
      <c r="R7" s="77">
        <f ca="1">SUMIF('数据-汇总表'!C$19:C$33,A7,'数据-汇总表'!R$19:R$27)</f>
        <v>167.81</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办公3</v>
      </c>
      <c r="B8" s="2304" t="str">
        <f t="shared" si="1"/>
        <v>经营性</v>
      </c>
      <c r="C8" s="2305" t="s">
        <v>27</v>
      </c>
      <c r="D8" s="1051">
        <f>SUMIF(项目基本情况!D$12:I$12,C8,项目基本情况!D$14:I$14)</f>
        <v>50</v>
      </c>
      <c r="E8" s="1048">
        <f>IF(B8="","",SUMIF(项目基本情况!D$12:I$12,C8,项目基本情况!D$13:I$13))</f>
        <v>50761</v>
      </c>
      <c r="F8" s="72">
        <f>SUMIF(项目基本情况!D$12:I$12,C8,项目基本情况!D$15:I$15)</f>
        <v>18.73</v>
      </c>
      <c r="G8" s="73">
        <f t="shared" si="2"/>
        <v>0.60599999999999998</v>
      </c>
      <c r="H8" s="802">
        <f>H6</f>
        <v>0.04</v>
      </c>
      <c r="I8" s="802">
        <f>I6</f>
        <v>0.05</v>
      </c>
      <c r="J8" s="74">
        <f>J6</f>
        <v>7.0000000000000007E-2</v>
      </c>
      <c r="K8" s="1251">
        <f>SUMIF('数据-汇总表'!C$19:C$33,A8,'数据-汇总表'!E$19:E$33)</f>
        <v>1108.4000000000001</v>
      </c>
      <c r="L8" s="803">
        <v>1500</v>
      </c>
      <c r="M8" s="75">
        <f>ROUND(K8*L8/10000,0)</f>
        <v>166</v>
      </c>
      <c r="N8" s="801">
        <v>0.6</v>
      </c>
      <c r="O8" s="75" t="str">
        <f t="shared" si="3"/>
        <v>——</v>
      </c>
      <c r="P8" s="76" t="str">
        <f t="shared" si="4"/>
        <v>——</v>
      </c>
      <c r="Q8" s="804">
        <v>0.2</v>
      </c>
      <c r="R8" s="77">
        <f ca="1">SUMIF('数据-汇总表'!C$19:C$33,A8,'数据-汇总表'!R$19:R$27)</f>
        <v>4471.24</v>
      </c>
      <c r="S8" s="54">
        <f>IF('数据-汇总表'!$I$17="按面积比例",SUMIF('数据-汇总表'!C$19:C$33,A8,'数据-汇总表'!K$19:K$33),SUMIF('数据-汇总表'!C$19:C$33,A8,'数据-汇总表'!N$19:N$33))</f>
        <v>0</v>
      </c>
      <c r="T8" s="1443">
        <f t="shared" si="5"/>
        <v>0</v>
      </c>
      <c r="U8" s="805">
        <f>'比较法（办公）'!C50</f>
        <v>2</v>
      </c>
      <c r="V8" s="806">
        <v>0.03</v>
      </c>
      <c r="W8" s="806">
        <v>0.05</v>
      </c>
      <c r="X8" s="1261"/>
      <c r="Y8" s="807">
        <f>N8</f>
        <v>0.6</v>
      </c>
      <c r="Z8" s="81"/>
      <c r="AA8" s="74"/>
      <c r="AB8" s="74"/>
      <c r="AC8" s="1261"/>
      <c r="AD8" s="82"/>
      <c r="AE8" s="1262">
        <f t="shared" ca="1" si="6"/>
        <v>18.73</v>
      </c>
      <c r="AF8" s="1804"/>
      <c r="AG8" s="147">
        <f t="shared" si="7"/>
        <v>0</v>
      </c>
      <c r="AH8" s="808">
        <f>'数据-基础表'!M5</f>
        <v>1108.4000000000001</v>
      </c>
      <c r="AI8" s="85">
        <v>365</v>
      </c>
      <c r="AJ8" s="86"/>
      <c r="AK8" s="809">
        <f>AK6</f>
        <v>1.4999999999999999E-2</v>
      </c>
      <c r="AL8" s="810">
        <f>AL6</f>
        <v>1.5E-3</v>
      </c>
      <c r="AM8" s="811">
        <f>AM6</f>
        <v>0.01</v>
      </c>
      <c r="AN8" s="2306" t="s">
        <v>3148</v>
      </c>
      <c r="AO8" s="55">
        <f t="shared" ca="1" si="8"/>
        <v>986</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t="str">
        <f>'数据-汇总表'!C22</f>
        <v>商业4</v>
      </c>
      <c r="B9" s="2304" t="str">
        <f t="shared" si="1"/>
        <v>经营性</v>
      </c>
      <c r="C9" s="2305" t="s">
        <v>1369</v>
      </c>
      <c r="D9" s="1051">
        <f>SUMIF(项目基本情况!D$12:I$12,C9,项目基本情况!D$14:I$14)</f>
        <v>40</v>
      </c>
      <c r="E9" s="1048">
        <f>IF(B9="","",SUMIF(项目基本情况!D$12:I$12,C9,项目基本情况!D$13:I$13))</f>
        <v>50761</v>
      </c>
      <c r="F9" s="72">
        <f>SUMIF(项目基本情况!D$12:I$12,C9,项目基本情况!D$15:I$15)</f>
        <v>18.73</v>
      </c>
      <c r="G9" s="73">
        <f t="shared" si="2"/>
        <v>0</v>
      </c>
      <c r="H9" s="74"/>
      <c r="I9" s="74"/>
      <c r="J9" s="74"/>
      <c r="K9" s="1251">
        <f>SUMIF('数据-汇总表'!C$19:C$33,A9,'数据-汇总表'!E$19:E$33)</f>
        <v>26.9</v>
      </c>
      <c r="L9" s="803"/>
      <c r="M9" s="75">
        <f t="shared" si="0"/>
        <v>0</v>
      </c>
      <c r="N9" s="801">
        <f>N6</f>
        <v>0.6</v>
      </c>
      <c r="O9" s="75" t="str">
        <f t="shared" si="3"/>
        <v>——</v>
      </c>
      <c r="P9" s="76" t="str">
        <f t="shared" si="4"/>
        <v>——</v>
      </c>
      <c r="Q9" s="90"/>
      <c r="R9" s="77">
        <f ca="1">SUMIF('数据-汇总表'!C$19:C$33,A9,'数据-汇总表'!R$19:R$27)</f>
        <v>108.51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t="str">
        <f>'数据-汇总表'!C23</f>
        <v>商业5</v>
      </c>
      <c r="B10" s="2304" t="str">
        <f t="shared" si="1"/>
        <v>经营性</v>
      </c>
      <c r="C10" s="2305" t="s">
        <v>1369</v>
      </c>
      <c r="D10" s="1051">
        <f>SUMIF(项目基本情况!D$12:I$12,C10,项目基本情况!D$14:I$14)</f>
        <v>40</v>
      </c>
      <c r="E10" s="1048">
        <f>IF(B10="","",SUMIF(项目基本情况!D$12:I$12,C10,项目基本情况!D$13:I$13))</f>
        <v>50761</v>
      </c>
      <c r="F10" s="72">
        <f>SUMIF(项目基本情况!D$12:I$12,C10,项目基本情况!D$15:I$15)</f>
        <v>18.73</v>
      </c>
      <c r="G10" s="73">
        <f t="shared" si="2"/>
        <v>0</v>
      </c>
      <c r="H10" s="74"/>
      <c r="I10" s="74"/>
      <c r="J10" s="74"/>
      <c r="K10" s="1251">
        <f>SUMIF('数据-汇总表'!C$19:C$33,A10,'数据-汇总表'!E$19:E$33)</f>
        <v>72.7</v>
      </c>
      <c r="L10" s="803"/>
      <c r="M10" s="75">
        <f t="shared" si="0"/>
        <v>0</v>
      </c>
      <c r="N10" s="801">
        <f>N6</f>
        <v>0.6</v>
      </c>
      <c r="O10" s="75" t="str">
        <f t="shared" si="3"/>
        <v>——</v>
      </c>
      <c r="P10" s="76" t="str">
        <f t="shared" si="4"/>
        <v>——</v>
      </c>
      <c r="Q10" s="90"/>
      <c r="R10" s="77">
        <f ca="1">SUMIF('数据-汇总表'!C$19:C$33,A10,'数据-汇总表'!R$19:R$27)</f>
        <v>293.27</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t="str">
        <f>'数据-汇总表'!C24</f>
        <v>商业6</v>
      </c>
      <c r="B11" s="2304" t="str">
        <f t="shared" si="1"/>
        <v>经营性</v>
      </c>
      <c r="C11" s="2305" t="s">
        <v>1369</v>
      </c>
      <c r="D11" s="1051">
        <f>SUMIF(项目基本情况!D$12:I$12,C11,项目基本情况!D$14:I$14)</f>
        <v>40</v>
      </c>
      <c r="E11" s="1048">
        <f>IF(B11="","",SUMIF(项目基本情况!D$12:I$12,C11,项目基本情况!D$13:I$13))</f>
        <v>50761</v>
      </c>
      <c r="F11" s="72">
        <f>SUMIF(项目基本情况!D$12:I$12,C11,项目基本情况!D$15:I$15)</f>
        <v>18.73</v>
      </c>
      <c r="G11" s="73">
        <f t="shared" si="2"/>
        <v>0.65700000000000003</v>
      </c>
      <c r="H11" s="74">
        <f>H6</f>
        <v>0.04</v>
      </c>
      <c r="I11" s="74">
        <f>I6</f>
        <v>0.05</v>
      </c>
      <c r="J11" s="74">
        <f>J6</f>
        <v>7.0000000000000007E-2</v>
      </c>
      <c r="K11" s="1251">
        <f>SUMIF('数据-汇总表'!C$19:C$33,A11,'数据-汇总表'!E$19:E$33)</f>
        <v>1310.5999999999999</v>
      </c>
      <c r="L11" s="91">
        <v>1800</v>
      </c>
      <c r="M11" s="75">
        <f t="shared" si="0"/>
        <v>236</v>
      </c>
      <c r="N11" s="92">
        <v>0.9</v>
      </c>
      <c r="O11" s="75" t="str">
        <f t="shared" si="3"/>
        <v>——</v>
      </c>
      <c r="P11" s="76" t="str">
        <f t="shared" si="4"/>
        <v>——</v>
      </c>
      <c r="Q11" s="90">
        <f>Q6</f>
        <v>0.15</v>
      </c>
      <c r="R11" s="77">
        <f ca="1">SUMIF('数据-汇总表'!C$19:C$33,A11,'数据-汇总表'!R$19:R$27)</f>
        <v>5286.91</v>
      </c>
      <c r="S11" s="54">
        <f>IF('数据-汇总表'!$I$17="按面积比例",SUMIF('数据-汇总表'!C$19:C$33,A11,'数据-汇总表'!K$19:K$33),SUMIF('数据-汇总表'!C$19:C$33,A11,'数据-汇总表'!N$19:N$33))</f>
        <v>0</v>
      </c>
      <c r="T11" s="1443">
        <f t="shared" si="5"/>
        <v>0</v>
      </c>
      <c r="U11" s="83">
        <v>2.5</v>
      </c>
      <c r="V11" s="74">
        <f>V6</f>
        <v>2.5000000000000001E-2</v>
      </c>
      <c r="W11" s="74">
        <f>W6</f>
        <v>0.1</v>
      </c>
      <c r="X11" s="1261"/>
      <c r="Y11" s="80">
        <v>0.9</v>
      </c>
      <c r="Z11" s="93"/>
      <c r="AA11" s="74"/>
      <c r="AB11" s="74"/>
      <c r="AC11" s="1261"/>
      <c r="AD11" s="82"/>
      <c r="AE11" s="1262">
        <f t="shared" ca="1" si="6"/>
        <v>18.73</v>
      </c>
      <c r="AF11" s="1804"/>
      <c r="AG11" s="147">
        <f t="shared" si="7"/>
        <v>0</v>
      </c>
      <c r="AH11" s="83">
        <f>'数据-汇总表'!E24</f>
        <v>1310.5999999999999</v>
      </c>
      <c r="AI11" s="85">
        <v>365</v>
      </c>
      <c r="AJ11" s="86"/>
      <c r="AK11" s="94">
        <f>AK6</f>
        <v>1.4999999999999999E-2</v>
      </c>
      <c r="AL11" s="95">
        <f>AL6</f>
        <v>1.5E-3</v>
      </c>
      <c r="AM11" s="96">
        <f>AM6</f>
        <v>0.01</v>
      </c>
      <c r="AN11" s="2306" t="s">
        <v>3186</v>
      </c>
      <c r="AO11" s="55">
        <f t="shared" ca="1" si="8"/>
        <v>1333</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2003</v>
      </c>
      <c r="B14" s="2304" t="s">
        <v>2004</v>
      </c>
      <c r="C14" s="2309"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2005</v>
      </c>
      <c r="B15" s="2304" t="s">
        <v>2004</v>
      </c>
      <c r="C15" s="2309"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2007</v>
      </c>
      <c r="B16" s="97"/>
      <c r="C16" s="1005"/>
      <c r="D16" s="2311"/>
      <c r="E16" s="97"/>
      <c r="F16" s="97"/>
      <c r="G16" s="98">
        <f>ROUND(SUMPRODUCT(G6:G13,K6:K13)/SUMPRODUCT((G6:G13&gt;0)*(K6:K13)),3)</f>
        <v>0.63400000000000001</v>
      </c>
      <c r="H16" s="99">
        <f>ROUND(SUMPRODUCT(H6:H13,K6:K13)/SUMPRODUCT((H6:H13&gt;0)*(K6:K13)),3)</f>
        <v>0.04</v>
      </c>
      <c r="I16" s="100"/>
      <c r="J16" s="100"/>
      <c r="K16" s="101">
        <f>SUM(K6:K15)</f>
        <v>2602.9</v>
      </c>
      <c r="L16" s="102">
        <f>ROUND(M16*10000/SUM(K6:K14),0)</f>
        <v>1567</v>
      </c>
      <c r="M16" s="102">
        <f>SUM(M6:M14)</f>
        <v>408</v>
      </c>
      <c r="N16" s="103">
        <f>ROUND(SUMPRODUCT(M6:M14,N6:N14)/M16,3)</f>
        <v>0.77400000000000002</v>
      </c>
      <c r="O16" s="102">
        <f>SUM(O6:O14)</f>
        <v>0</v>
      </c>
      <c r="P16" s="102">
        <f>SUM(P6:P14)</f>
        <v>0</v>
      </c>
      <c r="Q16" s="104">
        <f>ROUND(SUMPRODUCT(Q6:Q13,K6:K13)/SUMPRODUCT((Q6:Q13&gt;0)*(K6:K13)),2)</f>
        <v>0.17</v>
      </c>
      <c r="R16" s="1255">
        <f ca="1">SUM(R6:R13)</f>
        <v>10499.99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2009</v>
      </c>
      <c r="B19" s="112">
        <v>0</v>
      </c>
      <c r="C19" s="2274" t="s">
        <v>2010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2011</v>
      </c>
      <c r="B20" s="113">
        <v>1</v>
      </c>
      <c r="C20" s="2274" t="s">
        <v>2012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2013</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2014</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2015</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2017</v>
      </c>
      <c r="B26" s="2317" t="s">
        <v>2018</v>
      </c>
      <c r="C26" s="2318" t="s">
        <v>2019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2020</v>
      </c>
      <c r="B27" s="116"/>
      <c r="C27" s="1764" t="s">
        <v>2021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2022</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2023</v>
      </c>
      <c r="B29" s="121"/>
      <c r="C29" s="1764" t="s">
        <v>2024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2028</v>
      </c>
      <c r="B33" s="726">
        <v>0.03</v>
      </c>
      <c r="C33" s="1763" t="s">
        <v>2029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2030</v>
      </c>
      <c r="B34" s="122">
        <v>0</v>
      </c>
      <c r="C34" s="1763" t="s">
        <v>2031</v>
      </c>
      <c r="D34" s="2275" t="s">
        <v>2032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2033</v>
      </c>
      <c r="B35" s="119">
        <v>200</v>
      </c>
      <c r="C35" s="1763" t="s">
        <v>2034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2035</v>
      </c>
      <c r="B36" s="123">
        <v>1.4999999999999999E-2</v>
      </c>
      <c r="C36" s="1763" t="s">
        <v>2036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2037</v>
      </c>
      <c r="B37" s="124">
        <v>0.01</v>
      </c>
      <c r="C37" s="1763" t="s">
        <v>2038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2039</v>
      </c>
      <c r="B38" s="122">
        <v>0.01</v>
      </c>
      <c r="C38" s="1763" t="s">
        <v>2038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2041</v>
      </c>
      <c r="B40" s="1300">
        <f ca="1">存贷款利率!G1</f>
        <v>4.3499999999999997E-2</v>
      </c>
      <c r="C40" s="1763" t="s">
        <v>2042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2043</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2045</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2046</v>
      </c>
      <c r="B44" s="128">
        <v>0.05</v>
      </c>
      <c r="C44" s="1763" t="s">
        <v>2047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2048</v>
      </c>
      <c r="B45" s="126">
        <v>0.03</v>
      </c>
      <c r="C45" s="1764" t="s">
        <v>2049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2050</v>
      </c>
      <c r="B46" s="126">
        <v>0.02</v>
      </c>
      <c r="C46" s="1764" t="s">
        <v>2051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2052</v>
      </c>
      <c r="B47" s="129"/>
      <c r="C47" s="1764" t="s">
        <v>2053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2054</v>
      </c>
      <c r="B48" s="130">
        <v>0.03</v>
      </c>
      <c r="C48" s="1771" t="s">
        <v>2055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2056</v>
      </c>
      <c r="B49" s="126">
        <v>5.0000000000000001E-4</v>
      </c>
      <c r="C49" s="1771" t="s">
        <v>2057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2061</v>
      </c>
      <c r="B53" s="2333" t="s">
        <v>56</v>
      </c>
      <c r="C53" s="1427" t="s">
        <v>2062</v>
      </c>
      <c r="D53" s="2334" t="s">
        <v>2063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10" t="s">
        <v>2074</v>
      </c>
      <c r="B1" s="3111"/>
      <c r="C1" s="3111"/>
      <c r="D1" s="3111"/>
      <c r="E1" s="3111"/>
      <c r="F1" s="3111"/>
      <c r="G1" s="311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3"/>
      <c r="G2" s="2361" t="s">
        <v>2076</v>
      </c>
      <c r="H2" s="2364"/>
      <c r="I2" s="2364"/>
      <c r="J2" s="2364"/>
      <c r="K2" s="2364"/>
      <c r="L2" s="2364"/>
      <c r="M2" s="2364"/>
      <c r="N2" s="2364"/>
      <c r="O2" s="2364"/>
      <c r="P2" s="2364"/>
      <c r="Q2" s="2364"/>
      <c r="R2" s="2364"/>
    </row>
    <row r="3" spans="1:29" ht="54">
      <c r="A3" s="415" t="s">
        <v>2077</v>
      </c>
      <c r="B3" s="1268" t="s">
        <v>2078</v>
      </c>
      <c r="C3" s="2366" t="s">
        <v>2079</v>
      </c>
      <c r="D3" s="2367"/>
      <c r="E3" s="431" t="s">
        <v>2077</v>
      </c>
      <c r="F3" s="2368" t="s">
        <v>2080</v>
      </c>
      <c r="G3" s="2369" t="s">
        <v>2081</v>
      </c>
      <c r="H3" s="2364"/>
      <c r="I3" s="2364"/>
      <c r="J3" s="2364"/>
      <c r="K3" s="2364"/>
      <c r="L3" s="2364"/>
      <c r="M3" s="2364"/>
      <c r="N3" s="2364"/>
      <c r="O3" s="2364"/>
      <c r="P3" s="2364"/>
      <c r="Q3" s="2364"/>
      <c r="R3" s="2364"/>
    </row>
    <row r="4" spans="1:29" ht="40.5">
      <c r="A4" s="431"/>
      <c r="B4" s="1795" t="s">
        <v>2082</v>
      </c>
      <c r="C4" s="3002" t="s">
        <v>3112</v>
      </c>
      <c r="D4" s="2367"/>
      <c r="E4" s="2370"/>
      <c r="F4" s="42" t="s">
        <v>2083</v>
      </c>
      <c r="G4" s="2371" t="s">
        <v>2084</v>
      </c>
      <c r="H4" s="2364"/>
      <c r="I4" s="2364"/>
      <c r="J4" s="2364"/>
      <c r="K4" s="2364"/>
      <c r="L4" s="2364"/>
      <c r="M4" s="2364"/>
      <c r="N4" s="2364"/>
      <c r="O4" s="2364"/>
      <c r="P4" s="2364"/>
      <c r="Q4" s="2364"/>
      <c r="R4" s="2364"/>
    </row>
    <row r="5" spans="1:29" ht="40.5">
      <c r="A5" s="431"/>
      <c r="B5" s="1795" t="s">
        <v>2085</v>
      </c>
      <c r="C5" s="3002" t="s">
        <v>3113</v>
      </c>
      <c r="D5" s="2367"/>
      <c r="E5" s="2370"/>
      <c r="F5" s="1795" t="s">
        <v>2086</v>
      </c>
      <c r="G5" s="2371" t="s">
        <v>2087</v>
      </c>
      <c r="H5" s="2364"/>
      <c r="I5" s="2364"/>
      <c r="J5" s="2364"/>
      <c r="K5" s="2364"/>
      <c r="L5" s="2364"/>
      <c r="M5" s="2364"/>
      <c r="N5" s="2364"/>
      <c r="O5" s="2364"/>
      <c r="P5" s="2364"/>
      <c r="Q5" s="2364"/>
      <c r="R5" s="2364"/>
    </row>
    <row r="6" spans="1:29" ht="54">
      <c r="A6" s="431"/>
      <c r="B6" s="1795" t="s">
        <v>2088</v>
      </c>
      <c r="C6" s="3003" t="s">
        <v>3114</v>
      </c>
      <c r="D6" s="2367"/>
      <c r="E6" s="2370"/>
      <c r="F6" s="1795" t="s">
        <v>2089</v>
      </c>
      <c r="G6" s="2371" t="s">
        <v>2090</v>
      </c>
      <c r="H6" s="2364"/>
      <c r="I6" s="2364"/>
      <c r="J6" s="2364"/>
      <c r="K6" s="2364"/>
      <c r="L6" s="2364"/>
      <c r="M6" s="2364"/>
      <c r="N6" s="2364"/>
      <c r="O6" s="2364"/>
      <c r="P6" s="2364"/>
      <c r="Q6" s="2364"/>
      <c r="R6" s="2364"/>
    </row>
    <row r="7" spans="1:29" ht="41.25" thickBot="1">
      <c r="A7" s="431"/>
      <c r="B7" s="1795" t="s">
        <v>2086</v>
      </c>
      <c r="C7" s="3003" t="s">
        <v>3115</v>
      </c>
      <c r="D7" s="2372"/>
      <c r="E7" s="2373"/>
      <c r="F7" s="2374" t="s">
        <v>2091</v>
      </c>
      <c r="G7" s="2375" t="s">
        <v>2092</v>
      </c>
      <c r="H7" s="2364"/>
      <c r="I7" s="2364"/>
      <c r="J7" s="2364"/>
      <c r="K7" s="2364"/>
      <c r="L7" s="2364"/>
      <c r="M7" s="2364"/>
      <c r="N7" s="2364"/>
      <c r="O7" s="2364"/>
      <c r="P7" s="2364"/>
      <c r="Q7" s="2364"/>
      <c r="R7" s="2364"/>
    </row>
    <row r="8" spans="1:29" ht="15">
      <c r="A8" s="431"/>
      <c r="B8" s="1795" t="s">
        <v>2089</v>
      </c>
      <c r="C8" s="3003" t="s">
        <v>3117</v>
      </c>
      <c r="D8" s="2372"/>
      <c r="E8" s="2372"/>
      <c r="F8" s="1133"/>
      <c r="G8" s="1133"/>
      <c r="H8" s="2364"/>
      <c r="I8" s="2364"/>
      <c r="J8" s="2364"/>
      <c r="K8" s="2364"/>
      <c r="L8" s="2364"/>
      <c r="M8" s="2364"/>
      <c r="N8" s="2364"/>
      <c r="O8" s="2364"/>
      <c r="P8" s="2364"/>
      <c r="Q8" s="2364"/>
      <c r="R8" s="2364"/>
    </row>
    <row r="9" spans="1:29" ht="54">
      <c r="A9" s="431"/>
      <c r="B9" s="1795" t="s">
        <v>2093</v>
      </c>
      <c r="C9" s="3002" t="s">
        <v>3118</v>
      </c>
      <c r="D9" s="2367"/>
      <c r="E9" s="2372"/>
      <c r="F9" s="1133"/>
      <c r="G9" s="1133"/>
      <c r="H9" s="2364"/>
      <c r="I9" s="2364"/>
      <c r="J9" s="2364"/>
      <c r="K9" s="2364"/>
      <c r="L9" s="2364"/>
      <c r="M9" s="2364"/>
      <c r="N9" s="2364"/>
      <c r="O9" s="2364"/>
      <c r="P9" s="2364"/>
      <c r="Q9" s="2364"/>
      <c r="R9" s="2364"/>
    </row>
    <row r="10" spans="1:29" s="117" customFormat="1" ht="15.75" thickBot="1">
      <c r="A10" s="2376"/>
      <c r="B10" s="2377" t="s">
        <v>2094</v>
      </c>
      <c r="C10" s="3004" t="s">
        <v>3119</v>
      </c>
      <c r="D10" s="2367"/>
      <c r="E10" s="2367"/>
      <c r="F10" s="1133"/>
      <c r="G10" s="1133"/>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1"/>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1"/>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67" t="s">
        <v>2078</v>
      </c>
      <c r="C15" s="2397" t="str">
        <f>C3</f>
        <v>估价对象周边居住用地比例、居住小区规模和社区发展完善程度，综合评价居住社区成熟度一般</v>
      </c>
      <c r="D15" s="2367"/>
      <c r="E15" s="2398" t="s">
        <v>2099</v>
      </c>
      <c r="F15" s="1267" t="s">
        <v>2100</v>
      </c>
      <c r="G15" s="135" t="str">
        <f>G3</f>
        <v>估价对象位于XX开发区，园区建设成熟度XX，产业集聚程度XX</v>
      </c>
    </row>
    <row r="16" spans="1:29" ht="42.75">
      <c r="A16" s="645"/>
      <c r="B16" s="2399" t="s">
        <v>2082</v>
      </c>
      <c r="C16" s="2400" t="str">
        <f>C4</f>
        <v>估价对象周边商业氛围较成熟，人流量较少，商业繁华度一般</v>
      </c>
      <c r="D16" s="2367"/>
      <c r="E16" s="2401"/>
      <c r="F16" s="2402" t="s">
        <v>2083</v>
      </c>
      <c r="G16" s="136" t="str">
        <f>G4</f>
        <v>估价对象周边道路状况、公共交通通达情况、停车便捷程度，综合评价交通便捷度较好</v>
      </c>
    </row>
    <row r="17" spans="1:18" ht="42.75">
      <c r="A17" s="645"/>
      <c r="B17" s="2399" t="s">
        <v>2085</v>
      </c>
      <c r="C17" s="2400" t="str">
        <f>C5</f>
        <v>估价对象周边办公楼项目较少，入驻率一般，办公集聚程度一般</v>
      </c>
      <c r="D17" s="2372"/>
      <c r="E17" s="2401"/>
      <c r="F17" s="2402" t="s">
        <v>2101</v>
      </c>
      <c r="G17" s="1569"/>
    </row>
    <row r="18" spans="1:18" ht="57">
      <c r="A18" s="645"/>
      <c r="B18" s="2402" t="s">
        <v>2088</v>
      </c>
      <c r="C18" s="136" t="str">
        <f>C6</f>
        <v>估价对象周边有h08路、h40路、h63路、h70路等多条公交线路、项目内可停车，综合评价交通便捷度一般</v>
      </c>
      <c r="D18" s="2372"/>
      <c r="E18" s="2401"/>
      <c r="F18" s="2402" t="s">
        <v>2091</v>
      </c>
      <c r="G18" s="136" t="str">
        <f>G7</f>
        <v>该园区内是否有污染型企业，绿化情况，卫生条件，整体环境状况判断</v>
      </c>
    </row>
    <row r="19" spans="1:18" ht="28.5">
      <c r="A19" s="645"/>
      <c r="B19" s="2402" t="s">
        <v>2102</v>
      </c>
      <c r="C19" s="1569"/>
      <c r="D19" s="2367"/>
      <c r="E19" s="2401"/>
      <c r="F19" s="1795" t="s">
        <v>2086</v>
      </c>
      <c r="G19" s="136" t="str">
        <f>G5</f>
        <v>估价对象所在区域公共配套设施齐备情况</v>
      </c>
    </row>
    <row r="20" spans="1:18" ht="57">
      <c r="A20" s="645"/>
      <c r="B20" s="2402" t="s">
        <v>2103</v>
      </c>
      <c r="C20" s="2400" t="str">
        <f>C9</f>
        <v>区域自然环境：城南公园、怀河；人文环境：郑重庄社区村委会；综合评价环境状况一般</v>
      </c>
      <c r="D20" s="2372"/>
      <c r="E20" s="2401"/>
      <c r="F20" s="1795" t="s">
        <v>2104</v>
      </c>
      <c r="G20" s="136" t="str">
        <f>G6</f>
        <v>估价对象所在区域基础设施水平</v>
      </c>
    </row>
    <row r="21" spans="1:18" ht="28.5">
      <c r="A21" s="645"/>
      <c r="B21" s="1795" t="s">
        <v>2086</v>
      </c>
      <c r="C21" s="136" t="str">
        <f>C7</f>
        <v>估价对象所在区域公共配套设施齐备情况一般</v>
      </c>
      <c r="D21" s="2367"/>
      <c r="E21" s="2401"/>
      <c r="F21" s="2402" t="s">
        <v>2105</v>
      </c>
      <c r="G21" s="2403"/>
    </row>
    <row r="22" spans="1:18" ht="13.5" customHeight="1">
      <c r="A22" s="645"/>
      <c r="B22" s="1795" t="s">
        <v>2089</v>
      </c>
      <c r="C22" s="136" t="str">
        <f>C8</f>
        <v>六通</v>
      </c>
      <c r="D22" s="2367"/>
      <c r="E22" s="2401"/>
      <c r="F22" s="2402" t="s">
        <v>2094</v>
      </c>
      <c r="G22" s="1569"/>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t="str">
        <f>C10</f>
        <v>城市次干道——富密路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42.7</v>
      </c>
      <c r="C1" s="1742"/>
      <c r="D1" s="1742"/>
      <c r="E1" s="1742"/>
      <c r="F1" s="1742"/>
      <c r="G1" s="1740"/>
    </row>
    <row r="2" spans="1:10" ht="16.5">
      <c r="A2" s="1743" t="s">
        <v>1345</v>
      </c>
      <c r="B2" s="1743">
        <f>SUM(C14:C23)</f>
        <v>172.25</v>
      </c>
      <c r="C2" s="1742"/>
      <c r="D2" s="1742"/>
      <c r="E2" s="1742"/>
      <c r="F2" s="1742"/>
      <c r="G2" s="1740"/>
    </row>
    <row r="3" spans="1:10" ht="16.5">
      <c r="A3" s="1743" t="s">
        <v>1354</v>
      </c>
      <c r="B3" s="1744">
        <f>项目基本情况!D3</f>
        <v>43922</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86</v>
      </c>
      <c r="C5" s="1743">
        <f ca="1">ROUND(B5*10000/$B$1,0)</f>
        <v>20141</v>
      </c>
      <c r="D5" s="1743">
        <f ca="1">ROUND(B5*10000/$B$2,0)</f>
        <v>4993</v>
      </c>
      <c r="E5" s="1742"/>
      <c r="F5" s="1740"/>
      <c r="G5" s="1740"/>
    </row>
    <row r="6" spans="1:10" ht="16.5">
      <c r="A6" s="1743" t="s">
        <v>1348</v>
      </c>
      <c r="B6" s="1743">
        <f ca="1">SUM(G14:G23)</f>
        <v>86</v>
      </c>
      <c r="C6" s="1743">
        <f ca="1">ROUND(B6*10000/$B$1,0)</f>
        <v>20141</v>
      </c>
      <c r="D6" s="1743">
        <f ca="1">ROUND(B6*10000/$B$2,0)</f>
        <v>4993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42.7</v>
      </c>
      <c r="C14" s="1741">
        <f>结果表!C118</f>
        <v>172.25</v>
      </c>
      <c r="D14" s="1741">
        <f ca="1">结果表!H118</f>
        <v>86</v>
      </c>
      <c r="E14" s="1741">
        <f ca="1">ROUND(D14*10000/B14,0)</f>
        <v>20141</v>
      </c>
      <c r="F14" s="1741">
        <f ca="1">ROUND(D14*10000/C14,0)</f>
        <v>4993</v>
      </c>
      <c r="G14" s="1741">
        <f ca="1">结果表!D122</f>
        <v>86</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5" sqref="D5:D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2108</v>
      </c>
      <c r="B1" s="2413"/>
      <c r="C1" s="2414" t="s">
        <v>3095</v>
      </c>
      <c r="D1" s="2413"/>
      <c r="E1" s="2413"/>
      <c r="F1" s="2415" t="s">
        <v>2109</v>
      </c>
      <c r="G1" s="2070" t="s">
        <v>3164</v>
      </c>
      <c r="H1" s="2416" t="str">
        <f>IF(G1="现房","——","估价对象范围")</f>
        <v>——</v>
      </c>
      <c r="I1" s="2417"/>
    </row>
    <row r="2" spans="1:12" ht="21.75" customHeight="1" thickBot="1">
      <c r="A2" s="3184" t="str">
        <f>项目基本情况!S2</f>
        <v>北京市怀柔区庙城镇郑重庄636号房地产</v>
      </c>
      <c r="B2" s="3185"/>
      <c r="C2" s="3185"/>
      <c r="D2" s="3185"/>
      <c r="E2" s="3185"/>
      <c r="F2" s="3185"/>
      <c r="G2" s="3185"/>
      <c r="H2" s="3185"/>
      <c r="I2" s="3186"/>
    </row>
    <row r="3" spans="1:12" ht="12.75">
      <c r="A3" s="3187" t="s">
        <v>2110</v>
      </c>
      <c r="B3" s="3188"/>
      <c r="C3" s="3188"/>
      <c r="D3" s="3188"/>
      <c r="E3" s="3188"/>
      <c r="F3" s="3188"/>
      <c r="G3" s="3188"/>
      <c r="H3" s="3188"/>
      <c r="I3" s="3188"/>
    </row>
    <row r="4" spans="1:12" ht="14.25">
      <c r="A4" s="2420" t="s">
        <v>2111</v>
      </c>
      <c r="B4" s="2421" t="s">
        <v>2112</v>
      </c>
      <c r="C4" s="2422" t="s">
        <v>3093</v>
      </c>
      <c r="D4" s="2422" t="s">
        <v>3104</v>
      </c>
      <c r="E4" s="3168" t="s">
        <v>2113</v>
      </c>
      <c r="F4" s="3181"/>
      <c r="G4" s="3181"/>
      <c r="H4" s="3181"/>
      <c r="I4" s="316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59" t="s">
        <v>2114</v>
      </c>
      <c r="B5" s="3085">
        <v>25</v>
      </c>
      <c r="C5" s="3191">
        <v>0.35</v>
      </c>
      <c r="D5" s="3193">
        <f>1-C5</f>
        <v>0.65</v>
      </c>
      <c r="E5" s="140" t="s">
        <v>2115</v>
      </c>
      <c r="F5" s="2424"/>
      <c r="G5" s="2424"/>
      <c r="H5" s="2424"/>
      <c r="I5" s="1831"/>
    </row>
    <row r="6" spans="1:12" ht="12.75">
      <c r="A6" s="3159"/>
      <c r="B6" s="3085"/>
      <c r="C6" s="3192"/>
      <c r="D6" s="3193"/>
      <c r="E6" s="140" t="s">
        <v>2116</v>
      </c>
      <c r="F6" s="2424"/>
      <c r="G6" s="2424"/>
      <c r="H6" s="2424"/>
      <c r="I6" s="1831"/>
    </row>
    <row r="7" spans="1:12" ht="12.75">
      <c r="A7" s="3159"/>
      <c r="B7" s="3085"/>
      <c r="C7" s="3190"/>
      <c r="D7" s="3193"/>
      <c r="E7" s="140" t="s">
        <v>2117</v>
      </c>
      <c r="F7" s="2424"/>
      <c r="G7" s="2424"/>
      <c r="H7" s="2424"/>
      <c r="I7" s="1831"/>
    </row>
    <row r="8" spans="1:12" ht="12.75">
      <c r="A8" s="3159" t="s">
        <v>2118</v>
      </c>
      <c r="B8" s="3085">
        <v>15</v>
      </c>
      <c r="C8" s="3189"/>
      <c r="D8" s="3177"/>
      <c r="E8" s="140" t="s">
        <v>2119</v>
      </c>
      <c r="F8" s="2424"/>
      <c r="G8" s="2424"/>
      <c r="H8" s="2424"/>
      <c r="I8" s="1831"/>
    </row>
    <row r="9" spans="1:12" ht="12.75">
      <c r="A9" s="3159"/>
      <c r="B9" s="3085"/>
      <c r="C9" s="3190"/>
      <c r="D9" s="3177"/>
      <c r="E9" s="140" t="s">
        <v>2120</v>
      </c>
      <c r="F9" s="2424"/>
      <c r="G9" s="2424"/>
      <c r="H9" s="2424"/>
      <c r="I9" s="1831"/>
    </row>
    <row r="10" spans="1:12" ht="12.75">
      <c r="A10" s="3159" t="s">
        <v>2121</v>
      </c>
      <c r="B10" s="3085">
        <v>15</v>
      </c>
      <c r="C10" s="3189"/>
      <c r="D10" s="3177"/>
      <c r="E10" s="140" t="s">
        <v>2122</v>
      </c>
      <c r="F10" s="2424"/>
      <c r="G10" s="2424"/>
      <c r="H10" s="2424"/>
      <c r="I10" s="1831"/>
    </row>
    <row r="11" spans="1:12" ht="12.75">
      <c r="A11" s="3159"/>
      <c r="B11" s="3085"/>
      <c r="C11" s="3190"/>
      <c r="D11" s="3177"/>
      <c r="E11" s="140" t="s">
        <v>2123</v>
      </c>
      <c r="F11" s="2424"/>
      <c r="G11" s="2424"/>
      <c r="H11" s="2424"/>
      <c r="I11" s="1831"/>
    </row>
    <row r="12" spans="1:12" ht="12.75">
      <c r="A12" s="3159" t="s">
        <v>2124</v>
      </c>
      <c r="B12" s="3085">
        <v>15</v>
      </c>
      <c r="C12" s="3189"/>
      <c r="D12" s="3177"/>
      <c r="E12" s="140" t="s">
        <v>2125</v>
      </c>
      <c r="F12" s="2424"/>
      <c r="G12" s="2424"/>
      <c r="H12" s="2424"/>
      <c r="I12" s="1831"/>
    </row>
    <row r="13" spans="1:12" ht="12.75">
      <c r="A13" s="3159"/>
      <c r="B13" s="3085"/>
      <c r="C13" s="3190"/>
      <c r="D13" s="3177"/>
      <c r="E13" s="140" t="s">
        <v>2126</v>
      </c>
      <c r="F13" s="2424"/>
      <c r="G13" s="2424"/>
      <c r="H13" s="2424"/>
      <c r="I13" s="1831"/>
    </row>
    <row r="14" spans="1:12" ht="12.75">
      <c r="A14" s="3159" t="s">
        <v>2127</v>
      </c>
      <c r="B14" s="3085">
        <v>30</v>
      </c>
      <c r="C14" s="3189"/>
      <c r="D14" s="3177"/>
      <c r="E14" s="140" t="s">
        <v>2128</v>
      </c>
      <c r="F14" s="2424"/>
      <c r="G14" s="2424"/>
      <c r="H14" s="2424"/>
      <c r="I14" s="1831"/>
    </row>
    <row r="15" spans="1:12" ht="12.75">
      <c r="A15" s="3159"/>
      <c r="B15" s="3085"/>
      <c r="C15" s="3192"/>
      <c r="D15" s="3177"/>
      <c r="E15" s="140" t="s">
        <v>2129</v>
      </c>
      <c r="F15" s="2424"/>
      <c r="G15" s="2424"/>
      <c r="H15" s="2424"/>
      <c r="I15" s="1831"/>
    </row>
    <row r="16" spans="1:12" ht="12.75">
      <c r="A16" s="3159"/>
      <c r="B16" s="3085"/>
      <c r="C16" s="3190"/>
      <c r="D16" s="3177"/>
      <c r="E16" s="140" t="s">
        <v>2130</v>
      </c>
      <c r="F16" s="2424"/>
      <c r="G16" s="2424"/>
      <c r="H16" s="2424"/>
      <c r="I16" s="1831"/>
    </row>
    <row r="17" spans="1:35" ht="15">
      <c r="A17" s="2425" t="s">
        <v>2131</v>
      </c>
      <c r="B17" s="64"/>
      <c r="C17" s="141">
        <f>SUM(C5:C16)</f>
        <v>0.35</v>
      </c>
      <c r="D17" s="141">
        <f>SUM(D5:D16)</f>
        <v>0.65</v>
      </c>
      <c r="E17" s="138"/>
      <c r="F17" s="138"/>
      <c r="G17" s="138"/>
      <c r="H17" s="138"/>
      <c r="I17" s="138"/>
      <c r="K17" s="2423"/>
      <c r="L17" s="2426" t="s">
        <v>2132</v>
      </c>
      <c r="M17" s="2426" t="s">
        <v>2133</v>
      </c>
    </row>
    <row r="18" spans="1:35" ht="15.75" thickBot="1">
      <c r="A18" s="2427" t="s">
        <v>2134</v>
      </c>
      <c r="B18" s="2428"/>
      <c r="C18" s="142">
        <f>ROUND(C17/SUM(C17:D17),2)</f>
        <v>0.35</v>
      </c>
      <c r="D18" s="142">
        <f>1-C18</f>
        <v>0.65</v>
      </c>
      <c r="E18" s="138"/>
      <c r="F18" s="138"/>
      <c r="G18" s="138"/>
      <c r="H18" s="138"/>
      <c r="I18" s="138"/>
      <c r="K18" s="2423" t="s">
        <v>2135</v>
      </c>
      <c r="L18" s="2423">
        <f>IF(C1="",'数据-汇总表'!E3,SUMIF(项目类型,C1,'数据-汇总表'!E17:E26)+SUMIF(项目类型,C1,'数据-汇总表'!I17:I26))</f>
        <v>42.7</v>
      </c>
      <c r="M18" s="2423">
        <f>IF(C1="",'数据-汇总表'!E3,SUMIF(项目类型,C1,'数据-汇总表'!E17:E26))</f>
        <v>42.7</v>
      </c>
    </row>
    <row r="19" spans="1:35" ht="15">
      <c r="A19" s="2429" t="s">
        <v>2136</v>
      </c>
      <c r="B19" s="2430" t="s">
        <v>2137</v>
      </c>
      <c r="C19" s="143">
        <f ca="1">SUMIF(INDIRECT("'"&amp;C4&amp;"'"&amp;"!A:A"),结果表!B19,INDIRECT("'"&amp;C4&amp;"'"&amp;"!B:B"))</f>
        <v>165</v>
      </c>
      <c r="D19" s="144">
        <f ca="1">SUMIF(INDIRECT("'"&amp;D4&amp;"'"&amp;"!A:A"),结果表!B19,INDIRECT("'"&amp;D4&amp;"'"&amp;"!B:B"))</f>
        <v>44</v>
      </c>
      <c r="E19" s="2429" t="s">
        <v>2138</v>
      </c>
      <c r="F19" s="2430" t="s">
        <v>2137</v>
      </c>
      <c r="G19" s="145">
        <f ca="1">ROUND(C19*$C$18+D19*$D$18,0)</f>
        <v>86</v>
      </c>
      <c r="H19" s="2431" t="s">
        <v>2139</v>
      </c>
      <c r="I19" s="138"/>
      <c r="K19" s="2423" t="s">
        <v>2140</v>
      </c>
      <c r="L19" s="2423">
        <f>IF(C1="",'数据-汇总表'!D3,SUMIF(项目类型,C1,'数据-汇总表'!D17:D26)+SUMIF(项目类型,C1,'数据-汇总表'!H17:H27))</f>
        <v>172.25</v>
      </c>
      <c r="M19" s="2423">
        <f>IF(C1="",'数据-汇总表'!D3,SUMIF(项目类型,C1,'数据-汇总表'!D17:D26))</f>
        <v>172.25</v>
      </c>
    </row>
    <row r="20" spans="1:35" ht="15">
      <c r="A20" s="2432"/>
      <c r="B20" s="1247" t="s">
        <v>2141</v>
      </c>
      <c r="C20" s="146">
        <f ca="1">SUMIF(INDIRECT("'"&amp;C4&amp;"'"&amp;"!A:A"),结果表!B20,INDIRECT("'"&amp;C4&amp;"'"&amp;"!B:B"))</f>
        <v>38642</v>
      </c>
      <c r="D20" s="147">
        <f ca="1">SUMIF(INDIRECT("'"&amp;D4&amp;"'"&amp;"!A:A"),结果表!B20,INDIRECT("'"&amp;D4&amp;"'"&amp;"!B:B"))</f>
        <v>10325</v>
      </c>
      <c r="E20" s="2432"/>
      <c r="F20" s="1247" t="s">
        <v>2141</v>
      </c>
      <c r="G20" s="148">
        <f ca="1">ROUND(C20*$C$18+D20*$D$18,0)</f>
        <v>20236</v>
      </c>
      <c r="H20" s="980" t="s">
        <v>2142</v>
      </c>
      <c r="I20" s="138"/>
    </row>
    <row r="21" spans="1:35" ht="15" customHeight="1" thickBot="1">
      <c r="A21" s="1000"/>
      <c r="B21" s="2433" t="s">
        <v>2143</v>
      </c>
      <c r="C21" s="789">
        <f ca="1">ROUND(C19*10000/L19,0)</f>
        <v>9579</v>
      </c>
      <c r="D21" s="790">
        <f ca="1">ROUND(D19*10000/L19,0)</f>
        <v>2554</v>
      </c>
      <c r="E21" s="1000"/>
      <c r="F21" s="2433" t="s">
        <v>2143</v>
      </c>
      <c r="G21" s="149">
        <f ca="1">ROUND(G19*10000/L19,0)</f>
        <v>4993</v>
      </c>
      <c r="H21" s="2434" t="s">
        <v>2142</v>
      </c>
      <c r="I21" s="138"/>
    </row>
    <row r="22" spans="1:35" ht="15" thickBot="1">
      <c r="A22" s="2278" t="s">
        <v>2144</v>
      </c>
      <c r="B22" s="2435"/>
      <c r="C22" s="2436"/>
      <c r="D22" s="791">
        <f ca="1">IF(C19&lt;D19,D19/C19-1,C19/D19-1)</f>
        <v>2.75</v>
      </c>
      <c r="E22" s="138"/>
      <c r="F22" s="138"/>
      <c r="G22" s="138"/>
      <c r="H22" s="138"/>
      <c r="I22" s="138"/>
    </row>
    <row r="23" spans="1:35" ht="13.5" thickBot="1">
      <c r="A23" s="2413"/>
      <c r="B23" s="2413"/>
      <c r="C23" s="2413"/>
      <c r="D23" s="2413"/>
      <c r="E23" s="138"/>
      <c r="F23" s="138"/>
      <c r="G23" s="138"/>
      <c r="H23" s="138"/>
      <c r="I23" s="138"/>
    </row>
    <row r="24" spans="1:35" ht="14.25">
      <c r="A24" s="3200" t="s">
        <v>2145</v>
      </c>
      <c r="B24" s="2430" t="s">
        <v>2137</v>
      </c>
      <c r="C24" s="145">
        <f>IF(B30=0,0,D30)</f>
        <v>0</v>
      </c>
      <c r="D24" s="2437"/>
      <c r="E24" s="138"/>
      <c r="F24" s="138"/>
      <c r="G24" s="138"/>
      <c r="H24" s="138"/>
      <c r="I24" s="138"/>
    </row>
    <row r="25" spans="1:35" ht="14.25">
      <c r="A25" s="3201"/>
      <c r="B25" s="1247"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86</v>
      </c>
      <c r="D32" s="2444" t="s">
        <v>2152</v>
      </c>
      <c r="E32" s="138"/>
      <c r="F32" s="138"/>
      <c r="G32" s="138"/>
      <c r="H32" s="138"/>
      <c r="I32" s="138"/>
    </row>
    <row r="33" spans="1:15" ht="15">
      <c r="A33" s="957" t="s">
        <v>2153</v>
      </c>
      <c r="B33" s="2445"/>
      <c r="C33" s="2446"/>
      <c r="D33" s="2447"/>
      <c r="E33" s="2448" t="s">
        <v>2154</v>
      </c>
      <c r="F33" s="2449" t="str">
        <f>IF(D32="楼面单价","取值（单价）","取值（总价）")</f>
        <v>取值（总价）</v>
      </c>
      <c r="G33" s="138"/>
      <c r="H33" s="138"/>
      <c r="I33" s="138"/>
    </row>
    <row r="34" spans="1:15" ht="15">
      <c r="A34" s="2450"/>
      <c r="B34" s="2451" t="s">
        <v>2155</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2156</v>
      </c>
      <c r="F34" s="1736"/>
      <c r="G34" s="138"/>
      <c r="H34" s="138"/>
      <c r="I34" s="138"/>
    </row>
    <row r="35" spans="1:15" ht="15.75" thickBot="1">
      <c r="A35" s="2453"/>
      <c r="B35" s="2454"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75" thickBot="1">
      <c r="A36" s="3178" t="s">
        <v>2159</v>
      </c>
      <c r="B36" s="2456" t="s">
        <v>2160</v>
      </c>
      <c r="C36" s="154"/>
      <c r="D36" s="2457"/>
      <c r="E36" s="2458"/>
      <c r="F36" s="2459"/>
      <c r="G36" s="138"/>
      <c r="H36" s="138"/>
      <c r="I36" s="138"/>
    </row>
    <row r="37" spans="1:15" ht="15.75" thickBot="1">
      <c r="A37" s="3179"/>
      <c r="B37" s="2264" t="s">
        <v>2161</v>
      </c>
      <c r="C37" s="156"/>
      <c r="D37" s="1392"/>
      <c r="E37" s="1392"/>
      <c r="F37" s="2459"/>
      <c r="G37" s="138"/>
      <c r="H37" s="138"/>
      <c r="I37" s="138"/>
    </row>
    <row r="38" spans="1:15" ht="15.75" thickBot="1">
      <c r="A38" s="3180"/>
      <c r="B38" s="2460" t="s">
        <v>2162</v>
      </c>
      <c r="C38" s="727"/>
      <c r="D38" s="2461" t="s">
        <v>2163</v>
      </c>
      <c r="E38" s="1392"/>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4"/>
      <c r="B43" s="2164"/>
      <c r="C43" s="2164"/>
      <c r="D43" s="2164"/>
      <c r="E43" s="2164"/>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197" t="s">
        <v>2173</v>
      </c>
      <c r="B45" s="3198"/>
      <c r="C45" s="3199"/>
      <c r="D45" s="164">
        <f ca="1">ROUND(H101*F45,0)</f>
        <v>86</v>
      </c>
      <c r="E45" s="165" t="s">
        <v>2174</v>
      </c>
      <c r="F45" s="166">
        <v>1</v>
      </c>
      <c r="G45" s="167" t="s">
        <v>2175</v>
      </c>
      <c r="H45" s="138"/>
      <c r="I45" s="138"/>
      <c r="J45" s="3114" t="s">
        <v>2176</v>
      </c>
      <c r="K45" s="3114"/>
      <c r="L45" s="3114"/>
      <c r="M45" s="3114"/>
      <c r="N45" s="3114"/>
      <c r="O45" s="3114"/>
    </row>
    <row r="46" spans="1:15" ht="14.25" customHeight="1">
      <c r="A46" s="3194" t="s">
        <v>2177</v>
      </c>
      <c r="B46" s="3195"/>
      <c r="C46" s="3195"/>
      <c r="D46" s="3195"/>
      <c r="E46" s="3195"/>
      <c r="F46" s="3195"/>
      <c r="G46" s="3196"/>
      <c r="H46" s="2475"/>
      <c r="I46" s="168"/>
      <c r="J46" s="1809">
        <v>1</v>
      </c>
      <c r="K46" s="3114" t="s">
        <v>2178</v>
      </c>
      <c r="L46" s="3114"/>
      <c r="M46" s="3115"/>
      <c r="N46" s="3115"/>
      <c r="O46" s="3115"/>
    </row>
    <row r="47" spans="1:15" ht="12" customHeight="1">
      <c r="A47" s="169" t="s">
        <v>2179</v>
      </c>
      <c r="B47" s="170"/>
      <c r="C47" s="171"/>
      <c r="D47" s="172" t="s">
        <v>2180</v>
      </c>
      <c r="E47" s="24" t="s">
        <v>2181</v>
      </c>
      <c r="F47" s="173" t="s">
        <v>2182</v>
      </c>
      <c r="G47" s="174" t="s">
        <v>2183</v>
      </c>
      <c r="H47" s="2475"/>
      <c r="I47" s="168"/>
      <c r="J47" s="1809">
        <v>2</v>
      </c>
      <c r="K47" s="3114" t="s">
        <v>2184</v>
      </c>
      <c r="L47" s="3114"/>
      <c r="M47" s="3116">
        <f>'数据-取费表'!B2</f>
        <v>43922</v>
      </c>
      <c r="N47" s="3116"/>
      <c r="O47" s="3116"/>
    </row>
    <row r="48" spans="1:15" ht="25.5">
      <c r="A48" s="3182" t="s">
        <v>2185</v>
      </c>
      <c r="B48" s="3183"/>
      <c r="C48" s="3183"/>
      <c r="D48" s="140">
        <f>IF(H48="情况1",0,IF(H48="情况2",D52,IF(H48="情况3",D53,IF(H48="情况4",D54))))</f>
        <v>0</v>
      </c>
      <c r="E48" s="1798" t="str">
        <f>IF(H48="情况4","(销售额-原购置价)×税（费）率","销售额×税（费）率")</f>
        <v>销售额×税（费）率</v>
      </c>
      <c r="F48" s="175" t="str">
        <f>IF(H48="情况1","免征",'数据-取费表'!B41)</f>
        <v>免征</v>
      </c>
      <c r="G48" s="2476" t="s">
        <v>2186</v>
      </c>
      <c r="H48" s="2477" t="s">
        <v>2187</v>
      </c>
      <c r="I48" s="2475"/>
      <c r="J48" s="1809">
        <v>3</v>
      </c>
      <c r="K48" s="3114" t="s">
        <v>2188</v>
      </c>
      <c r="L48" s="3114"/>
      <c r="M48" s="3117">
        <f ca="1">H101</f>
        <v>86</v>
      </c>
      <c r="N48" s="3117"/>
      <c r="O48" s="3117"/>
    </row>
    <row r="49" spans="1:35" ht="25.5" customHeight="1">
      <c r="A49" s="176" t="s">
        <v>2189</v>
      </c>
      <c r="B49" s="3162" t="s">
        <v>2190</v>
      </c>
      <c r="C49" s="3162"/>
      <c r="D49" s="177">
        <v>0</v>
      </c>
      <c r="E49" s="23" t="s">
        <v>2191</v>
      </c>
      <c r="F49" s="28" t="s">
        <v>34</v>
      </c>
      <c r="G49" s="3143"/>
      <c r="H49" s="138"/>
      <c r="I49" s="2478"/>
      <c r="J49" s="1809">
        <v>4</v>
      </c>
      <c r="K49" s="3114" t="str">
        <f>IF(项目基本情况!E8="房地产抵押价值","房地产抵押价值","抵押担保权已注销时的房地产抵押价值")</f>
        <v>抵押担保权已注销时的房地产抵押价值</v>
      </c>
      <c r="L49" s="3114"/>
      <c r="M49" s="3117" t="str">
        <f>IF(项目基本情况!E8="房地产抵押价值",H107,H109)</f>
        <v>——</v>
      </c>
      <c r="N49" s="3117"/>
      <c r="O49" s="3117"/>
    </row>
    <row r="50" spans="1:35" ht="25.5" customHeight="1">
      <c r="A50" s="178"/>
      <c r="B50" s="3162" t="s">
        <v>2192</v>
      </c>
      <c r="C50" s="3162"/>
      <c r="D50" s="179"/>
      <c r="E50" s="31"/>
      <c r="F50" s="180"/>
      <c r="G50" s="3144"/>
      <c r="H50" s="138"/>
      <c r="I50" s="2478"/>
      <c r="J50" s="3114" t="s">
        <v>2193</v>
      </c>
      <c r="K50" s="3114"/>
      <c r="L50" s="3114"/>
      <c r="M50" s="3114"/>
      <c r="N50" s="3114"/>
      <c r="O50" s="3114"/>
    </row>
    <row r="51" spans="1:35" ht="12" customHeight="1">
      <c r="A51" s="181"/>
      <c r="B51" s="3162" t="s">
        <v>2194</v>
      </c>
      <c r="C51" s="3162"/>
      <c r="D51" s="182"/>
      <c r="E51" s="30"/>
      <c r="F51" s="180"/>
      <c r="G51" s="3145"/>
      <c r="H51" s="138"/>
      <c r="I51" s="2478"/>
      <c r="J51" s="2479" t="s">
        <v>2195</v>
      </c>
      <c r="K51" s="3114" t="s">
        <v>2196</v>
      </c>
      <c r="L51" s="3114"/>
      <c r="M51" s="2479" t="s">
        <v>2197</v>
      </c>
      <c r="N51" s="2479" t="s">
        <v>2198</v>
      </c>
      <c r="O51" s="2479" t="s">
        <v>2199</v>
      </c>
    </row>
    <row r="52" spans="1:35" ht="24" customHeight="1">
      <c r="A52" s="183" t="s">
        <v>2200</v>
      </c>
      <c r="B52" s="3162" t="s">
        <v>2201</v>
      </c>
      <c r="C52" s="3162"/>
      <c r="D52" s="182">
        <f ca="1">ROUND(D45*'数据-取费表'!B41/(1+'数据-取费表'!C42),0)</f>
        <v>5</v>
      </c>
      <c r="E52" s="11" t="s">
        <v>2202</v>
      </c>
      <c r="F52" s="184">
        <f>'数据-取费表'!B41</f>
        <v>5.5000000000000007E-2</v>
      </c>
      <c r="G52" s="2480"/>
      <c r="H52" s="138"/>
      <c r="I52" s="2478"/>
      <c r="J52" s="1809">
        <v>1</v>
      </c>
      <c r="K52" s="3137" t="s">
        <v>2203</v>
      </c>
      <c r="L52" s="3137"/>
      <c r="M52" s="1751">
        <f>D48</f>
        <v>0</v>
      </c>
      <c r="N52" s="1809" t="str">
        <f>E48</f>
        <v>销售额×税（费）率</v>
      </c>
      <c r="O52" s="1752" t="str">
        <f>F48</f>
        <v>免征</v>
      </c>
    </row>
    <row r="53" spans="1:35" ht="12" customHeight="1">
      <c r="A53" s="183" t="s">
        <v>2204</v>
      </c>
      <c r="B53" s="3163" t="s">
        <v>2205</v>
      </c>
      <c r="C53" s="3164"/>
      <c r="D53" s="182">
        <f ca="1">ROUND(D45*'数据-取费表'!B41/(1+'数据-取费表'!C42),0)</f>
        <v>5</v>
      </c>
      <c r="E53" s="11" t="s">
        <v>2202</v>
      </c>
      <c r="F53" s="184">
        <f>'数据-取费表'!B41</f>
        <v>5.5000000000000007E-2</v>
      </c>
      <c r="G53" s="2480"/>
      <c r="H53" s="138"/>
      <c r="I53" s="2478"/>
      <c r="J53" s="1809">
        <v>2</v>
      </c>
      <c r="K53" s="3137" t="s">
        <v>2206</v>
      </c>
      <c r="L53" s="3137"/>
      <c r="M53" s="1751">
        <f t="shared" ref="M53:O54" ca="1" si="0">D55</f>
        <v>0</v>
      </c>
      <c r="N53" s="1809" t="str">
        <f t="shared" si="0"/>
        <v>销售额×税（费）率</v>
      </c>
      <c r="O53" s="1752">
        <f t="shared" si="0"/>
        <v>5.0000000000000001E-4</v>
      </c>
    </row>
    <row r="54" spans="1:35" ht="12" customHeight="1">
      <c r="A54" s="183" t="s">
        <v>2207</v>
      </c>
      <c r="B54" s="3163" t="s">
        <v>2208</v>
      </c>
      <c r="C54" s="3164"/>
      <c r="D54" s="182">
        <f ca="1">C68</f>
        <v>5</v>
      </c>
      <c r="E54" s="30" t="s">
        <v>2209</v>
      </c>
      <c r="F54" s="184">
        <f>'数据-取费表'!B41</f>
        <v>5.5000000000000007E-2</v>
      </c>
      <c r="G54" s="2480"/>
      <c r="H54" s="2481"/>
      <c r="I54" s="2478"/>
      <c r="J54" s="1809">
        <v>3</v>
      </c>
      <c r="K54" s="3137" t="s">
        <v>2210</v>
      </c>
      <c r="L54" s="3137"/>
      <c r="M54" s="1751" t="e">
        <f t="shared" ca="1" si="0"/>
        <v>#DIV/0!</v>
      </c>
      <c r="N54" s="1809" t="str">
        <f t="shared" si="0"/>
        <v>增值额×税（费）率</v>
      </c>
      <c r="O54" s="1753" t="str">
        <f t="shared" si="0"/>
        <v>——</v>
      </c>
    </row>
    <row r="55" spans="1:35" ht="24" customHeight="1">
      <c r="A55" s="3203" t="s">
        <v>2211</v>
      </c>
      <c r="B55" s="3183"/>
      <c r="C55" s="3183"/>
      <c r="D55" s="185">
        <f ca="1">IF(H55="个人住宅",0,ROUND(D45*I55,0))</f>
        <v>0</v>
      </c>
      <c r="E55" s="11" t="s">
        <v>2212</v>
      </c>
      <c r="F55" s="184">
        <f>IF(H55="正常",I55,"免征")</f>
        <v>5.0000000000000001E-4</v>
      </c>
      <c r="G55" s="2480"/>
      <c r="H55" s="2477" t="s">
        <v>2213</v>
      </c>
      <c r="I55" s="186">
        <f>'数据-取费表'!B49</f>
        <v>5.0000000000000001E-4</v>
      </c>
      <c r="J55" s="1809" t="str">
        <f>IF(H59="非个人房产","",4)</f>
        <v/>
      </c>
      <c r="K55" s="3137" t="str">
        <f>IF(H59="非个人房产","——","个人所得税")</f>
        <v>——</v>
      </c>
      <c r="L55" s="3137"/>
      <c r="M55" s="1754" t="str">
        <f>D59</f>
        <v>——</v>
      </c>
      <c r="N55" s="1807" t="str">
        <f>E59</f>
        <v>——</v>
      </c>
      <c r="O55" s="1755" t="str">
        <f>F59</f>
        <v>——</v>
      </c>
    </row>
    <row r="56" spans="1:35" ht="24.75">
      <c r="A56" s="3203" t="s">
        <v>2214</v>
      </c>
      <c r="B56" s="3183"/>
      <c r="C56" s="3183"/>
      <c r="D56" s="185" t="e">
        <f ca="1">IF(H56="个人住宅",D57,D58)</f>
        <v>#DIV/0!</v>
      </c>
      <c r="E56" s="11" t="s">
        <v>2215</v>
      </c>
      <c r="F56" s="184" t="str">
        <f>IF(H56="正常",F58,"免征")</f>
        <v>——</v>
      </c>
      <c r="G56" s="2482" t="s">
        <v>2216</v>
      </c>
      <c r="H56" s="2483" t="s">
        <v>2213</v>
      </c>
      <c r="I56" s="2484"/>
      <c r="J56" s="1809" t="str">
        <f>IF(项目基本情况!K6="上海银行",IF(J55="",4,J55+1),"")</f>
        <v/>
      </c>
      <c r="K56" s="3120" t="str">
        <f>IF(项目基本情况!K6="上海银行","其他处置费用","")</f>
        <v/>
      </c>
      <c r="L56" s="3121"/>
      <c r="M56" s="1751" t="str">
        <f>IF(项目基本情况!K6="上海银行",M69,"")</f>
        <v/>
      </c>
      <c r="N56" s="3123" t="str">
        <f>IF(项目基本情况!K6="上海银行","包含处置中涉及的律师、诉讼、拍卖、评估等费用","")</f>
        <v/>
      </c>
      <c r="O56" s="3124"/>
    </row>
    <row r="57" spans="1:35" ht="12.75">
      <c r="A57" s="183" t="s">
        <v>2189</v>
      </c>
      <c r="B57" s="3168" t="s">
        <v>2217</v>
      </c>
      <c r="C57" s="3169"/>
      <c r="D57" s="187">
        <v>0</v>
      </c>
      <c r="E57" s="23" t="s">
        <v>2191</v>
      </c>
      <c r="F57" s="155"/>
      <c r="G57" s="2480"/>
      <c r="H57" s="2484"/>
      <c r="I57" s="2484"/>
      <c r="J57" s="3137">
        <f>IF(AND(J55="",J56=""),4,IF(项目基本情况!K6="上海银行",结果表!J56+1,结果表!J55+1))</f>
        <v>4</v>
      </c>
      <c r="K57" s="3137" t="s">
        <v>2218</v>
      </c>
      <c r="L57" s="2485" t="s">
        <v>2219</v>
      </c>
      <c r="M57" s="1756"/>
      <c r="N57" s="1757">
        <f ca="1">SUMIF(M52:M56,"&lt;9e307")</f>
        <v>0</v>
      </c>
      <c r="O57" s="2486"/>
      <c r="P57" s="1750" t="e">
        <f ca="1">N57/M49</f>
        <v>#VALUE!</v>
      </c>
    </row>
    <row r="58" spans="1:35" ht="24.75">
      <c r="A58" s="183" t="s">
        <v>2200</v>
      </c>
      <c r="B58" s="3168" t="s">
        <v>2220</v>
      </c>
      <c r="C58" s="3181"/>
      <c r="D58" s="185" t="e">
        <f ca="1">IF(H58="转让取得",C81,C97)</f>
        <v>#DIV/0!</v>
      </c>
      <c r="E58" s="11" t="s">
        <v>2215</v>
      </c>
      <c r="F58" s="24" t="s">
        <v>34</v>
      </c>
      <c r="G58" s="2480"/>
      <c r="H58" s="2483" t="s">
        <v>2221</v>
      </c>
      <c r="I58" s="2484"/>
      <c r="J58" s="3137"/>
      <c r="K58" s="3137"/>
      <c r="L58" s="2485" t="s">
        <v>2222</v>
      </c>
      <c r="M58" s="1758"/>
      <c r="N58" s="2487" t="str">
        <f ca="1">NUMBERSTRING(INT(N57*10000),2)&amp;"元整"</f>
        <v>零元整</v>
      </c>
      <c r="O58" s="2488"/>
    </row>
    <row r="59" spans="1:35" ht="24.75" thickBot="1">
      <c r="A59" s="3141" t="s">
        <v>2223</v>
      </c>
      <c r="B59" s="3142"/>
      <c r="C59" s="3142"/>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39">
        <f>J57+1</f>
        <v>5</v>
      </c>
      <c r="K59" s="3137" t="s">
        <v>2225</v>
      </c>
      <c r="L59" s="1809" t="s">
        <v>2219</v>
      </c>
      <c r="M59" s="1759"/>
      <c r="N59" s="1760" t="e">
        <f ca="1">M49-N57</f>
        <v>#VALUE!</v>
      </c>
      <c r="O59" s="2490"/>
    </row>
    <row r="60" spans="1:35" ht="12" customHeight="1">
      <c r="A60" s="2491"/>
      <c r="B60" s="2413"/>
      <c r="C60" s="2413"/>
      <c r="D60" s="2413"/>
      <c r="E60" s="2165"/>
      <c r="F60" s="2484"/>
      <c r="G60" s="2484"/>
      <c r="H60" s="2492"/>
      <c r="I60" s="138"/>
      <c r="J60" s="3140"/>
      <c r="K60" s="3137"/>
      <c r="L60" s="2485" t="s">
        <v>2222</v>
      </c>
      <c r="M60" s="1758"/>
      <c r="N60" s="2487" t="e">
        <f ca="1">NUMBERSTRING(INT(N59*10000),2)&amp;"元整"</f>
        <v>#VALUE!</v>
      </c>
      <c r="O60" s="2488"/>
    </row>
    <row r="61" spans="1:35" ht="13.5" thickBot="1">
      <c r="A61" s="3202" t="s">
        <v>2226</v>
      </c>
      <c r="B61" s="3202"/>
      <c r="C61" s="3202"/>
      <c r="D61" s="3202"/>
      <c r="E61" s="3202"/>
      <c r="F61" s="2484"/>
      <c r="G61" s="2484"/>
      <c r="H61" s="2492"/>
      <c r="I61" s="138"/>
      <c r="J61" s="1809">
        <f>J59+1</f>
        <v>6</v>
      </c>
      <c r="K61" s="3137" t="s">
        <v>2227</v>
      </c>
      <c r="L61" s="3137"/>
      <c r="M61" s="1761"/>
      <c r="N61" s="1762" t="e">
        <f ca="1">ROUND(N59*10000/'数据-汇总表'!E3,0)</f>
        <v>#VALUE!</v>
      </c>
      <c r="O61" s="2493"/>
    </row>
    <row r="62" spans="1:35" ht="12.75">
      <c r="A62" s="3157" t="s">
        <v>2228</v>
      </c>
      <c r="B62" s="3158"/>
      <c r="C62" s="1801"/>
      <c r="D62" s="1801" t="s">
        <v>2229</v>
      </c>
      <c r="E62" s="192" t="s">
        <v>2230</v>
      </c>
      <c r="F62" s="2484"/>
      <c r="G62" s="2484"/>
      <c r="H62" s="2492"/>
      <c r="I62" s="138"/>
    </row>
    <row r="63" spans="1:35" ht="12.75">
      <c r="A63" s="203" t="s">
        <v>774</v>
      </c>
      <c r="B63" s="193" t="s">
        <v>2231</v>
      </c>
      <c r="C63" s="194">
        <f ca="1">ROUND((C64+C65)/(1+'数据-取费表'!C42),0)</f>
        <v>82</v>
      </c>
      <c r="D63" s="195"/>
      <c r="E63" s="196"/>
      <c r="F63" s="2484"/>
      <c r="G63" s="2484"/>
      <c r="H63" s="2492"/>
      <c r="I63" s="138"/>
      <c r="J63" s="3122" t="s">
        <v>2232</v>
      </c>
      <c r="K63" s="2494" t="s">
        <v>2233</v>
      </c>
      <c r="L63" s="1749" t="e">
        <f>IF(M49&gt;10000,M49*0.5%,IF(AND(M49&gt;1000,M49&lt;=10000),M49*1%,IF(AND(M49&gt;100,M49&lt;=1000),M49*3%,IF(AND(M49&gt;10,M49&lt;=100),M49*5%,M49*8%))))</f>
        <v>#VALUE!</v>
      </c>
      <c r="M63" s="24" t="e">
        <f>ROUND(L63,1)</f>
        <v>#VALUE!</v>
      </c>
      <c r="Z63" s="2418"/>
      <c r="AI63" s="2419"/>
    </row>
    <row r="64" spans="1:35" ht="14.25" customHeight="1">
      <c r="A64" s="197" t="s">
        <v>769</v>
      </c>
      <c r="B64" s="198" t="s">
        <v>2234</v>
      </c>
      <c r="C64" s="199">
        <f ca="1">D45</f>
        <v>86</v>
      </c>
      <c r="D64" s="200" t="s">
        <v>32</v>
      </c>
      <c r="E64" s="201"/>
      <c r="F64" s="2484"/>
      <c r="G64" s="2484"/>
      <c r="H64" s="2492"/>
      <c r="I64" s="138"/>
      <c r="J64" s="3122"/>
      <c r="K64" s="2494" t="s">
        <v>2235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2236</v>
      </c>
      <c r="Z64" s="2418"/>
      <c r="AI64" s="2419"/>
    </row>
    <row r="65" spans="1:35" ht="14.25" customHeight="1">
      <c r="A65" s="197" t="s">
        <v>770</v>
      </c>
      <c r="B65" s="198" t="s">
        <v>2237</v>
      </c>
      <c r="C65" s="202"/>
      <c r="D65" s="200"/>
      <c r="E65" s="201"/>
      <c r="F65" s="2484"/>
      <c r="G65" s="2484"/>
      <c r="H65" s="2492"/>
      <c r="I65" s="138"/>
      <c r="J65" s="3122"/>
      <c r="K65" s="2494" t="s">
        <v>2238</v>
      </c>
      <c r="L65" s="1749" t="e">
        <f>IF(M49&gt;1000,M49*0.1%,IF(AND(M49&gt;500,M49&lt;=1000),M49*0.5%,IF(AND(M49&gt;50,M49&lt;=500),M49*1%,IF(AND(M49&gt;1,M49&lt;=50),M49*1.5%))))</f>
        <v>#VALUE!</v>
      </c>
      <c r="M65" s="24" t="e">
        <f t="shared" si="1"/>
        <v>#VALUE!</v>
      </c>
      <c r="N65" s="138" t="s">
        <v>2236</v>
      </c>
      <c r="Z65" s="2418"/>
      <c r="AI65" s="2419"/>
    </row>
    <row r="66" spans="1:35" ht="14.25" customHeight="1">
      <c r="A66" s="203" t="s">
        <v>771</v>
      </c>
      <c r="B66" s="204" t="s">
        <v>2239</v>
      </c>
      <c r="C66" s="205"/>
      <c r="D66" s="206" t="s">
        <v>32</v>
      </c>
      <c r="E66" s="1773" t="s">
        <v>1363</v>
      </c>
      <c r="F66" s="2484"/>
      <c r="G66" s="2484"/>
      <c r="H66" s="2492"/>
      <c r="I66" s="138"/>
      <c r="J66" s="3122"/>
      <c r="K66" s="2494" t="s">
        <v>2240</v>
      </c>
      <c r="L66" s="1749" t="e">
        <f>M49*0.5%</f>
        <v>#VALUE!</v>
      </c>
      <c r="M66" s="24" t="e">
        <f>IF(L66&gt;0.5,0.5,ROUND(L66,0))</f>
        <v>#VALUE!</v>
      </c>
      <c r="N66" s="138" t="s">
        <v>2241</v>
      </c>
      <c r="Z66" s="2418"/>
      <c r="AI66" s="2419"/>
    </row>
    <row r="67" spans="1:35" ht="14.25" customHeight="1">
      <c r="A67" s="203" t="s">
        <v>772</v>
      </c>
      <c r="B67" s="204" t="s">
        <v>2242</v>
      </c>
      <c r="C67" s="207">
        <f ca="1">C63-C66</f>
        <v>82</v>
      </c>
      <c r="D67" s="200" t="s">
        <v>32</v>
      </c>
      <c r="E67" s="201"/>
      <c r="F67" s="2484"/>
      <c r="G67" s="2484"/>
      <c r="H67" s="2492"/>
      <c r="I67" s="138"/>
      <c r="J67" s="3122"/>
      <c r="K67" s="2494" t="s">
        <v>2243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2244</v>
      </c>
      <c r="C68" s="210">
        <f ca="1">IF(C67&lt;=0,0,ROUND(C67*D68,0))</f>
        <v>5</v>
      </c>
      <c r="D68" s="211">
        <f>'数据-取费表'!B41</f>
        <v>5.5000000000000007E-2</v>
      </c>
      <c r="E68" s="212"/>
      <c r="F68" s="2484"/>
      <c r="G68" s="2484"/>
      <c r="H68" s="2492"/>
      <c r="I68" s="138"/>
      <c r="J68" s="3122"/>
      <c r="K68" s="2494" t="s">
        <v>2245</v>
      </c>
      <c r="L68" s="1749"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5"/>
      <c r="G69" s="2165"/>
      <c r="H69" s="2164"/>
      <c r="I69" s="2413"/>
      <c r="J69" s="3122"/>
      <c r="K69" s="2494" t="s">
        <v>2246</v>
      </c>
      <c r="L69" s="2500"/>
      <c r="M69" s="24" t="e">
        <f>ROUND(SUM(M63:M68),0)</f>
        <v>#VALUE!</v>
      </c>
      <c r="N69" s="1750"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66" t="s">
        <v>2247</v>
      </c>
      <c r="B70" s="3167"/>
      <c r="C70" s="3167"/>
      <c r="D70" s="3167"/>
      <c r="E70" s="3167"/>
      <c r="F70" s="3167"/>
      <c r="G70" s="3167"/>
      <c r="H70" s="316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7" t="s">
        <v>2228</v>
      </c>
      <c r="B71" s="3158"/>
      <c r="C71" s="1801"/>
      <c r="D71" s="1801"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2248</v>
      </c>
      <c r="C72" s="207">
        <f ca="1">ROUND(D45/(1+'数据-取费表'!C42),0)</f>
        <v>82</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2249</v>
      </c>
      <c r="C73" s="207">
        <f ca="1">C74+C78</f>
        <v>0</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2250</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2255</v>
      </c>
      <c r="C76" s="200">
        <f>IF(F75="购房发票",ROUND(C75*H75*D76,0),0)</f>
        <v>0</v>
      </c>
      <c r="D76" s="222">
        <v>0.05</v>
      </c>
      <c r="E76" s="3163" t="s">
        <v>2256</v>
      </c>
      <c r="F76" s="3162"/>
      <c r="G76" s="3162"/>
      <c r="H76" s="316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2257</v>
      </c>
      <c r="C77" s="200">
        <f>ROUND(IF(G77="个人住宅",0,IF(G77="2016年5月1日前购买",C75*D77,C75*D77/(1+'数据-取费表'!C42))),0)</f>
        <v>0</v>
      </c>
      <c r="D77" s="223">
        <f>'数据-取费表'!B48+'数据-取费表'!B49</f>
        <v>3.0499999999999999E-2</v>
      </c>
      <c r="E77" s="15" t="s">
        <v>2258</v>
      </c>
      <c r="F77" s="224"/>
      <c r="G77" s="2508" t="s">
        <v>2259</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2260</v>
      </c>
      <c r="C78" s="225">
        <f ca="1">ROUND(D45*D78/(1+'数据-取费表'!C42),0)</f>
        <v>0</v>
      </c>
      <c r="D78" s="226">
        <f>'数据-取费表'!B43</f>
        <v>5.000000000000001E-3</v>
      </c>
      <c r="E78" s="3154" t="s">
        <v>2261</v>
      </c>
      <c r="F78" s="3155"/>
      <c r="G78" s="3155"/>
      <c r="H78" s="315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2262</v>
      </c>
      <c r="C79" s="207">
        <f ca="1">C72-C73</f>
        <v>82</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6" t="s">
        <v>2265</v>
      </c>
      <c r="B83" s="3167"/>
      <c r="C83" s="3167"/>
      <c r="D83" s="3167"/>
      <c r="E83" s="3167"/>
      <c r="F83" s="3167"/>
      <c r="G83" s="3167"/>
      <c r="H83" s="316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7" t="s">
        <v>2228</v>
      </c>
      <c r="B84" s="3158"/>
      <c r="C84" s="1801"/>
      <c r="D84" s="1801"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2248</v>
      </c>
      <c r="C85" s="207">
        <f ca="1">ROUND(D45/(1+'数据-取费表'!C42),0)</f>
        <v>82</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2249</v>
      </c>
      <c r="C86" s="207">
        <f ca="1">IF(H88="仅含出让金",C87+C90+C91+C92+C93+C94,C87+C91+C92+C93+C94)</f>
        <v>0</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2266</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2267</v>
      </c>
      <c r="C88" s="236"/>
      <c r="D88" s="226"/>
      <c r="E88" s="237" t="s">
        <v>2268</v>
      </c>
      <c r="F88" s="1797"/>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2257</v>
      </c>
      <c r="C89" s="225">
        <f>ROUND(C88*D89,0)</f>
        <v>0</v>
      </c>
      <c r="D89" s="226">
        <f>'数据-取费表'!B48+'数据-取费表'!B49</f>
        <v>3.0499999999999999E-2</v>
      </c>
      <c r="E89" s="237" t="s">
        <v>2270</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2271</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IF(H91="——",成本法!C33,I91)</f>
        <v>0</v>
      </c>
      <c r="D91" s="226"/>
      <c r="E91" s="3154" t="s">
        <v>2274</v>
      </c>
      <c r="F91" s="3155"/>
      <c r="G91" s="3155"/>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154" t="s">
        <v>2278</v>
      </c>
      <c r="F92" s="3155"/>
      <c r="G92" s="3155"/>
      <c r="H92" s="315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f ca="1">ROUND(D45*D93/(1+'数据-取费表'!C42),0)</f>
        <v>0</v>
      </c>
      <c r="D93" s="226">
        <f>'数据-取费表'!B43</f>
        <v>5.000000000000001E-3</v>
      </c>
      <c r="E93" s="3154" t="s">
        <v>2261</v>
      </c>
      <c r="F93" s="3155"/>
      <c r="G93" s="3155"/>
      <c r="H93" s="315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204" t="s">
        <v>2282</v>
      </c>
      <c r="F94" s="3205"/>
      <c r="G94" s="3205"/>
      <c r="H94" s="320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2262</v>
      </c>
      <c r="C95" s="207">
        <f ca="1">ROUND(C85-C86,0)</f>
        <v>82</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5"/>
      <c r="F98" s="2165"/>
      <c r="G98" s="2165"/>
      <c r="H98" s="2164"/>
      <c r="I98" s="138"/>
    </row>
    <row r="99" spans="1:35" ht="21.75" customHeight="1" thickBot="1">
      <c r="A99" s="2469" t="s">
        <v>2283</v>
      </c>
      <c r="B99" s="2413"/>
      <c r="C99" s="2413"/>
      <c r="D99" s="2413"/>
      <c r="E99" s="2165"/>
      <c r="F99" s="2165"/>
      <c r="G99" s="2165"/>
      <c r="H99" s="2164"/>
      <c r="I99" s="138"/>
    </row>
    <row r="100" spans="1:35" ht="18.75" customHeight="1">
      <c r="A100" s="3106" t="s">
        <v>2284</v>
      </c>
      <c r="B100" s="3107"/>
      <c r="C100" s="3107"/>
      <c r="D100" s="3138"/>
      <c r="E100" s="3107" t="s">
        <v>2285</v>
      </c>
      <c r="F100" s="3107"/>
      <c r="G100" s="3107"/>
      <c r="H100" s="3138"/>
      <c r="I100" s="138"/>
    </row>
    <row r="101" spans="1:35" ht="18.75" customHeight="1">
      <c r="A101" s="3146" t="s">
        <v>2286</v>
      </c>
      <c r="B101" s="3147"/>
      <c r="C101" s="736" t="str">
        <f>C4</f>
        <v>成本法 (商业1)</v>
      </c>
      <c r="D101" s="737" t="str">
        <f>D4</f>
        <v>收益法 (商业1)</v>
      </c>
      <c r="E101" s="3118" t="s">
        <v>2287</v>
      </c>
      <c r="F101" s="3119"/>
      <c r="G101" s="2515" t="s">
        <v>2288</v>
      </c>
      <c r="H101" s="1045">
        <f ca="1">H118</f>
        <v>86</v>
      </c>
      <c r="I101" s="138"/>
    </row>
    <row r="102" spans="1:35" ht="18.75" customHeight="1">
      <c r="A102" s="3148" t="s">
        <v>2289</v>
      </c>
      <c r="B102" s="2515" t="s">
        <v>2288</v>
      </c>
      <c r="C102" s="736">
        <f ca="1">C19</f>
        <v>165</v>
      </c>
      <c r="D102" s="737">
        <f ca="1">D19</f>
        <v>44</v>
      </c>
      <c r="E102" s="3118"/>
      <c r="F102" s="3119"/>
      <c r="G102" s="2515" t="s">
        <v>2290</v>
      </c>
      <c r="H102" s="371">
        <f ca="1">I118</f>
        <v>20141</v>
      </c>
      <c r="I102" s="138"/>
    </row>
    <row r="103" spans="1:35" ht="42.75" customHeight="1">
      <c r="A103" s="3148"/>
      <c r="B103" s="2515" t="s">
        <v>2290</v>
      </c>
      <c r="C103" s="738">
        <f ca="1">C20</f>
        <v>38642</v>
      </c>
      <c r="D103" s="739">
        <f ca="1">D20</f>
        <v>10325</v>
      </c>
      <c r="E103" s="3112" t="s">
        <v>2291</v>
      </c>
      <c r="F103" s="3113"/>
      <c r="G103" s="2516" t="s">
        <v>2292</v>
      </c>
      <c r="H103" s="1045">
        <f>IF(D36="正常操作",H104+H105+H106,H105+H106)</f>
        <v>0</v>
      </c>
      <c r="I103" s="138"/>
    </row>
    <row r="104" spans="1:35" ht="18.75" customHeight="1">
      <c r="A104" s="3148" t="s">
        <v>2293</v>
      </c>
      <c r="B104" s="2517" t="s">
        <v>2288</v>
      </c>
      <c r="C104" s="740">
        <f ca="1">H118</f>
        <v>86</v>
      </c>
      <c r="D104" s="741"/>
      <c r="E104" s="2264" t="s">
        <v>2294</v>
      </c>
      <c r="F104" s="2255"/>
      <c r="G104" s="2516" t="s">
        <v>2292</v>
      </c>
      <c r="H104" s="1046">
        <f>IF(D36="同一抵押权人同一抵押物续贷",C36&amp;"（未扣减，详见特别提示）",C36)</f>
        <v>0</v>
      </c>
      <c r="I104" s="138"/>
    </row>
    <row r="105" spans="1:35" ht="18.75" customHeight="1" thickBot="1">
      <c r="A105" s="3160"/>
      <c r="B105" s="2518" t="s">
        <v>2290</v>
      </c>
      <c r="C105" s="742">
        <f ca="1">I118</f>
        <v>20141</v>
      </c>
      <c r="D105" s="743"/>
      <c r="E105" s="2264" t="s">
        <v>2295</v>
      </c>
      <c r="F105" s="2255"/>
      <c r="G105" s="2516" t="s">
        <v>2292</v>
      </c>
      <c r="H105" s="1046">
        <f>C37</f>
        <v>0</v>
      </c>
      <c r="I105" s="138"/>
    </row>
    <row r="106" spans="1:35" ht="18.75" customHeight="1">
      <c r="A106" s="2413" t="s">
        <v>2296</v>
      </c>
      <c r="B106" s="2413"/>
      <c r="C106" s="2413"/>
      <c r="D106" s="2413"/>
      <c r="E106" s="2519" t="s">
        <v>2297</v>
      </c>
      <c r="F106" s="2255"/>
      <c r="G106" s="2516" t="s">
        <v>2292</v>
      </c>
      <c r="H106" s="1046">
        <f>C38</f>
        <v>0</v>
      </c>
      <c r="I106" s="138"/>
    </row>
    <row r="107" spans="1:35" ht="18.75" customHeight="1">
      <c r="A107" s="138"/>
      <c r="B107" s="138"/>
      <c r="C107" s="138"/>
      <c r="D107" s="138"/>
      <c r="E107" s="3149" t="str">
        <f>IF(项目基本情况!E8="已注销","——","3.房地产抵押价值")</f>
        <v>3.房地产抵押价值</v>
      </c>
      <c r="F107" s="3119"/>
      <c r="G107" s="2515" t="s">
        <v>2288</v>
      </c>
      <c r="H107" s="1045">
        <f ca="1">IF(E107="——","——",H101-H103)</f>
        <v>86</v>
      </c>
      <c r="I107" s="138"/>
    </row>
    <row r="108" spans="1:35" ht="18.75" customHeight="1">
      <c r="A108" s="138"/>
      <c r="B108" s="138"/>
      <c r="C108" s="138"/>
      <c r="D108" s="138"/>
      <c r="E108" s="3149"/>
      <c r="F108" s="3119"/>
      <c r="G108" s="2515" t="s">
        <v>2290</v>
      </c>
      <c r="H108" s="371">
        <f ca="1">ROUND(H107*10000/'数据-汇总表'!E3,0)</f>
        <v>330</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19"/>
      <c r="G109" s="2515" t="s">
        <v>2288</v>
      </c>
      <c r="H109" s="348" t="str">
        <f>IF(E109="——","——",H101-H105-H106)</f>
        <v>——</v>
      </c>
      <c r="I109" s="138"/>
    </row>
    <row r="110" spans="1:35" ht="18.75" customHeight="1">
      <c r="A110" s="138"/>
      <c r="B110" s="138"/>
      <c r="C110" s="138"/>
      <c r="D110" s="138"/>
      <c r="E110" s="3149"/>
      <c r="F110" s="3119"/>
      <c r="G110" s="2515" t="s">
        <v>2290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15" t="s">
        <v>2288</v>
      </c>
      <c r="H111" s="1045" t="str">
        <f>IF(E111="——","——",N59)</f>
        <v>——</v>
      </c>
      <c r="I111" s="138"/>
    </row>
    <row r="112" spans="1:35" ht="18.75" customHeight="1" thickBot="1">
      <c r="A112" s="138"/>
      <c r="B112" s="138"/>
      <c r="C112" s="138"/>
      <c r="D112" s="138"/>
      <c r="E112" s="3152"/>
      <c r="F112" s="3153"/>
      <c r="G112" s="2520" t="s">
        <v>2290</v>
      </c>
      <c r="H112" s="790" t="str">
        <f>IF(E111="——","——",N61)</f>
        <v>——</v>
      </c>
      <c r="I112" s="138"/>
    </row>
    <row r="113" spans="1:11" ht="18.75" customHeight="1">
      <c r="A113" s="138"/>
      <c r="B113" s="138"/>
      <c r="C113" s="138"/>
      <c r="D113" s="138"/>
      <c r="E113" s="3161" t="s">
        <v>2296</v>
      </c>
      <c r="F113" s="3161"/>
      <c r="G113" s="3161"/>
      <c r="H113" s="3161"/>
      <c r="I113" s="138"/>
    </row>
    <row r="114" spans="1:11" ht="3.75" customHeight="1">
      <c r="A114" s="2413"/>
      <c r="B114" s="2413"/>
      <c r="C114" s="2413"/>
      <c r="D114" s="2413"/>
      <c r="E114" s="2491"/>
      <c r="F114" s="2491"/>
      <c r="G114" s="2491"/>
      <c r="H114" s="2491"/>
      <c r="I114" s="2413"/>
    </row>
    <row r="115" spans="1:11" ht="18.75" customHeight="1">
      <c r="A115" s="3174" t="s">
        <v>2298</v>
      </c>
      <c r="B115" s="3175"/>
      <c r="C115" s="3175"/>
      <c r="D115" s="3175"/>
      <c r="E115" s="3175"/>
      <c r="F115" s="3175"/>
      <c r="G115" s="3175"/>
      <c r="H115" s="3175"/>
      <c r="I115" s="3176"/>
    </row>
    <row r="116" spans="1:11" ht="27" customHeight="1">
      <c r="A116" s="3085" t="s">
        <v>2299</v>
      </c>
      <c r="B116" s="3128" t="s">
        <v>2300</v>
      </c>
      <c r="C116" s="3128" t="s">
        <v>2301</v>
      </c>
      <c r="D116" s="3134" t="s">
        <v>2302</v>
      </c>
      <c r="E116" s="3135"/>
      <c r="F116" s="3170" t="s">
        <v>2303</v>
      </c>
      <c r="G116" s="3170"/>
      <c r="H116" s="3085" t="s">
        <v>2304</v>
      </c>
      <c r="I116" s="3085"/>
    </row>
    <row r="117" spans="1:11" ht="18.75" customHeight="1">
      <c r="A117" s="3085"/>
      <c r="B117" s="3129"/>
      <c r="C117" s="3129"/>
      <c r="D117" s="1795" t="s">
        <v>2305</v>
      </c>
      <c r="E117" s="1795" t="s">
        <v>2306</v>
      </c>
      <c r="F117" s="1795" t="s">
        <v>2305</v>
      </c>
      <c r="G117" s="1795" t="s">
        <v>2307</v>
      </c>
      <c r="H117" s="1795" t="s">
        <v>2305</v>
      </c>
      <c r="I117" s="1795" t="s">
        <v>2307</v>
      </c>
    </row>
    <row r="118" spans="1:11" ht="24.75" customHeight="1">
      <c r="A118" s="2521" t="str">
        <f>项目基本情况!S2</f>
        <v>北京市怀柔区庙城镇郑重庄636号房地产</v>
      </c>
      <c r="B118" s="1795">
        <f>M18</f>
        <v>42.7</v>
      </c>
      <c r="C118" s="1795">
        <f>M19</f>
        <v>172.25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86</v>
      </c>
      <c r="I118" s="1795">
        <f ca="1">ROUND(IF(D32="楼面单价",C32,H118*10000/B118),0)</f>
        <v>20141</v>
      </c>
    </row>
    <row r="119" spans="1:11" ht="18.75" customHeight="1">
      <c r="A119" s="3085" t="s">
        <v>2308</v>
      </c>
      <c r="B119" s="3085"/>
      <c r="C119" s="3085"/>
      <c r="D119" s="3130" t="e">
        <f ca="1">NUMBERSTRING(INT(D118*10000),2)&amp;"元整"</f>
        <v>#REF!</v>
      </c>
      <c r="E119" s="3131"/>
      <c r="F119" s="3130" t="e">
        <f ca="1">NUMBERSTRING(INT(F118*10000),2)&amp;"元整"</f>
        <v>#REF!</v>
      </c>
      <c r="G119" s="3131"/>
      <c r="H119" s="3130" t="str">
        <f ca="1">NUMBERSTRING(INT(H118*10000),2)&amp;"元整"</f>
        <v>捌拾陆万元整</v>
      </c>
      <c r="I119" s="3131"/>
    </row>
    <row r="120" spans="1:11" ht="18.75" customHeight="1">
      <c r="A120" s="3125" t="str">
        <f>IF(项目基本情况!B9="房地产市场价值","",MID(E103,3,LEN(E103)-2))</f>
        <v/>
      </c>
      <c r="B120" s="3126"/>
      <c r="C120" s="3127"/>
      <c r="D120" s="3125">
        <f>H103</f>
        <v>0</v>
      </c>
      <c r="E120" s="3126"/>
      <c r="F120" s="3126"/>
      <c r="G120" s="3126"/>
      <c r="H120" s="3126"/>
      <c r="I120" s="3127"/>
      <c r="K120" s="2418" t="str">
        <f>IF(D120=0,"故，本次评估不存在"&amp;A120,"故，本次评估"&amp;A120&amp;"为人民币"&amp;D120&amp;"万元整。")</f>
        <v>故，本次评估不存在</v>
      </c>
    </row>
    <row r="121" spans="1:11" ht="18.75" customHeight="1">
      <c r="A121" s="3171" t="s">
        <v>2308</v>
      </c>
      <c r="B121" s="3172"/>
      <c r="C121" s="3173"/>
      <c r="D121" s="3130" t="str">
        <f>IF(D120=0,"零元整",NUMBERSTRING(INT(D120*10000),2)&amp;"元整")</f>
        <v>零元整</v>
      </c>
      <c r="E121" s="3132"/>
      <c r="F121" s="3132"/>
      <c r="G121" s="3132"/>
      <c r="H121" s="3132"/>
      <c r="I121" s="3131"/>
    </row>
    <row r="122" spans="1:11" ht="18.75" customHeight="1">
      <c r="A122" s="3136" t="str">
        <f>IF(项目基本情况!B9="房地产市场价值","",MID(E107,3,LEN(E107)-2))</f>
        <v/>
      </c>
      <c r="B122" s="3136"/>
      <c r="C122" s="3136"/>
      <c r="D122" s="3125">
        <f ca="1">H107</f>
        <v>86</v>
      </c>
      <c r="E122" s="3126"/>
      <c r="F122" s="3126"/>
      <c r="G122" s="3126"/>
      <c r="H122" s="3126"/>
      <c r="I122" s="3127"/>
    </row>
    <row r="123" spans="1:11" ht="18.75" customHeight="1">
      <c r="A123" s="3085" t="s">
        <v>2308</v>
      </c>
      <c r="B123" s="3085"/>
      <c r="C123" s="3085"/>
      <c r="D123" s="3130" t="str">
        <f ca="1">NUMBERSTRING(INT(D122*10000),2)&amp;"元整"</f>
        <v>捌拾陆万元整</v>
      </c>
      <c r="E123" s="3132"/>
      <c r="F123" s="3132"/>
      <c r="G123" s="3132"/>
      <c r="H123" s="3132"/>
      <c r="I123" s="3131"/>
    </row>
    <row r="124" spans="1:11" ht="18.75" customHeight="1">
      <c r="A124" s="3136" t="str">
        <f>IF(项目基本情况!B9="房地产市场价值","",MID(E109,3,LEN(E109)-2))</f>
        <v/>
      </c>
      <c r="B124" s="3136"/>
      <c r="C124" s="3136"/>
      <c r="D124" s="3125" t="str">
        <f>H109</f>
        <v>——</v>
      </c>
      <c r="E124" s="3126"/>
      <c r="F124" s="3126"/>
      <c r="G124" s="3126"/>
      <c r="H124" s="3126"/>
      <c r="I124" s="3127"/>
    </row>
    <row r="125" spans="1:11" ht="18.75" customHeight="1">
      <c r="A125" s="3085" t="s">
        <v>2308</v>
      </c>
      <c r="B125" s="3085"/>
      <c r="C125" s="3085"/>
      <c r="D125" s="3130" t="e">
        <f>NUMBERSTRING(INT(D124*10000),2)&amp;"元整"</f>
        <v>#VALUE!</v>
      </c>
      <c r="E125" s="3132"/>
      <c r="F125" s="3132"/>
      <c r="G125" s="3132"/>
      <c r="H125" s="3132"/>
      <c r="I125" s="3131"/>
    </row>
    <row r="126" spans="1:11" ht="18.75" customHeight="1">
      <c r="A126" s="3136" t="str">
        <f>IF(项目基本情况!B9="房地产市场价值","",MID(E111,3,LEN(E111)-2))</f>
        <v/>
      </c>
      <c r="B126" s="3136"/>
      <c r="C126" s="3136"/>
      <c r="D126" s="3125" t="str">
        <f>H111</f>
        <v>——</v>
      </c>
      <c r="E126" s="3126"/>
      <c r="F126" s="3126"/>
      <c r="G126" s="3126"/>
      <c r="H126" s="3126"/>
      <c r="I126" s="3127"/>
    </row>
    <row r="127" spans="1:11" ht="18.75" customHeight="1">
      <c r="A127" s="3085" t="s">
        <v>2308</v>
      </c>
      <c r="B127" s="3085"/>
      <c r="C127" s="3085"/>
      <c r="D127" s="3130" t="e">
        <f>NUMBERSTRING(INT(D126*10000),2)&amp;"元整"</f>
        <v>#VALUE!</v>
      </c>
      <c r="E127" s="3132"/>
      <c r="F127" s="3132"/>
      <c r="G127" s="3132"/>
      <c r="H127" s="3132"/>
      <c r="I127" s="3131"/>
    </row>
    <row r="128" spans="1:11" ht="21.75" customHeight="1">
      <c r="A128" s="3133" t="s">
        <v>2309</v>
      </c>
      <c r="B128" s="3133"/>
      <c r="C128" s="3133"/>
      <c r="D128" s="3133"/>
      <c r="E128" s="3133"/>
      <c r="F128" s="3133"/>
      <c r="G128" s="3133"/>
      <c r="H128" s="3133"/>
      <c r="I128" s="3133"/>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2312</v>
      </c>
      <c r="G135" s="2539"/>
      <c r="H135" s="2539"/>
      <c r="I135" s="2540" t="s">
        <v>2313</v>
      </c>
    </row>
    <row r="136" spans="1:35" ht="21.75" customHeight="1">
      <c r="A136" s="795"/>
      <c r="B136" s="2541"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2315</v>
      </c>
    </row>
    <row r="139" spans="1:35" ht="21.75" customHeight="1">
      <c r="A139" s="795"/>
      <c r="B139" s="2541" t="s">
        <v>2316</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2315</v>
      </c>
    </row>
    <row r="142" spans="1:35" ht="21.75" customHeight="1">
      <c r="A142" s="795"/>
      <c r="B142" s="2541"/>
      <c r="C142" s="2542"/>
      <c r="D142" s="2543"/>
      <c r="E142" s="2543"/>
      <c r="F142" s="2338"/>
      <c r="G142" s="795"/>
      <c r="H142" s="795"/>
      <c r="I142" s="795"/>
    </row>
    <row r="143" spans="1:35" s="139" customFormat="1" ht="21.75" customHeight="1">
      <c r="A143" s="795"/>
      <c r="B143" s="2541"/>
      <c r="C143" s="2542"/>
      <c r="D143" s="2543"/>
      <c r="E143" s="2543"/>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12</v>
      </c>
    </row>
    <row r="2" spans="1:9" s="244" customFormat="1" ht="18" customHeight="1">
      <c r="A2" s="245" t="s">
        <v>2318</v>
      </c>
      <c r="B2" s="246">
        <f ca="1">IF(D2="——",C52,C52-E2)</f>
        <v>544</v>
      </c>
      <c r="C2" s="243" t="s">
        <v>2319</v>
      </c>
      <c r="D2" s="2544" t="s">
        <v>70</v>
      </c>
      <c r="E2" s="1440"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2090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9" t="s">
        <v>2328</v>
      </c>
      <c r="B6" s="259" t="s">
        <v>2329</v>
      </c>
      <c r="C6" s="260"/>
      <c r="D6" s="261"/>
      <c r="E6" s="262"/>
      <c r="F6" s="262"/>
      <c r="G6" s="263"/>
    </row>
    <row r="7" spans="1:9" s="258" customFormat="1" ht="13.5" customHeight="1">
      <c r="A7" s="949" t="s">
        <v>2330</v>
      </c>
      <c r="B7" s="259" t="s">
        <v>2331</v>
      </c>
      <c r="C7" s="264">
        <f>ROUND(C6*F7,0)</f>
        <v>0</v>
      </c>
      <c r="D7" s="264"/>
      <c r="E7" s="262"/>
      <c r="F7" s="265">
        <f>IF(项目基本情况!B8="出让",0,'数据-取费表'!B48+'数据-取费表'!B49)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7"/>
    </row>
    <row r="9" spans="1:9" s="258" customFormat="1" ht="13.5" customHeight="1">
      <c r="A9" s="950" t="s">
        <v>799</v>
      </c>
      <c r="B9" s="268" t="s">
        <v>2334</v>
      </c>
      <c r="C9" s="269">
        <f ca="1">ROUND(D9*E9/10000,0)</f>
        <v>0</v>
      </c>
      <c r="D9" s="1032">
        <f ca="1">IF(B1="",'数据-汇总表'!E5,IF(INDIRECT("'数据-取费表'!c"&amp;$G$1)="住宅",INDIRECT("'数据-取费表'!k"&amp;$G$1),0))</f>
        <v>0</v>
      </c>
      <c r="E9" s="269">
        <f>'数据-取费表'!B27</f>
        <v>0</v>
      </c>
      <c r="F9" s="265"/>
      <c r="G9" s="2548"/>
      <c r="H9" s="1390"/>
      <c r="I9" s="2549" t="s">
        <v>2335</v>
      </c>
    </row>
    <row r="10" spans="1:9" s="258" customFormat="1" ht="13.5" customHeight="1">
      <c r="A10" s="950" t="s">
        <v>800</v>
      </c>
      <c r="B10" s="268" t="s">
        <v>2336</v>
      </c>
      <c r="C10" s="269">
        <f ca="1">ROUND(D10*E10/10000,0)</f>
        <v>52</v>
      </c>
      <c r="D10" s="1032">
        <f ca="1">IF(B1="",'数据-汇总表'!E6,IF(INDIRECT("'数据-取费表'!c"&amp;$G$1)="住宅",INDIRECT("'数据-取费表'!s"&amp;$G$1),INDIRECT("'数据-取费表'!k"&amp;$G$1)+INDIRECT("'数据-取费表'!s"&amp;$G$1)))</f>
        <v>2602.9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IF(G19="已包含在土地取得成本中","0",ROUND(D19*E19/10000,0))</f>
        <v>52</v>
      </c>
      <c r="D19" s="1036">
        <f ca="1">D9+D10</f>
        <v>2602.9</v>
      </c>
      <c r="E19" s="255">
        <f>'数据-取费表'!B31</f>
        <v>200</v>
      </c>
      <c r="F19" s="275"/>
      <c r="G19" s="2547"/>
    </row>
    <row r="20" spans="1:7" s="258" customFormat="1" ht="13.5" customHeight="1">
      <c r="A20" s="299" t="s">
        <v>2349</v>
      </c>
      <c r="B20" s="254" t="s">
        <v>2350</v>
      </c>
      <c r="C20" s="276">
        <f ca="1">ROUND((C5+C19)*F20,0)</f>
        <v>1</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4">
        <f ca="1">ROUND(SUM(C23:C25),0)</f>
        <v>2</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0</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2</v>
      </c>
      <c r="D24" s="282"/>
      <c r="E24" s="282"/>
      <c r="F24" s="283"/>
      <c r="G24" s="284" t="s">
        <v>2363</v>
      </c>
    </row>
    <row r="25" spans="1:7" s="258" customFormat="1" ht="24">
      <c r="A25" s="951" t="s">
        <v>2364</v>
      </c>
      <c r="B25" s="259" t="s">
        <v>2365</v>
      </c>
      <c r="C25" s="1355">
        <f ca="1">ROUND(IF('数据-取费表'!B22&lt;=1,C20*F22*'数据-取费表'!B23/2,C20*(POWER((1+F22),'数据-取费表'!B23/2)-1)),0)</f>
        <v>0</v>
      </c>
      <c r="D25" s="282"/>
      <c r="E25" s="285"/>
      <c r="F25" s="283"/>
      <c r="G25" s="286" t="s">
        <v>2366</v>
      </c>
    </row>
    <row r="26" spans="1:7" s="258" customFormat="1">
      <c r="A26" s="951" t="s">
        <v>794</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9</v>
      </c>
      <c r="D27" s="279">
        <f ca="1">C29</f>
        <v>1.6999999999999999E-3</v>
      </c>
      <c r="E27" s="280" t="s">
        <v>2370</v>
      </c>
      <c r="F27" s="290">
        <f ca="1">IF(B1="",'数据-取费表'!Q16,INDIRECT("'数据-取费表'!q"&amp;$G$1))</f>
        <v>0.17</v>
      </c>
      <c r="G27" s="291" t="s">
        <v>2371</v>
      </c>
    </row>
    <row r="28" spans="1:7" s="258" customFormat="1" ht="13.5" customHeight="1">
      <c r="A28" s="951" t="s">
        <v>790</v>
      </c>
      <c r="B28" s="292" t="s">
        <v>2372</v>
      </c>
      <c r="C28" s="293">
        <f ca="1">ROUND((C5+C19+C20)*F27*'数据-取费表'!B21/'数据-取费表'!B20,0)</f>
        <v>9</v>
      </c>
      <c r="D28" s="279"/>
      <c r="E28" s="280"/>
      <c r="F28" s="290"/>
      <c r="G28" s="291"/>
    </row>
    <row r="29" spans="1:7" s="258" customFormat="1" ht="13.5" customHeight="1">
      <c r="A29" s="951" t="s">
        <v>791</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68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781</v>
      </c>
      <c r="B33" s="254" t="s">
        <v>2380</v>
      </c>
      <c r="C33" s="300">
        <f ca="1">SUM(C34:C38)</f>
        <v>478</v>
      </c>
      <c r="D33" s="276"/>
      <c r="E33" s="256"/>
      <c r="F33" s="285"/>
      <c r="G33" s="278"/>
    </row>
    <row r="34" spans="1:7" s="302" customFormat="1" ht="13.5" customHeight="1">
      <c r="A34" s="951" t="s">
        <v>790</v>
      </c>
      <c r="B34" s="259" t="s">
        <v>2381</v>
      </c>
      <c r="C34" s="264">
        <f ca="1">IF(B1="",IF(F34=100%,'数据-取费表'!M16,'数据-取费表'!O16),IF(F34=100%,INDIRECT("'数据-取费表'!m"&amp;$G$1)+INDIRECT("'数据-取费表'!t"&amp;$G$1),INDIRECT("'数据-取费表'!o"&amp;$G$1)+INDIRECT("'数据-取费表'!aq"&amp;$G$1)))</f>
        <v>408</v>
      </c>
      <c r="D34" s="261"/>
      <c r="E34" s="264"/>
      <c r="F34" s="301">
        <f ca="1">IF('数据-取费表'!B24=0,1,IF(B1="",'数据-取费表'!N16,INDIRECT("'数据-取费表'!n"&amp;$G$1)))</f>
        <v>1</v>
      </c>
      <c r="G34" s="263" t="s">
        <v>2382</v>
      </c>
    </row>
    <row r="35" spans="1:7" ht="13.5" customHeight="1">
      <c r="A35" s="951" t="s">
        <v>795</v>
      </c>
      <c r="B35" s="259" t="s">
        <v>2383</v>
      </c>
      <c r="C35" s="264">
        <f ca="1">ROUND(C34*F35,0)</f>
        <v>12</v>
      </c>
      <c r="D35" s="264"/>
      <c r="E35" s="264"/>
      <c r="F35" s="303">
        <f>'数据-取费表'!B33</f>
        <v>0.03</v>
      </c>
      <c r="G35" s="263" t="s">
        <v>2384</v>
      </c>
    </row>
    <row r="36" spans="1:7" ht="24">
      <c r="A36" s="951" t="s">
        <v>796</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797</v>
      </c>
      <c r="B37" s="259" t="s">
        <v>2387</v>
      </c>
      <c r="C37" s="293">
        <f ca="1">ROUND(E37*D37*F34/10000,0)</f>
        <v>52</v>
      </c>
      <c r="D37" s="261">
        <f ca="1">D19</f>
        <v>2602.9</v>
      </c>
      <c r="E37" s="293">
        <f>'数据-取费表'!B35</f>
        <v>200</v>
      </c>
      <c r="F37" s="303"/>
      <c r="G37" s="305" t="s">
        <v>2388</v>
      </c>
    </row>
    <row r="38" spans="1:7" ht="13.5" customHeight="1">
      <c r="A38" s="951" t="s">
        <v>798</v>
      </c>
      <c r="B38" s="259" t="s">
        <v>2389</v>
      </c>
      <c r="C38" s="264">
        <f ca="1">ROUND(C34*F38,0)</f>
        <v>6</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10</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ROUND(IF('数据-取费表'!B22&lt;=1,C33*F22*'数据-取费表'!B21/2,C33*(POWER((1+F22),'数据-取费表'!B21/2)-1)),0)</f>
        <v>10</v>
      </c>
      <c r="D42" s="282"/>
      <c r="E42" s="282"/>
      <c r="F42" s="283"/>
      <c r="G42" s="3207" t="s">
        <v>2400</v>
      </c>
    </row>
    <row r="43" spans="1:7" ht="13.5" customHeight="1">
      <c r="A43" s="951" t="s">
        <v>791</v>
      </c>
      <c r="B43" s="259" t="s">
        <v>2401</v>
      </c>
      <c r="C43" s="282">
        <f ca="1">ROUND(IF('数据-取费表'!B22&lt;=1,C39*F22*'数据-取费表'!B21/2,C39*(POWER((1+F22),'数据-取费表'!B21/2)-1)),0)</f>
        <v>0</v>
      </c>
      <c r="D43" s="282"/>
      <c r="E43" s="282"/>
      <c r="F43" s="283"/>
      <c r="G43" s="3208"/>
    </row>
    <row r="44" spans="1:7" ht="13.5" customHeight="1">
      <c r="A44" s="951" t="s">
        <v>792</v>
      </c>
      <c r="B44" s="259" t="s">
        <v>2402</v>
      </c>
      <c r="C44" s="282">
        <f ca="1">ROUND(IF('数据-取费表'!B22&lt;=1,C40*F22*'数据-取费表'!B21/2,C40*(POWER((1+F22),'数据-取费表'!B21/2)-1)),4)</f>
        <v>2.0000000000000001E-4</v>
      </c>
      <c r="D44" s="282"/>
      <c r="E44" s="282"/>
      <c r="F44" s="283"/>
      <c r="G44" s="3209"/>
    </row>
    <row r="45" spans="1:7" s="258" customFormat="1" ht="13.5" customHeight="1">
      <c r="A45" s="299" t="s">
        <v>2403</v>
      </c>
      <c r="B45" s="288" t="s">
        <v>2369</v>
      </c>
      <c r="C45" s="289">
        <f ca="1">C46</f>
        <v>82</v>
      </c>
      <c r="D45" s="279">
        <f ca="1">C47</f>
        <v>1.6999999999999999E-3</v>
      </c>
      <c r="E45" s="280" t="s">
        <v>2395</v>
      </c>
      <c r="F45" s="290"/>
      <c r="G45" s="291" t="s">
        <v>2404</v>
      </c>
    </row>
    <row r="46" spans="1:7" s="258" customFormat="1" ht="13.5" customHeight="1">
      <c r="A46" s="951" t="s">
        <v>790</v>
      </c>
      <c r="B46" s="292" t="s">
        <v>2405</v>
      </c>
      <c r="C46" s="293">
        <f ca="1">ROUND((C33+C39)*F27,0)</f>
        <v>82</v>
      </c>
      <c r="D46" s="307"/>
      <c r="E46" s="280"/>
      <c r="F46" s="290"/>
      <c r="G46" s="291"/>
    </row>
    <row r="47" spans="1:7" s="258" customFormat="1" ht="13.5" customHeight="1">
      <c r="A47" s="951" t="s">
        <v>791</v>
      </c>
      <c r="B47" s="292" t="s">
        <v>2406</v>
      </c>
      <c r="C47" s="282">
        <f ca="1">ROUND(C40*F27,4)</f>
        <v>1.6999999999999999E-3</v>
      </c>
      <c r="D47" s="307"/>
      <c r="E47" s="280"/>
      <c r="F47" s="290"/>
      <c r="G47" s="291"/>
    </row>
    <row r="48" spans="1:7" s="258" customFormat="1" ht="13.5" customHeight="1">
      <c r="A48" s="299" t="s">
        <v>2368</v>
      </c>
      <c r="B48" s="254" t="s">
        <v>2407</v>
      </c>
      <c r="C48" s="1728">
        <f>ROUND(F30/(1+'数据-取费表'!C42),4)</f>
        <v>5.2400000000000002E-2</v>
      </c>
      <c r="D48" s="280" t="s">
        <v>2395</v>
      </c>
      <c r="E48" s="276"/>
      <c r="F48" s="281"/>
      <c r="G48" s="278" t="s">
        <v>2408</v>
      </c>
    </row>
    <row r="49" spans="1:7" ht="16.5" customHeight="1">
      <c r="A49" s="299" t="s">
        <v>2374</v>
      </c>
      <c r="B49" s="254" t="s">
        <v>2409</v>
      </c>
      <c r="C49" s="276">
        <f ca="1">ROUND((C33+C39+C41+C45)/(1-C40-D41-D45-C48),0)</f>
        <v>615</v>
      </c>
      <c r="D49" s="276"/>
      <c r="E49" s="276"/>
      <c r="F49" s="308"/>
      <c r="G49" s="278" t="s">
        <v>2410</v>
      </c>
    </row>
    <row r="50" spans="1:7" s="302" customFormat="1" ht="24">
      <c r="A50" s="299" t="s">
        <v>2411</v>
      </c>
      <c r="B50" s="254" t="s">
        <v>2412</v>
      </c>
      <c r="C50" s="276"/>
      <c r="D50" s="276"/>
      <c r="E50" s="276"/>
      <c r="F50" s="308">
        <f>IF('数据-取费表'!B24=0,'数据-取费表'!N16,1)</f>
        <v>0.77400000000000002</v>
      </c>
      <c r="G50" s="291" t="s">
        <v>2413</v>
      </c>
    </row>
    <row r="51" spans="1:7" ht="16.5" customHeight="1">
      <c r="A51" s="299" t="s">
        <v>2414</v>
      </c>
      <c r="B51" s="254" t="s">
        <v>2415</v>
      </c>
      <c r="C51" s="276">
        <f ca="1">ROUND(C49*F50,0)</f>
        <v>476</v>
      </c>
      <c r="D51" s="276"/>
      <c r="E51" s="276"/>
      <c r="F51" s="308"/>
      <c r="G51" s="278" t="s">
        <v>2416</v>
      </c>
    </row>
    <row r="52" spans="1:7" s="252" customFormat="1" ht="16.5" thickBot="1">
      <c r="A52" s="309" t="s">
        <v>2417</v>
      </c>
      <c r="B52" s="310"/>
      <c r="C52" s="311">
        <f ca="1">C31+C51</f>
        <v>544</v>
      </c>
      <c r="D52" s="310"/>
      <c r="E52" s="310"/>
      <c r="F52" s="310"/>
      <c r="G52" s="312"/>
    </row>
    <row r="55" spans="1:7" ht="15">
      <c r="B55" s="314" t="s">
        <v>2418</v>
      </c>
      <c r="C55" s="315"/>
    </row>
    <row r="56" spans="1:7">
      <c r="B56" s="317" t="s">
        <v>1504</v>
      </c>
      <c r="C56" s="319">
        <f ca="1">1-C57</f>
        <v>0.125</v>
      </c>
    </row>
    <row r="57" spans="1:7">
      <c r="B57" s="317" t="s">
        <v>1505</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19" t="str">
        <f>项目基本情况!B1</f>
        <v>北京市怀柔区庙城镇郑重庄636号房地产市场价值预评估</v>
      </c>
      <c r="C37" s="3019"/>
      <c r="D37" s="3019"/>
      <c r="E37" s="3019"/>
      <c r="F37" s="3019"/>
      <c r="G37" s="3019"/>
      <c r="H37" s="3019"/>
      <c r="I37" s="3019"/>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项目基本情况!K4</f>
        <v>（注册号：0)、（注册号：0)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8"/>
  <sheetViews>
    <sheetView tabSelected="1" workbookViewId="0">
      <selection activeCell="L3" sqref="L3"/>
    </sheetView>
  </sheetViews>
  <sheetFormatPr defaultColWidth="11" defaultRowHeight="13.5"/>
  <cols>
    <col min="1" max="8" width="11" style="2961"/>
    <col min="9" max="16384" width="11" style="2960"/>
  </cols>
  <sheetData>
    <row r="1" spans="1:13">
      <c r="A1" s="3210" t="str">
        <f>[1]项目基本情况!F10</f>
        <v>怀柔区庙城镇郑重庄636号</v>
      </c>
      <c r="B1" s="3210"/>
      <c r="C1" s="3210"/>
      <c r="D1" s="3210"/>
      <c r="E1" s="3210"/>
      <c r="F1" s="3011">
        <f>结果表!C5</f>
        <v>0.35</v>
      </c>
      <c r="G1" s="3011">
        <f>结果表!D5</f>
        <v>0.65</v>
      </c>
      <c r="H1" s="3211" t="s">
        <v>3174</v>
      </c>
      <c r="I1" s="3213" t="s">
        <v>3181</v>
      </c>
      <c r="J1" s="3213"/>
      <c r="K1" s="3213"/>
    </row>
    <row r="2" spans="1:13">
      <c r="A2" s="3007" t="s">
        <v>3058</v>
      </c>
      <c r="B2" s="3007" t="s">
        <v>3059</v>
      </c>
      <c r="C2" s="3007" t="s">
        <v>3060</v>
      </c>
      <c r="D2" s="3007" t="s">
        <v>3061</v>
      </c>
      <c r="E2" s="3007" t="s">
        <v>3062</v>
      </c>
      <c r="F2" s="3008" t="s">
        <v>3111</v>
      </c>
      <c r="G2" s="3008" t="s">
        <v>3110</v>
      </c>
      <c r="H2" s="3212"/>
      <c r="I2" s="3016" t="s">
        <v>3182</v>
      </c>
      <c r="J2" s="3016" t="s">
        <v>3183</v>
      </c>
      <c r="K2" s="3016" t="s">
        <v>3184</v>
      </c>
      <c r="L2" s="3017" t="s">
        <v>3185</v>
      </c>
    </row>
    <row r="3" spans="1:13">
      <c r="A3" s="3007" t="s">
        <v>3063</v>
      </c>
      <c r="B3" s="3007" t="s">
        <v>3064</v>
      </c>
      <c r="C3" s="3008">
        <v>42.7</v>
      </c>
      <c r="D3" s="3007" t="s">
        <v>3065</v>
      </c>
      <c r="E3" s="3009" t="s">
        <v>3066</v>
      </c>
      <c r="F3" s="3008">
        <f ca="1">'成本法 (商业1)'!B3</f>
        <v>38642</v>
      </c>
      <c r="G3" s="3008">
        <f ca="1">'收益法 (商业1)'!B3</f>
        <v>10325</v>
      </c>
      <c r="H3" s="3008">
        <f ca="1">ROUND(F1*F3+G1*G3,0)</f>
        <v>20236</v>
      </c>
      <c r="I3" s="3018">
        <f ca="1">ROUND(H3*C3,0)</f>
        <v>864077</v>
      </c>
      <c r="J3" s="3018">
        <f ca="1">I3-K3</f>
        <v>30018</v>
      </c>
      <c r="K3" s="3018">
        <f ca="1">ROUND(I3*L3,0)</f>
        <v>834059</v>
      </c>
      <c r="L3" s="2960">
        <f ca="1">'成本法 (商业1)'!C31/'成本法 (商业1)'!C52</f>
        <v>0.96526045407776984</v>
      </c>
    </row>
    <row r="4" spans="1:13">
      <c r="A4" s="3007" t="s">
        <v>3067</v>
      </c>
      <c r="B4" s="3008" t="str">
        <f>B3</f>
        <v>商业</v>
      </c>
      <c r="C4" s="3008">
        <v>41.6</v>
      </c>
      <c r="D4" s="3008" t="str">
        <f>D3</f>
        <v>混合</v>
      </c>
      <c r="E4" s="3010" t="str">
        <f>E3</f>
        <v>1/1</v>
      </c>
      <c r="F4" s="3008"/>
      <c r="G4" s="3008"/>
      <c r="H4" s="3008">
        <f ca="1">典型户型修正!R25</f>
        <v>20236</v>
      </c>
      <c r="I4" s="3018">
        <f t="shared" ref="I4:I8" ca="1" si="0">ROUND(H4*C4,0)</f>
        <v>841818</v>
      </c>
      <c r="J4" s="3018">
        <f t="shared" ref="J4:J8" ca="1" si="1">I4-K4</f>
        <v>29244</v>
      </c>
      <c r="K4" s="3018">
        <f t="shared" ref="K4:K6" ca="1" si="2">ROUND(I4*L4,0)</f>
        <v>812574</v>
      </c>
      <c r="L4" s="2960">
        <f ca="1">L3</f>
        <v>0.96526045407776984</v>
      </c>
    </row>
    <row r="5" spans="1:13">
      <c r="A5" s="3007" t="s">
        <v>3068</v>
      </c>
      <c r="B5" s="3007" t="s">
        <v>3069</v>
      </c>
      <c r="C5" s="3008">
        <v>1108.4000000000001</v>
      </c>
      <c r="D5" s="3008" t="str">
        <f>D3</f>
        <v>混合</v>
      </c>
      <c r="E5" s="3010" t="str">
        <f>E3</f>
        <v>1/1</v>
      </c>
      <c r="F5" s="3008">
        <f ca="1">'成本法 (办公) '!B3</f>
        <v>28275</v>
      </c>
      <c r="G5" s="3008">
        <f ca="1">'收益法 (办公)'!B3</f>
        <v>8898</v>
      </c>
      <c r="H5" s="3008">
        <f ca="1">ROUND(F1*F5+G1*G5,0)</f>
        <v>15680</v>
      </c>
      <c r="I5" s="3018">
        <f t="shared" ca="1" si="0"/>
        <v>17379712</v>
      </c>
      <c r="J5" s="3018">
        <f t="shared" ca="1" si="1"/>
        <v>859861</v>
      </c>
      <c r="K5" s="3018">
        <f t="shared" ca="1" si="2"/>
        <v>16519851</v>
      </c>
      <c r="L5" s="2960">
        <f ca="1">'成本法 (办公) '!C31/'成本法 (办公) '!C52</f>
        <v>0.95052500986054589</v>
      </c>
      <c r="M5" s="2960" t="s">
        <v>3188</v>
      </c>
    </row>
    <row r="6" spans="1:13">
      <c r="A6" s="3007" t="s">
        <v>3070</v>
      </c>
      <c r="B6" s="3008" t="str">
        <f>B3</f>
        <v>商业</v>
      </c>
      <c r="C6" s="3008">
        <v>26.9</v>
      </c>
      <c r="D6" s="3008" t="str">
        <f>D3</f>
        <v>混合</v>
      </c>
      <c r="E6" s="3010" t="str">
        <f>E3</f>
        <v>1/1</v>
      </c>
      <c r="F6" s="3008"/>
      <c r="G6" s="3008"/>
      <c r="H6" s="3008">
        <f ca="1">典型户型修正!R26</f>
        <v>20236</v>
      </c>
      <c r="I6" s="3018">
        <f t="shared" ca="1" si="0"/>
        <v>544348</v>
      </c>
      <c r="J6" s="3018">
        <f t="shared" ca="1" si="1"/>
        <v>18910</v>
      </c>
      <c r="K6" s="3018">
        <f t="shared" ca="1" si="2"/>
        <v>525438</v>
      </c>
      <c r="L6" s="2960">
        <f ca="1">L3</f>
        <v>0.96526045407776984</v>
      </c>
    </row>
    <row r="7" spans="1:13">
      <c r="A7" s="3007" t="s">
        <v>3071</v>
      </c>
      <c r="B7" s="3008" t="str">
        <f>B3</f>
        <v>商业</v>
      </c>
      <c r="C7" s="3008">
        <v>72.7</v>
      </c>
      <c r="D7" s="3008" t="str">
        <f>D3</f>
        <v>混合</v>
      </c>
      <c r="E7" s="3010" t="str">
        <f>E3</f>
        <v>1/1</v>
      </c>
      <c r="F7" s="3008"/>
      <c r="G7" s="3008"/>
      <c r="H7" s="3008">
        <f ca="1">典型户型修正!R27</f>
        <v>20236</v>
      </c>
      <c r="I7" s="3018">
        <f t="shared" ca="1" si="0"/>
        <v>1471157</v>
      </c>
      <c r="J7" s="3018">
        <f t="shared" ca="1" si="1"/>
        <v>51107</v>
      </c>
      <c r="K7" s="3018">
        <f ca="1">ROUND(I7*L7,0)</f>
        <v>1420050</v>
      </c>
      <c r="L7" s="2960">
        <f ca="1">L3</f>
        <v>0.96526045407776984</v>
      </c>
    </row>
    <row r="8" spans="1:13">
      <c r="A8" s="3007" t="s">
        <v>3072</v>
      </c>
      <c r="B8" s="3007" t="s">
        <v>3073</v>
      </c>
      <c r="C8" s="3008">
        <v>1310.5999999999999</v>
      </c>
      <c r="D8" s="3008" t="str">
        <f>D3</f>
        <v>混合</v>
      </c>
      <c r="E8" s="3009" t="s">
        <v>3074</v>
      </c>
      <c r="F8" s="3008">
        <f ca="1">'成本法 (商业2层)'!B3</f>
        <v>33321</v>
      </c>
      <c r="G8" s="3008">
        <f ca="1">'收益法 (商业2层) '!B3</f>
        <v>10168</v>
      </c>
      <c r="H8" s="3008">
        <f ca="1">ROUND(F8*F1+G8*G1,0)</f>
        <v>18272</v>
      </c>
      <c r="I8" s="3018">
        <f t="shared" ca="1" si="0"/>
        <v>23947283</v>
      </c>
      <c r="J8" s="3018">
        <f t="shared" ca="1" si="1"/>
        <v>1702012</v>
      </c>
      <c r="K8" s="3018">
        <f ca="1">ROUND(I8*L8,0)</f>
        <v>22245271</v>
      </c>
      <c r="L8" s="2960">
        <f ca="1">'成本法 (商业2层)'!C31/'成本法 (商业2层)'!C52</f>
        <v>0.92892669864550925</v>
      </c>
    </row>
  </sheetData>
  <mergeCells count="3">
    <mergeCell ref="A1:E1"/>
    <mergeCell ref="H1:H2"/>
    <mergeCell ref="I1:K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6" sqref="T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15" t="s">
        <v>2996</v>
      </c>
      <c r="D1" s="3216"/>
      <c r="E1" s="3216"/>
      <c r="F1" s="3216"/>
      <c r="G1" s="3216"/>
      <c r="H1" s="3216"/>
      <c r="I1" s="3216"/>
      <c r="J1" s="3216"/>
      <c r="K1" s="3216"/>
      <c r="L1" s="3216"/>
      <c r="M1" s="3216"/>
      <c r="N1" s="3216"/>
      <c r="O1" s="3216"/>
      <c r="P1" s="3216"/>
      <c r="Q1" s="3216"/>
      <c r="R1" s="3216"/>
      <c r="S1" s="3217"/>
      <c r="T1" s="1204" t="s">
        <v>2997</v>
      </c>
    </row>
    <row r="2" spans="1:45" s="707" customFormat="1" ht="38.25">
      <c r="A2" s="1205"/>
      <c r="B2" s="703" t="s">
        <v>2998</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4">
        <v>1500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3014" t="s">
        <v>3171</v>
      </c>
      <c r="C5" s="1216">
        <v>1</v>
      </c>
      <c r="D5" s="3015" t="s">
        <v>3172</v>
      </c>
      <c r="E5" s="1217"/>
      <c r="F5" s="1711"/>
      <c r="G5" s="1711"/>
      <c r="H5" s="1711"/>
      <c r="I5" s="1711"/>
      <c r="J5" s="1711"/>
      <c r="K5" s="1711"/>
      <c r="L5" s="1712"/>
      <c r="M5" s="1713"/>
      <c r="N5" s="1713"/>
      <c r="O5" s="1711"/>
      <c r="P5" s="1711"/>
      <c r="Q5" s="1711"/>
      <c r="R5" s="1711"/>
      <c r="S5" s="1714"/>
      <c r="T5" s="1219">
        <v>15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85</v>
      </c>
      <c r="E6" s="1119">
        <f t="shared" ref="E6:S6" si="7">D6-$T5</f>
        <v>70</v>
      </c>
      <c r="F6" s="1715">
        <f t="shared" si="7"/>
        <v>55</v>
      </c>
      <c r="G6" s="1715">
        <f t="shared" si="7"/>
        <v>40</v>
      </c>
      <c r="H6" s="1715">
        <f t="shared" si="7"/>
        <v>25</v>
      </c>
      <c r="I6" s="1715">
        <f t="shared" si="7"/>
        <v>10</v>
      </c>
      <c r="J6" s="1715">
        <f t="shared" si="7"/>
        <v>-5</v>
      </c>
      <c r="K6" s="1715">
        <f t="shared" si="7"/>
        <v>-20</v>
      </c>
      <c r="L6" s="1715">
        <f t="shared" si="7"/>
        <v>-35</v>
      </c>
      <c r="M6" s="1715">
        <f t="shared" si="7"/>
        <v>-50</v>
      </c>
      <c r="N6" s="1715">
        <f t="shared" si="7"/>
        <v>-65</v>
      </c>
      <c r="O6" s="1715">
        <f t="shared" si="7"/>
        <v>-80</v>
      </c>
      <c r="P6" s="1715">
        <f t="shared" si="7"/>
        <v>-95</v>
      </c>
      <c r="Q6" s="1715">
        <f t="shared" si="7"/>
        <v>-110</v>
      </c>
      <c r="R6" s="1715">
        <f t="shared" si="7"/>
        <v>-125</v>
      </c>
      <c r="S6" s="1715">
        <f t="shared" si="7"/>
        <v>-140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3004</v>
      </c>
      <c r="B17" s="2906"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3006</v>
      </c>
      <c r="E19" s="1792"/>
      <c r="F19" s="1792"/>
      <c r="G19" s="1792"/>
      <c r="H19" s="1280"/>
      <c r="I19" s="168"/>
      <c r="J19" s="168"/>
      <c r="K19" s="168"/>
      <c r="L19" s="168"/>
      <c r="M19" s="168"/>
      <c r="N19" s="168"/>
      <c r="O19" s="168"/>
      <c r="P19" s="168"/>
      <c r="Q19" s="168"/>
      <c r="R19" s="788"/>
      <c r="S19" s="138"/>
    </row>
    <row r="20" spans="1:45" ht="16.5" thickBot="1">
      <c r="A20" s="715" t="s">
        <v>3007</v>
      </c>
      <c r="B20" s="338" t="e">
        <f ca="1">IF(D20="——",S22,S22-F20)</f>
        <v>#REF!</v>
      </c>
      <c r="C20" s="168"/>
      <c r="D20" s="2908" t="s">
        <v>3008</v>
      </c>
      <c r="E20" s="1793"/>
      <c r="F20" s="1204" t="e">
        <f ca="1">SUMIF(INDIRECT("'"&amp;H20&amp;"'"&amp;"!A:A"),"承租人权益价值",INDIRECT("'"&amp;H20&amp;"'"&amp;"!c:c"))</f>
        <v>#REF!</v>
      </c>
      <c r="G20" s="1204" t="s">
        <v>3009</v>
      </c>
      <c r="H20" s="2909"/>
      <c r="I20" s="168"/>
      <c r="J20" s="168"/>
      <c r="K20" s="168"/>
      <c r="L20" s="168"/>
      <c r="M20" s="168"/>
      <c r="N20" s="168"/>
      <c r="O20" s="168"/>
      <c r="P20" s="168"/>
      <c r="Q20" s="168"/>
      <c r="R20" s="788"/>
      <c r="S20" s="138"/>
    </row>
    <row r="21" spans="1:45" ht="15.75">
      <c r="A21" s="715" t="s">
        <v>3010</v>
      </c>
      <c r="B21" s="338">
        <f ca="1">R22</f>
        <v>17263</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1494.5</v>
      </c>
      <c r="C22" s="3120" t="s">
        <v>33</v>
      </c>
      <c r="D22" s="3121"/>
      <c r="E22" s="3121"/>
      <c r="F22" s="3121"/>
      <c r="G22" s="3121"/>
      <c r="H22" s="3121"/>
      <c r="I22" s="3121"/>
      <c r="J22" s="3121"/>
      <c r="K22" s="3121"/>
      <c r="L22" s="3121"/>
      <c r="M22" s="3121"/>
      <c r="N22" s="3121"/>
      <c r="O22" s="3121"/>
      <c r="P22" s="3121"/>
      <c r="Q22" s="3214"/>
      <c r="R22" s="716">
        <f ca="1">ROUND(S22*10000/B22,0)</f>
        <v>17263</v>
      </c>
      <c r="S22" s="24">
        <f ca="1">SUM(S24:S10000)</f>
        <v>2580</v>
      </c>
    </row>
    <row r="23" spans="1:45" s="12" customFormat="1" ht="24">
      <c r="A23" s="11" t="s">
        <v>3012</v>
      </c>
      <c r="B23" s="11" t="s">
        <v>3013</v>
      </c>
      <c r="C23" s="11" t="s">
        <v>3014</v>
      </c>
      <c r="D23" s="11" t="str">
        <f>B5</f>
        <v>楼层</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3" t="s">
        <v>3166</v>
      </c>
      <c r="B24" s="718">
        <f>'数据-基础表'!I13</f>
        <v>42.7</v>
      </c>
      <c r="C24" s="719">
        <v>1</v>
      </c>
      <c r="D24" s="720">
        <v>1</v>
      </c>
      <c r="E24" s="719">
        <v>1</v>
      </c>
      <c r="F24" s="720"/>
      <c r="G24" s="719">
        <v>1</v>
      </c>
      <c r="H24" s="720"/>
      <c r="I24" s="719">
        <v>1</v>
      </c>
      <c r="J24" s="720"/>
      <c r="K24" s="719">
        <v>1</v>
      </c>
      <c r="L24" s="720"/>
      <c r="M24" s="719">
        <v>1</v>
      </c>
      <c r="N24" s="720"/>
      <c r="O24" s="719">
        <v>1</v>
      </c>
      <c r="P24" s="720"/>
      <c r="Q24" s="719">
        <v>1</v>
      </c>
      <c r="R24" s="721">
        <f ca="1">结果表!G20</f>
        <v>20236</v>
      </c>
      <c r="S24" s="719">
        <f t="shared" ref="S24:S54" ca="1" si="11">ROUND(R24*B24/10000,0)</f>
        <v>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3167</v>
      </c>
      <c r="B25" s="59">
        <f>'数据-基础表'!I14</f>
        <v>41.6</v>
      </c>
      <c r="C25" s="24">
        <f>IF(B25="",1,(LOOKUP(B25,$3:$3,$4:$4)-LOOKUP($B$24,$3:$3,$4:$4)+100)/100)</f>
        <v>1</v>
      </c>
      <c r="D25" s="720">
        <v>1</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20236</v>
      </c>
      <c r="S25" s="361">
        <f t="shared" ca="1" si="11"/>
        <v>84</v>
      </c>
    </row>
    <row r="26" spans="1:45">
      <c r="A26" s="159" t="s">
        <v>3168</v>
      </c>
      <c r="B26" s="59">
        <f>'数据-基础表'!I16</f>
        <v>26.9</v>
      </c>
      <c r="C26" s="24">
        <f t="shared" ref="C26:C89" si="12">IF(B26="",1,(LOOKUP(B26,$3:$3,$4:$4)-LOOKUP($B$24,$3:$3,$4:$4)+100)/100)</f>
        <v>1</v>
      </c>
      <c r="D26" s="720">
        <v>1</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20236</v>
      </c>
      <c r="S26" s="361">
        <f t="shared" ca="1" si="11"/>
        <v>54</v>
      </c>
    </row>
    <row r="27" spans="1:45">
      <c r="A27" s="159" t="s">
        <v>3169</v>
      </c>
      <c r="B27" s="59">
        <f>'数据-基础表'!I17</f>
        <v>72.7</v>
      </c>
      <c r="C27" s="24">
        <f t="shared" si="12"/>
        <v>1</v>
      </c>
      <c r="D27" s="720">
        <v>1</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20236</v>
      </c>
      <c r="S27" s="361">
        <f t="shared" ca="1" si="11"/>
        <v>147</v>
      </c>
    </row>
    <row r="28" spans="1:45">
      <c r="A28" s="159" t="s">
        <v>3170</v>
      </c>
      <c r="B28" s="59">
        <f>'数据-基础表'!K18</f>
        <v>1310.5999999999999</v>
      </c>
      <c r="C28" s="24">
        <f t="shared" si="12"/>
        <v>0.98</v>
      </c>
      <c r="D28" s="720" t="s">
        <v>3173</v>
      </c>
      <c r="E28" s="24">
        <f t="shared" si="13"/>
        <v>0.85</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16857</v>
      </c>
      <c r="S28" s="361">
        <f t="shared" ca="1" si="11"/>
        <v>2209</v>
      </c>
    </row>
    <row r="29" spans="1:45">
      <c r="A29" s="159"/>
      <c r="B29" s="59"/>
      <c r="C29" s="24">
        <f t="shared" si="12"/>
        <v>1</v>
      </c>
      <c r="D29" s="720"/>
      <c r="E29" s="24">
        <f t="shared" si="13"/>
        <v>0</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3095</v>
      </c>
      <c r="C1" s="2550" t="s">
        <v>2419</v>
      </c>
      <c r="D1" s="242"/>
      <c r="E1" s="242"/>
      <c r="F1" s="242"/>
      <c r="G1" s="1379">
        <f>MATCH(B1,'数据-取费表'!A6:A16,0)+5</f>
        <v>6</v>
      </c>
      <c r="H1" s="1282" t="str">
        <f>IF(ISERROR(FIND("住宅",B1)),"非住宅","住宅")</f>
        <v>非住宅</v>
      </c>
    </row>
    <row r="2" spans="1:8" s="244" customFormat="1" ht="18" customHeight="1">
      <c r="A2" s="245" t="s">
        <v>2318</v>
      </c>
      <c r="B2" s="246">
        <f ca="1">ROUND(IF(D2="——",C52/10000,C52/10000-E2),0)</f>
        <v>165</v>
      </c>
      <c r="C2" s="243" t="s">
        <v>2319</v>
      </c>
      <c r="D2" s="2544" t="s">
        <v>70</v>
      </c>
      <c r="E2" s="1440"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38642</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1227005.5</v>
      </c>
      <c r="D5" s="255" t="s">
        <v>2325</v>
      </c>
      <c r="E5" s="256" t="s">
        <v>2326</v>
      </c>
      <c r="F5" s="256" t="s">
        <v>2327</v>
      </c>
      <c r="G5" s="257"/>
    </row>
    <row r="6" spans="1:8" s="258" customFormat="1" ht="13.5" customHeight="1">
      <c r="A6" s="949" t="s">
        <v>2328</v>
      </c>
      <c r="B6" s="259" t="s">
        <v>2329</v>
      </c>
      <c r="C6" s="260">
        <f ca="1">'基准地价修正（商业1）'!C29*面积及结果汇总!C3</f>
        <v>1190689.5</v>
      </c>
      <c r="D6" s="261"/>
      <c r="E6" s="262"/>
      <c r="F6" s="262"/>
      <c r="G6" s="263"/>
    </row>
    <row r="7" spans="1:8" s="258" customFormat="1" ht="13.5" customHeight="1">
      <c r="A7" s="949" t="s">
        <v>2330</v>
      </c>
      <c r="B7" s="259" t="s">
        <v>2331</v>
      </c>
      <c r="C7" s="264">
        <f ca="1">ROUND(C6*F7,0)</f>
        <v>36316</v>
      </c>
      <c r="D7" s="264"/>
      <c r="E7" s="262"/>
      <c r="F7" s="265">
        <f>IF(项目基本情况!B8="出让",0,'数据-取费表'!B48+'数据-取费表'!B49)</f>
        <v>3.0499999999999999E-2</v>
      </c>
      <c r="G7" s="263"/>
    </row>
    <row r="8" spans="1:8" s="267" customFormat="1">
      <c r="A8" s="949" t="s">
        <v>2332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8540</v>
      </c>
      <c r="D10" s="1032">
        <f ca="1">IF(B1="",'数据-汇总表'!E6,IF(INDIRECT("'数据-取费表'!c"&amp;$G$1)="住宅",INDIRECT("'数据-取费表'!s"&amp;$G$1),INDIRECT("'数据-取费表'!k"&amp;$G$1)+INDIRECT("'数据-取费表'!s"&amp;$G$1)))</f>
        <v>42.7</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8540</v>
      </c>
      <c r="D19" s="1036">
        <f ca="1">D9+D10</f>
        <v>42.7</v>
      </c>
      <c r="E19" s="255">
        <f>'数据-取费表'!B31</f>
        <v>200</v>
      </c>
      <c r="F19" s="275"/>
      <c r="G19" s="2547" t="s">
        <v>1069</v>
      </c>
    </row>
    <row r="20" spans="1:7" s="258" customFormat="1" ht="13.5" customHeight="1">
      <c r="A20" s="299" t="s">
        <v>2430</v>
      </c>
      <c r="B20" s="254" t="s">
        <v>2431</v>
      </c>
      <c r="C20" s="276">
        <f ca="1">ROUND((C5+C19)*F20,0)</f>
        <v>12355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54015</v>
      </c>
      <c r="D22" s="279">
        <f ca="1">C26</f>
        <v>2.0000000000000001E-4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53375</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371</v>
      </c>
      <c r="D24" s="282"/>
      <c r="E24" s="282"/>
      <c r="F24" s="283"/>
      <c r="G24" s="284" t="s">
        <v>2442</v>
      </c>
    </row>
    <row r="25" spans="1:7" s="258" customFormat="1" ht="24">
      <c r="A25" s="951" t="s">
        <v>2332</v>
      </c>
      <c r="B25" s="259" t="s">
        <v>2443</v>
      </c>
      <c r="C25" s="1381">
        <f ca="1">ROUND(IF('数据-取费表'!B22&lt;=1,C20*F22*'数据-取费表'!B22/2,C20*(POWER((1+F22),'数据-取费表'!B22/2)-1)),0)</f>
        <v>269</v>
      </c>
      <c r="D25" s="282"/>
      <c r="E25" s="285"/>
      <c r="F25" s="283"/>
      <c r="G25" s="286" t="s">
        <v>2444</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187185</v>
      </c>
      <c r="D27" s="279">
        <f ca="1">C29</f>
        <v>1.5E-3</v>
      </c>
      <c r="E27" s="280" t="s">
        <v>2370</v>
      </c>
      <c r="F27" s="290">
        <f ca="1">IF(B1="",'数据-取费表'!Q16,INDIRECT("'数据-取费表'!q"&amp;$G$1))</f>
        <v>0.15</v>
      </c>
      <c r="G27" s="291" t="s">
        <v>2371</v>
      </c>
    </row>
    <row r="28" spans="1:7" s="258" customFormat="1" ht="13.5" customHeight="1">
      <c r="A28" s="951" t="s">
        <v>790</v>
      </c>
      <c r="B28" s="292" t="s">
        <v>2372</v>
      </c>
      <c r="C28" s="293">
        <f ca="1">ROUND((C5+C19+C20)*F27,0)</f>
        <v>187185</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1591089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75473</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64050</v>
      </c>
      <c r="D34" s="261"/>
      <c r="E34" s="264"/>
      <c r="F34" s="301"/>
      <c r="G34" s="263"/>
    </row>
    <row r="35" spans="1:7" ht="13.5" customHeight="1">
      <c r="A35" s="951" t="s">
        <v>795</v>
      </c>
      <c r="B35" s="259" t="s">
        <v>2383</v>
      </c>
      <c r="C35" s="264">
        <f ca="1">ROUND(C34*F35,0)</f>
        <v>1922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8540</v>
      </c>
      <c r="D37" s="261">
        <f ca="1">D19</f>
        <v>42.7</v>
      </c>
      <c r="E37" s="293">
        <f>'数据-取费表'!B35</f>
        <v>200</v>
      </c>
      <c r="F37" s="303"/>
      <c r="G37" s="305"/>
    </row>
    <row r="38" spans="1:7" ht="13.5" customHeight="1">
      <c r="A38" s="951" t="s">
        <v>798</v>
      </c>
      <c r="B38" s="259" t="s">
        <v>2389</v>
      </c>
      <c r="C38" s="264">
        <f ca="1">ROUND(C34*F38,0)</f>
        <v>961</v>
      </c>
      <c r="D38" s="264"/>
      <c r="E38" s="264"/>
      <c r="F38" s="303">
        <f>'数据-取费表'!B36</f>
        <v>1.4999999999999999E-2</v>
      </c>
      <c r="G38" s="263" t="s">
        <v>2384</v>
      </c>
    </row>
    <row r="39" spans="1:7" s="258" customFormat="1" ht="13.5" customHeight="1">
      <c r="A39" s="299" t="s">
        <v>2390</v>
      </c>
      <c r="B39" s="254" t="s">
        <v>2391</v>
      </c>
      <c r="C39" s="276">
        <f ca="1">ROUND(C33*F20,0)</f>
        <v>755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1658</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ROUND(IF('数据-取费表'!B22&lt;=1,C33*F22*'数据-取费表'!B20/2,C33*(POWER((1+F22),'数据-取费表'!B20/2)-1)),0)</f>
        <v>1642</v>
      </c>
      <c r="D42" s="282"/>
      <c r="E42" s="282"/>
      <c r="F42" s="283"/>
      <c r="G42" s="3207" t="s">
        <v>2447</v>
      </c>
    </row>
    <row r="43" spans="1:7" ht="13.5" customHeight="1">
      <c r="A43" s="951" t="s">
        <v>791</v>
      </c>
      <c r="B43" s="259" t="s">
        <v>2401</v>
      </c>
      <c r="C43" s="282">
        <f ca="1">ROUND(IF('数据-取费表'!B22&lt;=1,C39*F22*'数据-取费表'!B20/2,C39*(POWER((1+F22),'数据-取费表'!B20/2)-1)),0)</f>
        <v>16</v>
      </c>
      <c r="D43" s="282"/>
      <c r="E43" s="282"/>
      <c r="F43" s="283"/>
      <c r="G43" s="3208"/>
    </row>
    <row r="44" spans="1:7" ht="13.5" customHeight="1">
      <c r="A44" s="951" t="s">
        <v>792</v>
      </c>
      <c r="B44" s="259" t="s">
        <v>2402</v>
      </c>
      <c r="C44" s="282">
        <f ca="1">ROUND(IF('数据-取费表'!B22&lt;=1,C40*F22*'数据-取费表'!B20/2,C40*(POWER((1+F22),'数据-取费表'!B20/2)-1)),4)</f>
        <v>2.0000000000000001E-4</v>
      </c>
      <c r="D44" s="282"/>
      <c r="E44" s="282"/>
      <c r="F44" s="283"/>
      <c r="G44" s="3209"/>
    </row>
    <row r="45" spans="1:7" s="258" customFormat="1" ht="13.5" customHeight="1">
      <c r="A45" s="299" t="s">
        <v>2403</v>
      </c>
      <c r="B45" s="288" t="s">
        <v>2369</v>
      </c>
      <c r="C45" s="289">
        <f ca="1">C46</f>
        <v>11434</v>
      </c>
      <c r="D45" s="279">
        <f ca="1">C47</f>
        <v>1.5E-3</v>
      </c>
      <c r="E45" s="280" t="s">
        <v>2395</v>
      </c>
      <c r="F45" s="290"/>
      <c r="G45" s="291" t="s">
        <v>2404</v>
      </c>
    </row>
    <row r="46" spans="1:7" s="258" customFormat="1" ht="13.5" customHeight="1">
      <c r="A46" s="951" t="s">
        <v>790</v>
      </c>
      <c r="B46" s="292" t="s">
        <v>2405</v>
      </c>
      <c r="C46" s="293">
        <f ca="1">ROUND((C33+C39)*F27,0)</f>
        <v>11434</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95438</v>
      </c>
      <c r="D49" s="276"/>
      <c r="E49" s="276"/>
      <c r="F49" s="308"/>
      <c r="G49" s="278" t="s">
        <v>2410</v>
      </c>
    </row>
    <row r="50" spans="1:7" s="302" customFormat="1">
      <c r="A50" s="299" t="s">
        <v>2411</v>
      </c>
      <c r="B50" s="254" t="s">
        <v>2412</v>
      </c>
      <c r="C50" s="276"/>
      <c r="D50" s="276"/>
      <c r="E50" s="276"/>
      <c r="F50" s="308">
        <f ca="1">'收益法 (商业1)'!F13</f>
        <v>0.6</v>
      </c>
      <c r="G50" s="291"/>
    </row>
    <row r="51" spans="1:7" ht="16.5" customHeight="1">
      <c r="A51" s="299" t="s">
        <v>2414</v>
      </c>
      <c r="B51" s="254" t="s">
        <v>2449</v>
      </c>
      <c r="C51" s="276">
        <f ca="1">ROUND(C49*F50,0)</f>
        <v>57263</v>
      </c>
      <c r="D51" s="276"/>
      <c r="E51" s="276"/>
      <c r="F51" s="308"/>
      <c r="G51" s="278" t="s">
        <v>2416</v>
      </c>
    </row>
    <row r="52" spans="1:7" s="252" customFormat="1" ht="16.5" thickBot="1">
      <c r="A52" s="309" t="s">
        <v>2417</v>
      </c>
      <c r="B52" s="310"/>
      <c r="C52" s="311">
        <f ca="1">C31+C51</f>
        <v>1648352</v>
      </c>
      <c r="D52" s="310"/>
      <c r="E52" s="310"/>
      <c r="F52" s="310"/>
      <c r="G52" s="312"/>
    </row>
    <row r="55" spans="1:7" ht="15">
      <c r="B55" s="314" t="s">
        <v>2418</v>
      </c>
      <c r="C55" s="315"/>
    </row>
    <row r="56" spans="1:7">
      <c r="B56" s="317" t="s">
        <v>1504</v>
      </c>
      <c r="C56" s="319">
        <f ca="1">1-C57</f>
        <v>0.96499999999999997</v>
      </c>
    </row>
    <row r="57" spans="1:7">
      <c r="B57" s="317" t="s">
        <v>1505</v>
      </c>
      <c r="C57" s="318">
        <f ca="1">ROUND(C51/C52,3)</f>
        <v>3.5000000000000003E-2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12</v>
      </c>
    </row>
    <row r="2" spans="1:33" ht="18" customHeight="1">
      <c r="A2" s="245" t="s">
        <v>2318</v>
      </c>
      <c r="B2" s="248">
        <f ca="1">C32</f>
        <v>-60</v>
      </c>
      <c r="C2" s="320" t="s">
        <v>2451</v>
      </c>
      <c r="D2" s="320"/>
      <c r="E2" s="320"/>
      <c r="F2" s="320"/>
      <c r="G2" s="320"/>
      <c r="H2" s="320"/>
      <c r="I2" s="320"/>
      <c r="J2" s="320"/>
      <c r="K2" s="320"/>
    </row>
    <row r="3" spans="1:33" ht="18" customHeight="1" thickBot="1">
      <c r="A3" s="247" t="s">
        <v>2320</v>
      </c>
      <c r="B3" s="248">
        <f ca="1">ROUND(B2*10000/IF(C1="",'数据-汇总表'!E3,INDIRECT("'数据-取费表'!K"&amp;$K$1)),0)</f>
        <v>-231</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1" t="s">
        <v>2456</v>
      </c>
      <c r="D5" s="2551" t="s">
        <v>2457</v>
      </c>
      <c r="E5" s="2551" t="s">
        <v>2458</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1326</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2472</v>
      </c>
      <c r="C12" s="24">
        <f ca="1">ROUND(C11*F12,0)</f>
        <v>0</v>
      </c>
      <c r="D12" s="973"/>
      <c r="E12" s="375"/>
      <c r="F12" s="976">
        <f>'数据-取费表'!B33</f>
        <v>0.03</v>
      </c>
      <c r="G12" s="8" t="s">
        <v>2473</v>
      </c>
      <c r="H12" s="968"/>
      <c r="I12" s="968"/>
      <c r="J12" s="968"/>
      <c r="K12" s="969"/>
    </row>
    <row r="13" spans="1:33" s="975" customFormat="1" ht="13.5" customHeight="1">
      <c r="A13" s="971" t="s">
        <v>1328</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1329</v>
      </c>
      <c r="B14" s="972" t="s">
        <v>2476</v>
      </c>
      <c r="C14" s="24">
        <f ca="1">ROUND(D14*E14*F11/10000,0)</f>
        <v>0</v>
      </c>
      <c r="D14" s="1033">
        <f ca="1">IF(C1="",'数据-汇总表'!E3,INDIRECT("'数据-取费表'!K"&amp;$K$1)+INDIRECT("'数据-取费表'!S"&amp;$K$1))</f>
        <v>2602.9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2481</v>
      </c>
      <c r="C17" s="24">
        <f ca="1">ROUND(D17*E17/10000,0)</f>
        <v>0</v>
      </c>
      <c r="D17" s="1033">
        <f ca="1">D14</f>
        <v>2602.9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2483</v>
      </c>
      <c r="C18" s="24">
        <f ca="1">C19+C20-IF(C1="",'数据-取费表'!B29,IF(G18="已全部缴纳",C19+C20,H18))</f>
        <v>52</v>
      </c>
      <c r="D18" s="1033"/>
      <c r="E18" s="24"/>
      <c r="F18" s="976"/>
      <c r="G18" s="2553"/>
      <c r="H18" s="1577"/>
      <c r="I18" s="2554" t="s">
        <v>2484</v>
      </c>
      <c r="J18" s="979"/>
      <c r="K18" s="980"/>
    </row>
    <row r="19" spans="1:33" s="975" customFormat="1" ht="13.5" customHeight="1">
      <c r="A19" s="971" t="s">
        <v>804</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805</v>
      </c>
      <c r="B20" s="972" t="s">
        <v>2486</v>
      </c>
      <c r="C20" s="24">
        <f ca="1">ROUND(D20*E20/10000,0)</f>
        <v>52</v>
      </c>
      <c r="D20" s="1033">
        <f ca="1">IF(C1="",'数据-汇总表'!E6,IF(INDIRECT("'数据-取费表'!c"&amp;$K$1)="住宅",INDIRECT("'数据-取费表'!s"&amp;$K$1),INDIRECT("'数据-取费表'!k"&amp;$K$1)+INDIRECT("'数据-取费表'!s"&amp;$K$1)))</f>
        <v>2602.9</v>
      </c>
      <c r="E20" s="24">
        <f>'数据-取费表'!B28</f>
        <v>200</v>
      </c>
      <c r="F20" s="976"/>
      <c r="G20" s="15"/>
      <c r="H20" s="981"/>
      <c r="I20" s="981"/>
      <c r="J20" s="981"/>
      <c r="K20" s="982"/>
    </row>
    <row r="21" spans="1:33" s="975" customFormat="1" ht="13.5" customHeight="1">
      <c r="A21" s="961" t="s">
        <v>801</v>
      </c>
      <c r="B21" s="985" t="s">
        <v>2487</v>
      </c>
      <c r="C21" s="986">
        <f ca="1">C16+C17+C18</f>
        <v>52</v>
      </c>
      <c r="D21" s="987"/>
      <c r="E21" s="325"/>
      <c r="F21" s="325"/>
      <c r="G21" s="140" t="s">
        <v>2488</v>
      </c>
      <c r="H21" s="979"/>
      <c r="I21" s="979"/>
      <c r="J21" s="979"/>
      <c r="K21" s="980"/>
    </row>
    <row r="22" spans="1:33" s="975" customFormat="1" ht="13.5" customHeight="1">
      <c r="A22" s="961" t="s">
        <v>2460</v>
      </c>
      <c r="B22" s="985" t="s">
        <v>2489</v>
      </c>
      <c r="C22" s="986">
        <f ca="1">ROUND(C21*F22,0)</f>
        <v>1</v>
      </c>
      <c r="D22" s="325"/>
      <c r="E22" s="325"/>
      <c r="F22" s="988">
        <f>'数据-取费表'!B37</f>
        <v>0.01</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2498</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2499</v>
      </c>
      <c r="C27" s="1358">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9"/>
      <c r="I27" s="979"/>
      <c r="J27" s="979"/>
      <c r="K27" s="980"/>
    </row>
    <row r="28" spans="1:33" s="333" customFormat="1" ht="13.5" customHeight="1">
      <c r="A28" s="961" t="s">
        <v>2500</v>
      </c>
      <c r="B28" s="2556" t="s">
        <v>2501</v>
      </c>
      <c r="C28" s="331">
        <f ca="1">C30</f>
        <v>9</v>
      </c>
      <c r="D28" s="324">
        <f ca="1">C29</f>
        <v>0</v>
      </c>
      <c r="E28" s="326" t="s">
        <v>15</v>
      </c>
      <c r="F28" s="332">
        <f ca="1">IF(C1="",'数据-取费表'!Q16,INDIRECT("'数据-取费表'!q"&amp;$K$1))</f>
        <v>0.17</v>
      </c>
      <c r="G28" s="989"/>
      <c r="H28" s="990"/>
      <c r="I28" s="990"/>
      <c r="J28" s="990"/>
      <c r="K28" s="991"/>
    </row>
    <row r="29" spans="1:33" s="335" customFormat="1" ht="13.5" customHeight="1">
      <c r="A29" s="971" t="s">
        <v>802</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803</v>
      </c>
      <c r="B30" s="994" t="s">
        <v>2504</v>
      </c>
      <c r="C30" s="336">
        <f ca="1">ROUND((C21+C22+C23)*F28,0)</f>
        <v>9</v>
      </c>
      <c r="D30" s="328"/>
      <c r="E30" s="329"/>
      <c r="F30" s="334"/>
      <c r="G30" s="140"/>
      <c r="H30" s="979"/>
      <c r="I30" s="979"/>
      <c r="J30" s="979"/>
      <c r="K30" s="980"/>
    </row>
    <row r="31" spans="1:33" s="975" customFormat="1" ht="13.5" customHeight="1" thickBot="1">
      <c r="A31" s="2557"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-60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c r="D1" s="1820"/>
      <c r="E1" s="1821" t="s">
        <v>1378</v>
      </c>
      <c r="F1" s="1283">
        <f ca="1">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t="e">
        <f ca="1">C40+J29+L46</f>
        <v>#DIV/0!</v>
      </c>
      <c r="C2" s="1845" t="s">
        <v>1507</v>
      </c>
      <c r="D2" s="1845"/>
      <c r="E2" s="1846"/>
      <c r="F2" s="1847"/>
      <c r="G2" s="1848"/>
      <c r="H2" s="1840"/>
      <c r="I2" s="1840"/>
      <c r="J2" s="1840"/>
      <c r="K2" s="1841"/>
      <c r="L2" s="1840"/>
      <c r="M2" s="1840"/>
    </row>
    <row r="3" spans="1:37" ht="18" customHeight="1" thickBot="1">
      <c r="A3" s="1849" t="s">
        <v>1508</v>
      </c>
      <c r="B3" s="1850">
        <f ca="1">IF(ISERROR(B2*10000/F43),0,ROUND(B2*10000/F43,0))</f>
        <v>0</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0</v>
      </c>
      <c r="D5" s="1822" t="s">
        <v>1393</v>
      </c>
      <c r="E5" s="1293"/>
      <c r="F5" s="1294"/>
      <c r="G5" s="1851"/>
      <c r="H5" s="344">
        <v>1</v>
      </c>
      <c r="I5" s="345" t="s">
        <v>1392</v>
      </c>
      <c r="J5" s="1292">
        <f ca="1">J6+J10+J12</f>
        <v>0</v>
      </c>
      <c r="K5" s="1822" t="s">
        <v>1393</v>
      </c>
      <c r="L5" s="1293"/>
      <c r="M5" s="1294"/>
    </row>
    <row r="6" spans="1:37" ht="18" customHeight="1">
      <c r="A6" s="1291" t="s">
        <v>1030</v>
      </c>
      <c r="B6" s="3220" t="s">
        <v>1394</v>
      </c>
      <c r="C6" s="1296">
        <f ca="1">ROUND(F6*F8*F7*(1-F9)/10000,0)</f>
        <v>0</v>
      </c>
      <c r="D6" s="164" t="s">
        <v>3020</v>
      </c>
      <c r="E6" s="347" t="s">
        <v>1396</v>
      </c>
      <c r="F6" s="348">
        <f ca="1">INDIRECT("'数据-取费表'!u"&amp;$G$1)</f>
        <v>0</v>
      </c>
      <c r="G6" s="1851"/>
      <c r="H6" s="1291" t="s">
        <v>1030</v>
      </c>
      <c r="I6" s="3220" t="s">
        <v>1394</v>
      </c>
      <c r="J6" s="346">
        <f ca="1">ROUND(M6*M8*M7*(1-M9)/10000,0)</f>
        <v>0</v>
      </c>
      <c r="K6" s="164" t="s">
        <v>3019</v>
      </c>
      <c r="L6" s="347" t="s">
        <v>1396</v>
      </c>
      <c r="M6" s="348">
        <f ca="1">INDIRECT("'数据-取费表'!z"&amp;$G$1)</f>
        <v>0</v>
      </c>
    </row>
    <row r="7" spans="1:37" ht="18" customHeight="1">
      <c r="A7" s="1295"/>
      <c r="B7" s="3221"/>
      <c r="C7" s="1297"/>
      <c r="D7" s="352"/>
      <c r="E7" s="1298" t="s">
        <v>1397</v>
      </c>
      <c r="F7" s="348">
        <f ca="1">IF(INDIRECT("'数据-取费表'!ah"&amp;$G$1)="",INDIRECT("'数据-取费表'!k"&amp;$G$1),INDIRECT("'数据-取费表'!ah"&amp;$G$1))</f>
        <v>0</v>
      </c>
      <c r="G7" s="1851"/>
      <c r="H7" s="349"/>
      <c r="I7" s="3221"/>
      <c r="J7" s="351"/>
      <c r="K7" s="352"/>
      <c r="L7" s="347" t="s">
        <v>1397</v>
      </c>
      <c r="M7" s="348">
        <f ca="1">F7</f>
        <v>0</v>
      </c>
    </row>
    <row r="8" spans="1:37" ht="18" customHeight="1">
      <c r="A8" s="349"/>
      <c r="B8" s="3221"/>
      <c r="C8" s="351"/>
      <c r="D8" s="352"/>
      <c r="E8" s="347" t="s">
        <v>1398</v>
      </c>
      <c r="F8" s="348">
        <f ca="1">INDIRECT("'数据-取费表'!ai"&amp;$G$1)</f>
        <v>0</v>
      </c>
      <c r="G8" s="1851"/>
      <c r="H8" s="349"/>
      <c r="I8" s="3221"/>
      <c r="J8" s="351"/>
      <c r="K8" s="352"/>
      <c r="L8" s="347" t="s">
        <v>1398</v>
      </c>
      <c r="M8" s="348">
        <f ca="1">INDIRECT("'数据-取费表'!ai"&amp;$G$1)</f>
        <v>0</v>
      </c>
    </row>
    <row r="9" spans="1:37" ht="18" customHeight="1">
      <c r="A9" s="349"/>
      <c r="B9" s="3222"/>
      <c r="C9" s="351"/>
      <c r="D9" s="352"/>
      <c r="E9" s="347" t="s">
        <v>1399</v>
      </c>
      <c r="F9" s="357">
        <f ca="1">INDIRECT("'数据-取费表'!w"&amp;$G$1)</f>
        <v>0</v>
      </c>
      <c r="G9" s="1851"/>
      <c r="H9" s="349"/>
      <c r="I9" s="3222"/>
      <c r="J9" s="351"/>
      <c r="K9" s="352"/>
      <c r="L9" s="358" t="s">
        <v>1399</v>
      </c>
      <c r="M9" s="359">
        <f ca="1">INDIRECT("'数据-取费表'!ab"&amp;$G$1)</f>
        <v>0</v>
      </c>
    </row>
    <row r="10" spans="1:37" ht="18" customHeight="1">
      <c r="A10" s="1291" t="s">
        <v>1034</v>
      </c>
      <c r="B10" s="1823" t="s">
        <v>1400</v>
      </c>
      <c r="C10" s="361">
        <f ca="1">ROUND(IF(F10="押一",C6/12*F11,IF(F10="押二",C6/12*2*F11,IF(F10="押三",C6/12*3*F11,C11*F11))),0)</f>
        <v>0</v>
      </c>
      <c r="D10" s="1824" t="s">
        <v>3029</v>
      </c>
      <c r="E10" s="358" t="s">
        <v>1401</v>
      </c>
      <c r="F10" s="1366"/>
      <c r="G10" s="1851"/>
      <c r="H10" s="1291" t="s">
        <v>1034</v>
      </c>
      <c r="I10" s="1823" t="s">
        <v>1400</v>
      </c>
      <c r="J10" s="346">
        <f ca="1">ROUND(IF(M10="押一",J6/12*M11,IF(M10="押二",J6/12*2*M11,IF(M10="押三",J6/12*3*M11,J11*M11))),0)</f>
        <v>0</v>
      </c>
      <c r="K10" s="1824" t="s">
        <v>3028</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1029</v>
      </c>
      <c r="B14" s="347" t="s">
        <v>1408</v>
      </c>
      <c r="C14" s="363">
        <f ca="1">INDIRECT("'数据-取费表'!m"&amp;$G$1)+INDIRECT("'数据-取费表'!t"&amp;$G$1)</f>
        <v>0</v>
      </c>
      <c r="D14" s="1800" t="s">
        <v>1409</v>
      </c>
      <c r="E14" s="1794"/>
      <c r="F14" s="364"/>
      <c r="G14" s="1851"/>
      <c r="H14" s="1201" t="s">
        <v>1030</v>
      </c>
      <c r="I14" s="347" t="s">
        <v>1410</v>
      </c>
      <c r="J14" s="24">
        <f ca="1">C29</f>
        <v>0</v>
      </c>
      <c r="K14" s="15"/>
      <c r="L14" s="979"/>
      <c r="M14" s="980"/>
    </row>
    <row r="15" spans="1:37" s="1858" customFormat="1" ht="18" customHeight="1" thickBot="1">
      <c r="A15" s="1201" t="s">
        <v>1031</v>
      </c>
      <c r="B15" s="347" t="s">
        <v>1411</v>
      </c>
      <c r="C15" s="24">
        <f ca="1">ROUND(C14*F15,0)</f>
        <v>0</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1025</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ROUND(F17*(F43+INDIRECT("'数据-取费表'!S"&amp;$G$1))/10000,0)</f>
        <v>0</v>
      </c>
      <c r="D17" s="347" t="s">
        <v>1418</v>
      </c>
      <c r="E17" s="347" t="s">
        <v>1419</v>
      </c>
      <c r="F17" s="26">
        <f>'数据-取费表'!B35</f>
        <v>200</v>
      </c>
      <c r="G17" s="1854"/>
      <c r="H17" s="1201" t="s">
        <v>1030</v>
      </c>
      <c r="I17" s="347" t="s">
        <v>1420</v>
      </c>
      <c r="J17" s="24">
        <f ca="1">ROUND(IF(项目基本情况!B11="自然人",J6*M17/(1+'数据-取费表'!C42),J18+J19+J20),1)</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1029</v>
      </c>
      <c r="I18" s="347" t="s">
        <v>1424</v>
      </c>
      <c r="J18" s="24">
        <f ca="1">ROUND(J6*M18/(1+'数据-取费表'!C42),2)</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0</v>
      </c>
      <c r="D19" s="140" t="s">
        <v>1427</v>
      </c>
      <c r="E19" s="1818"/>
      <c r="F19" s="26"/>
      <c r="G19" s="1851"/>
      <c r="H19" s="1201" t="s">
        <v>1031</v>
      </c>
      <c r="I19" s="347" t="s">
        <v>1428</v>
      </c>
      <c r="J19" s="24">
        <f ca="1">IF(K19="按租金收入计税",ROUND(J6*M19/(1+'数据-取费表'!C42),2),ROUND(C29*M19*0.7,2))</f>
        <v>0</v>
      </c>
      <c r="K19" s="1828" t="s">
        <v>1429</v>
      </c>
      <c r="L19" s="347" t="s">
        <v>1413</v>
      </c>
      <c r="M19" s="367">
        <f>IF(K19="按租金收入计税",'数据-取费表'!B51,'数据-取费表'!B50)</f>
        <v>1.2E-2</v>
      </c>
    </row>
    <row r="20" spans="1:37" s="1858" customFormat="1" ht="18" customHeight="1">
      <c r="A20" s="1201" t="s">
        <v>1034</v>
      </c>
      <c r="B20" s="347" t="s">
        <v>1430</v>
      </c>
      <c r="C20" s="24">
        <f ca="1">ROUND(C19*F20,0)</f>
        <v>0</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1034</v>
      </c>
      <c r="I22" s="347" t="s">
        <v>1440</v>
      </c>
      <c r="J22" s="24">
        <f ca="1">ROUND(J14*M22,1)</f>
        <v>0</v>
      </c>
      <c r="K22" s="1798" t="s">
        <v>1441</v>
      </c>
      <c r="L22" s="347" t="s">
        <v>1413</v>
      </c>
      <c r="M22" s="374">
        <f ca="1">INDIRECT("'数据-取费表'!Ak"&amp;$G$1)</f>
        <v>0</v>
      </c>
    </row>
    <row r="23" spans="1:37" s="1858" customFormat="1" ht="18" customHeight="1">
      <c r="A23" s="1201" t="s">
        <v>1029</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ROUND(J13*M23,1)</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1026</v>
      </c>
      <c r="I25" s="1344" t="s">
        <v>1454</v>
      </c>
      <c r="J25" s="355">
        <f ca="1">J5-J16</f>
        <v>0</v>
      </c>
      <c r="K25" s="1345" t="s">
        <v>1455</v>
      </c>
      <c r="L25" s="1346"/>
      <c r="M25" s="1347"/>
    </row>
    <row r="26" spans="1:37">
      <c r="A26" s="1201" t="s">
        <v>1029</v>
      </c>
      <c r="B26" s="347" t="s">
        <v>1456</v>
      </c>
      <c r="C26" s="24">
        <f ca="1">ROUND((C19+C20)*F26,0)</f>
        <v>0</v>
      </c>
      <c r="D26" s="369" t="s">
        <v>1457</v>
      </c>
      <c r="E26" s="358" t="s">
        <v>1458</v>
      </c>
      <c r="F26" s="357">
        <f ca="1">INDIRECT("'数据-取费表'!q"&amp;$G$1)</f>
        <v>0</v>
      </c>
      <c r="G26" s="1851"/>
      <c r="H26" s="344" t="s">
        <v>1027</v>
      </c>
      <c r="I26" s="345" t="s">
        <v>1459</v>
      </c>
      <c r="J26" s="346">
        <f ca="1">IF(J5&lt;&gt;0,ROUND(J25*(1-((1+M28)/(1+M26))^M27)/(M26-M28),0),0)</f>
        <v>0</v>
      </c>
      <c r="K26" s="370" t="s">
        <v>1460</v>
      </c>
      <c r="L26" s="347" t="s">
        <v>1461</v>
      </c>
      <c r="M26" s="357">
        <f ca="1">INDIRECT("'数据-取费表'!I"&amp;$G$1)</f>
        <v>0</v>
      </c>
    </row>
    <row r="27" spans="1:37" ht="18" customHeight="1">
      <c r="A27" s="1201" t="s">
        <v>1031</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0</v>
      </c>
      <c r="D29" s="1342"/>
      <c r="E29" s="1340"/>
      <c r="F29" s="1343"/>
      <c r="G29" s="1854"/>
      <c r="H29" s="380" t="s">
        <v>1028</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0</v>
      </c>
      <c r="D30" s="1337" t="s">
        <v>1416</v>
      </c>
      <c r="E30" s="1338"/>
      <c r="F30" s="1294"/>
      <c r="G30" s="1851"/>
      <c r="H30" s="745"/>
      <c r="I30" s="746"/>
      <c r="J30" s="747"/>
      <c r="K30" s="748"/>
      <c r="L30" s="749"/>
      <c r="M30" s="750"/>
    </row>
    <row r="31" spans="1:37" ht="18" customHeight="1">
      <c r="A31" s="1201" t="s">
        <v>1030</v>
      </c>
      <c r="B31" s="347" t="s">
        <v>1420</v>
      </c>
      <c r="C31" s="24">
        <f ca="1">ROUND(IF(项目基本情况!B11="自然人",C6*F31/(1+'数据-取费表'!C42),C32+C33+C34),1)</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IF(项目基本情况!B11="自然人","——",ROUND(C6*F32/(1+'数据-取费表'!C42),2))</f>
        <v>0</v>
      </c>
      <c r="D32" s="1798"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IF(项目基本情况!B11="自然人","——",IF(D33="按租金收入计税",ROUND(C6*F33/(1+'数据-取费表'!C42),2),IF(D33="按房产原值计税",ROUND(C29*F33*0.7,2),INDIRECT("'数据-取费表'!Aj"&amp;$G$1))))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1034</v>
      </c>
      <c r="B36" s="347" t="s">
        <v>1440</v>
      </c>
      <c r="C36" s="24">
        <f ca="1">ROUND(C29*F36,1)</f>
        <v>0</v>
      </c>
      <c r="D36" s="1798" t="s">
        <v>1473</v>
      </c>
      <c r="E36" s="347" t="s">
        <v>1413</v>
      </c>
      <c r="F36" s="374">
        <f ca="1">INDIRECT("'数据-取费表'!Ak"&amp;$G$1)</f>
        <v>0</v>
      </c>
      <c r="G36" s="1851"/>
      <c r="H36" s="1859"/>
      <c r="I36" s="1860"/>
      <c r="J36" s="1861"/>
      <c r="K36" s="751"/>
      <c r="L36" s="1859"/>
      <c r="M36" s="1859"/>
    </row>
    <row r="37" spans="1:18" ht="18" customHeight="1">
      <c r="A37" s="1201" t="s">
        <v>1070</v>
      </c>
      <c r="B37" s="347" t="s">
        <v>1444</v>
      </c>
      <c r="C37" s="24">
        <f ca="1">ROUND(C13*F37,1)</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1026</v>
      </c>
      <c r="B39" s="1344" t="s">
        <v>1474</v>
      </c>
      <c r="C39" s="355">
        <f ca="1">C5-C30</f>
        <v>0</v>
      </c>
      <c r="D39" s="1345" t="s">
        <v>1475</v>
      </c>
      <c r="E39" s="1346"/>
      <c r="F39" s="1347"/>
      <c r="G39" s="1851"/>
      <c r="H39" s="1859"/>
      <c r="I39" s="1860"/>
      <c r="J39" s="1861"/>
      <c r="K39" s="1865"/>
      <c r="L39" s="1859"/>
      <c r="M39" s="1859"/>
    </row>
    <row r="40" spans="1:18" ht="18" customHeight="1">
      <c r="A40" s="344" t="s">
        <v>1027</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1028</v>
      </c>
      <c r="B43" s="381" t="s">
        <v>1478</v>
      </c>
      <c r="C43" s="382" t="e">
        <f ca="1">ROUND(C40*10000/F43,0)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t="e">
        <f ca="1">C68-C40</f>
        <v>#DIV/0!</v>
      </c>
      <c r="D46" s="1872" t="str">
        <f>C2</f>
        <v>万元</v>
      </c>
      <c r="E46" s="1866"/>
      <c r="F46" s="1866"/>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1035</v>
      </c>
      <c r="P47" s="1885" t="s">
        <v>1519</v>
      </c>
      <c r="Q47" s="1886" t="e">
        <f ca="1">C40+J29</f>
        <v>#DIV/0!</v>
      </c>
      <c r="R47" s="1886" t="s">
        <v>1520</v>
      </c>
    </row>
    <row r="48" spans="1:18" s="1842" customFormat="1" ht="28.5" thickBot="1">
      <c r="A48" s="1360" t="s">
        <v>1130</v>
      </c>
      <c r="B48" s="345" t="s">
        <v>1392</v>
      </c>
      <c r="C48" s="1817">
        <f ca="1">C49+C53+C55</f>
        <v>0</v>
      </c>
      <c r="D48" s="1362"/>
      <c r="E48" s="1363"/>
      <c r="F48" s="1181"/>
      <c r="G48" s="792"/>
      <c r="H48" s="793"/>
      <c r="I48" s="1887" t="s">
        <v>1521</v>
      </c>
      <c r="J48" s="1888"/>
      <c r="K48" s="1889" t="s">
        <v>1522</v>
      </c>
      <c r="L48" s="1890">
        <f ca="1">INDIRECT("'数据-取费表'!f"&amp;$G$1)</f>
        <v>0</v>
      </c>
      <c r="O48" s="1884" t="s">
        <v>1036</v>
      </c>
      <c r="P48" s="1885" t="s">
        <v>1523</v>
      </c>
      <c r="Q48" s="1886" t="e">
        <f ca="1">J60</f>
        <v>#DIV/0!</v>
      </c>
      <c r="R48" s="1886" t="s">
        <v>1524</v>
      </c>
    </row>
    <row r="49" spans="1:18" s="1842" customFormat="1" ht="13.5" thickBot="1">
      <c r="A49" s="1194" t="s">
        <v>1131</v>
      </c>
      <c r="B49" s="1829" t="s">
        <v>1481</v>
      </c>
      <c r="C49" s="1364">
        <f ca="1">ROUND(F49*F51*F50*(1-F52)/10000,0)</f>
        <v>0</v>
      </c>
      <c r="D49" s="1276" t="s">
        <v>3021</v>
      </c>
      <c r="E49" s="1830" t="s">
        <v>1482</v>
      </c>
      <c r="F49" s="1281"/>
      <c r="G49" s="1891"/>
      <c r="H49" s="793"/>
      <c r="I49" s="1887" t="s">
        <v>1525</v>
      </c>
      <c r="J49" s="1892"/>
      <c r="K49" s="1889" t="s">
        <v>1526</v>
      </c>
      <c r="L49" s="1893"/>
      <c r="O49" s="1894" t="s">
        <v>1037</v>
      </c>
      <c r="P49" s="1885" t="s">
        <v>1527</v>
      </c>
      <c r="Q49" s="1886">
        <f ca="1">C29</f>
        <v>0</v>
      </c>
      <c r="R49" s="1886" t="s">
        <v>1520</v>
      </c>
    </row>
    <row r="50" spans="1:18" s="1842" customFormat="1" ht="13.5" thickBot="1">
      <c r="A50" s="1195"/>
      <c r="B50" s="1198"/>
      <c r="C50" s="1368"/>
      <c r="D50" s="1172"/>
      <c r="E50" s="1277" t="s">
        <v>1397</v>
      </c>
      <c r="F50" s="1278">
        <f ca="1">F7</f>
        <v>0</v>
      </c>
      <c r="H50" s="793"/>
      <c r="I50" s="1887" t="s">
        <v>1528</v>
      </c>
      <c r="J50" s="1895">
        <f>SUMPRODUCT((I63:I65=J47)*(J62:L62=J48)*(J63:L65))</f>
        <v>0</v>
      </c>
      <c r="K50" s="1889" t="s">
        <v>1529</v>
      </c>
      <c r="L50" s="1893"/>
      <c r="M50" s="1896"/>
      <c r="O50" s="1894" t="s">
        <v>1038</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0</v>
      </c>
      <c r="R52" s="1886" t="s">
        <v>1537</v>
      </c>
    </row>
    <row r="53" spans="1:18" s="1842" customFormat="1" ht="24.75" thickBot="1">
      <c r="A53" s="1405" t="s">
        <v>1132</v>
      </c>
      <c r="B53" s="1831" t="s">
        <v>1400</v>
      </c>
      <c r="C53" s="361">
        <f ca="1">ROUND(IF(F53="押一",C49/12*F11,IF(F53="押二",C49/12*2*F11,IF(F53="押三",C49/12*3*F11,C54*F11))),0)</f>
        <v>0</v>
      </c>
      <c r="D53" s="1824" t="s">
        <v>3028</v>
      </c>
      <c r="E53" s="358" t="s">
        <v>1401</v>
      </c>
      <c r="F53" s="1366"/>
      <c r="I53" s="1905" t="s">
        <v>1538</v>
      </c>
      <c r="J53" s="2947">
        <f ca="1">IF(M47="住宅",IF(D1="——",MAX(J51,L48),MAX(J51,L48-'数据-取费表'!B24)),IF(D1="——",MIN(J51,L48),MIN(J51,L48-'数据-取费表'!B24)))</f>
        <v>0</v>
      </c>
      <c r="K53" s="3218" t="s">
        <v>1539</v>
      </c>
      <c r="L53" s="3219"/>
      <c r="O53" s="1884" t="s">
        <v>1041</v>
      </c>
      <c r="P53" s="1885" t="s">
        <v>1540</v>
      </c>
      <c r="Q53" s="1886" t="e">
        <f ca="1">Q47+Q48</f>
        <v>#DIV/0!</v>
      </c>
      <c r="R53" s="1886" t="s">
        <v>1042</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#DIV/0!</v>
      </c>
      <c r="K55" s="1911" t="s">
        <v>1543</v>
      </c>
      <c r="L55" s="1912" t="s">
        <v>1544</v>
      </c>
      <c r="O55" s="1877" t="s">
        <v>1513</v>
      </c>
      <c r="P55" s="1878" t="s">
        <v>1514</v>
      </c>
      <c r="Q55" s="1879" t="s">
        <v>1515</v>
      </c>
      <c r="R55" s="1879" t="s">
        <v>1516</v>
      </c>
    </row>
    <row r="56" spans="1:18" s="1842" customFormat="1" ht="25.5" thickTop="1" thickBot="1">
      <c r="A56" s="1176">
        <v>2</v>
      </c>
      <c r="B56" s="1177" t="s">
        <v>1405</v>
      </c>
      <c r="C56" s="276">
        <f ca="1">C13</f>
        <v>0</v>
      </c>
      <c r="D56" s="1913"/>
      <c r="E56" s="1914"/>
      <c r="F56" s="1906"/>
      <c r="I56" s="1915" t="s">
        <v>1545</v>
      </c>
      <c r="J56" s="1916"/>
      <c r="K56" s="1887" t="s">
        <v>1546</v>
      </c>
      <c r="L56" s="1890">
        <f ca="1">IF(L48&lt;J51,"——",L48-J53)</f>
        <v>0</v>
      </c>
      <c r="O56" s="1884" t="s">
        <v>1035</v>
      </c>
      <c r="P56" s="1885" t="s">
        <v>1519</v>
      </c>
      <c r="Q56" s="1886" t="e">
        <f ca="1">C40+J29</f>
        <v>#DIV/0!</v>
      </c>
      <c r="R56" s="1886" t="s">
        <v>1520</v>
      </c>
    </row>
    <row r="57" spans="1:18" s="1842" customFormat="1" ht="24.75" thickBot="1">
      <c r="A57" s="1917"/>
      <c r="B57" s="1169" t="s">
        <v>1469</v>
      </c>
      <c r="C57" s="282">
        <f ca="1">C29</f>
        <v>0</v>
      </c>
      <c r="D57" s="1918"/>
      <c r="E57" s="1919"/>
      <c r="F57" s="1920"/>
      <c r="I57" s="1921" t="s">
        <v>1547</v>
      </c>
      <c r="J57" s="1922">
        <f ca="1">IF(OR(M47="住宅",J51&lt;L48,J56="是"),"——",J51-L48)</f>
        <v>0</v>
      </c>
      <c r="K57" s="1887" t="s">
        <v>1548</v>
      </c>
      <c r="L57" s="1890">
        <f ca="1">IF(L48&lt;J51,"——",IF(L55="比较法",L49,IF(L55="基准地价",L50,L51)))</f>
        <v>0</v>
      </c>
      <c r="O57" s="1884" t="s">
        <v>1036</v>
      </c>
      <c r="P57" s="1885" t="s">
        <v>1549</v>
      </c>
      <c r="Q57" s="1886" t="e">
        <f ca="1">L60</f>
        <v>#DIV/0!</v>
      </c>
      <c r="R57" s="1886" t="s">
        <v>1550</v>
      </c>
    </row>
    <row r="58" spans="1:18" s="1842" customFormat="1" ht="24.75" thickBot="1">
      <c r="A58" s="360" t="s">
        <v>1025</v>
      </c>
      <c r="B58" s="1177" t="s">
        <v>1415</v>
      </c>
      <c r="C58" s="361">
        <f ca="1">ROUND(C59+C64+C65+C66,0)</f>
        <v>0</v>
      </c>
      <c r="D58" s="1179" t="s">
        <v>1416</v>
      </c>
      <c r="E58" s="1180"/>
      <c r="F58" s="1181"/>
      <c r="I58" s="1921" t="s">
        <v>1551</v>
      </c>
      <c r="J58" s="1923" t="e">
        <f ca="1">IF(J55&lt;0.4,0.4,J55)</f>
        <v>#DIV/0!</v>
      </c>
      <c r="K58" s="1900" t="s">
        <v>1552</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ROUND(IF(项目基本情况!B11="自然人",C48*F59,C60+C61+C62),1)</f>
        <v>0</v>
      </c>
      <c r="D59" s="1182" t="s">
        <v>1421</v>
      </c>
      <c r="E59" s="1183" t="s">
        <v>1422</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IF(项目基本情况!B11="自然人","——",ROUND(C48*F60/(1+'数据-取费表'!C42),2))</f>
        <v>0</v>
      </c>
      <c r="D60" s="1183" t="s">
        <v>1425</v>
      </c>
      <c r="E60" s="1169" t="s">
        <v>1413</v>
      </c>
      <c r="F60" s="377">
        <f t="shared" ref="F60:F66" si="0">F32</f>
        <v>5.5000000000000007E-2</v>
      </c>
      <c r="I60" s="1924" t="s">
        <v>1556</v>
      </c>
      <c r="J60" s="1925" t="e">
        <f ca="1">IF(OR(M47="住宅",J51&lt;L48,J56="是"),"0",ROUND(J59/(1+J52)^J53,0))</f>
        <v>#DIV/0!</v>
      </c>
      <c r="K60" s="1926" t="s">
        <v>1557</v>
      </c>
      <c r="L60" s="1925" t="e">
        <f ca="1">IF(OR(M47="住宅",L48&lt;J51),0,ROUND(L57*(L58/L59-1),0))</f>
        <v>#DIV/0!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IF(项目基本情况!B11="自然人","——",IF(D61="按租金收入计税",ROUND(C48*F61,2),IF(D61="按房产原值计税",ROUND(C57*F61*0.7,2),INDIRECT("'数据-取费表'!Aj"&amp;$G$1))))</f>
        <v>0</v>
      </c>
      <c r="D61" s="1828" t="s">
        <v>1429</v>
      </c>
      <c r="E61" s="1169" t="s">
        <v>1485</v>
      </c>
      <c r="F61" s="367">
        <f t="shared" si="0"/>
        <v>1.2E-2</v>
      </c>
      <c r="I61" s="1927"/>
      <c r="J61" s="1927"/>
      <c r="K61" s="1927"/>
      <c r="L61" s="1927"/>
      <c r="O61" s="1894" t="s">
        <v>1040</v>
      </c>
      <c r="P61" s="1885" t="str">
        <f>K59</f>
        <v>建设期及建筑物耐用年限下的土地年期修正系数Kn</v>
      </c>
      <c r="Q61" s="1886" t="e">
        <f ca="1">L59</f>
        <v>#DIV/0!</v>
      </c>
      <c r="R61" s="1886" t="s">
        <v>1560</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1561</v>
      </c>
      <c r="J62" s="1929" t="s">
        <v>1562</v>
      </c>
      <c r="K62" s="1929" t="s">
        <v>1563</v>
      </c>
      <c r="L62" s="1929" t="s">
        <v>1564</v>
      </c>
      <c r="M62" s="1930" t="s">
        <v>1565</v>
      </c>
      <c r="O62" s="1884" t="s">
        <v>1041</v>
      </c>
      <c r="P62" s="1885" t="s">
        <v>1566</v>
      </c>
      <c r="Q62" s="1886" t="e">
        <f ca="1">Q56+Q57</f>
        <v>#DIV/0!</v>
      </c>
      <c r="R62" s="1886" t="s">
        <v>1042</v>
      </c>
    </row>
    <row r="63" spans="1:18" s="1842" customFormat="1" ht="13.5" thickBot="1">
      <c r="A63" s="372"/>
      <c r="B63" s="1175"/>
      <c r="C63" s="29"/>
      <c r="D63" s="1185"/>
      <c r="E63" s="1169" t="s">
        <v>1490</v>
      </c>
      <c r="F63" s="348">
        <f t="shared" ca="1" si="0"/>
        <v>0</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ROUND(C57*F64,1)</f>
        <v>0</v>
      </c>
      <c r="D64" s="1183" t="s">
        <v>1493</v>
      </c>
      <c r="E64" s="1169" t="s">
        <v>1485</v>
      </c>
      <c r="F64" s="374">
        <f t="shared" ca="1" si="0"/>
        <v>0</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0</v>
      </c>
      <c r="D65" s="1183" t="s">
        <v>1445</v>
      </c>
      <c r="E65" s="1169" t="s">
        <v>1446</v>
      </c>
      <c r="F65" s="376">
        <f t="shared" ca="1" si="0"/>
        <v>0</v>
      </c>
      <c r="I65" s="1928" t="s">
        <v>1570</v>
      </c>
      <c r="J65" s="1929">
        <v>40</v>
      </c>
      <c r="K65" s="1929">
        <v>30</v>
      </c>
      <c r="L65" s="1929">
        <v>50</v>
      </c>
      <c r="M65" s="1931">
        <v>0.02</v>
      </c>
      <c r="O65" s="1884" t="s">
        <v>1035</v>
      </c>
      <c r="P65" s="1885" t="s">
        <v>1571</v>
      </c>
      <c r="Q65" s="1886" t="e">
        <f ca="1">C40+J29</f>
        <v>#DIV/0!</v>
      </c>
      <c r="R65" s="1886" t="s">
        <v>1520</v>
      </c>
    </row>
    <row r="66" spans="1:18" s="1842" customFormat="1" ht="16.5" thickBot="1">
      <c r="A66" s="1201" t="s">
        <v>1495</v>
      </c>
      <c r="B66" s="1169" t="s">
        <v>1430</v>
      </c>
      <c r="C66" s="24">
        <f ca="1">ROUND(C48*F66,1)</f>
        <v>0</v>
      </c>
      <c r="D66" s="1183" t="s">
        <v>1496</v>
      </c>
      <c r="E66" s="1169" t="s">
        <v>1413</v>
      </c>
      <c r="F66" s="357">
        <f t="shared" ca="1" si="0"/>
        <v>0</v>
      </c>
      <c r="O66" s="1884" t="s">
        <v>1036</v>
      </c>
      <c r="P66" s="1885" t="s">
        <v>1549</v>
      </c>
      <c r="Q66" s="1886" t="e">
        <f ca="1">L60</f>
        <v>#DIV/0!</v>
      </c>
      <c r="R66" s="1886" t="s">
        <v>1572</v>
      </c>
    </row>
    <row r="67" spans="1:18" s="1842" customFormat="1" ht="16.5" thickBot="1">
      <c r="A67" s="1176" t="s">
        <v>1026</v>
      </c>
      <c r="B67" s="1186" t="s">
        <v>1454</v>
      </c>
      <c r="C67" s="361">
        <f ca="1">C48-C58</f>
        <v>0</v>
      </c>
      <c r="D67" s="1182" t="s">
        <v>1455</v>
      </c>
      <c r="E67" s="1187"/>
      <c r="F67" s="1188"/>
      <c r="O67" s="1894" t="s">
        <v>1037</v>
      </c>
      <c r="P67" s="1885" t="s">
        <v>1553</v>
      </c>
      <c r="Q67" s="1932">
        <f ca="1">L51</f>
        <v>0</v>
      </c>
      <c r="R67" s="1886" t="s">
        <v>1573</v>
      </c>
    </row>
    <row r="68" spans="1:18" s="1842" customFormat="1" ht="16.5" thickBot="1">
      <c r="A68" s="1166" t="s">
        <v>1027</v>
      </c>
      <c r="B68" s="1167" t="s">
        <v>1476</v>
      </c>
      <c r="C68" s="346" t="e">
        <f ca="1">ROUND(C67*(1-((1+F70)/(1+F68))^F69)/(F68-F70),0)</f>
        <v>#DIV/0!</v>
      </c>
      <c r="D68" s="1184" t="s">
        <v>1460</v>
      </c>
      <c r="E68" s="1169" t="s">
        <v>1461</v>
      </c>
      <c r="F68" s="357">
        <f ca="1">F40</f>
        <v>0</v>
      </c>
      <c r="O68" s="1894" t="s">
        <v>1038</v>
      </c>
      <c r="P68" s="1933" t="s">
        <v>1574</v>
      </c>
      <c r="Q68" s="1886">
        <f ca="1">ROUND(Q69-Q70*Q71,0)</f>
        <v>0</v>
      </c>
      <c r="R68" s="1886" t="s">
        <v>1046</v>
      </c>
    </row>
    <row r="69" spans="1:18" s="1842" customFormat="1" ht="13.5" thickBot="1">
      <c r="A69" s="1170"/>
      <c r="B69" s="1171"/>
      <c r="C69" s="351"/>
      <c r="D69" s="1189" t="s">
        <v>1464</v>
      </c>
      <c r="E69" s="1169" t="s">
        <v>1465</v>
      </c>
      <c r="F69" s="379">
        <f ca="1">F41</f>
        <v>0</v>
      </c>
      <c r="O69" s="1894" t="s">
        <v>1043</v>
      </c>
      <c r="P69" s="1933" t="s">
        <v>1575</v>
      </c>
      <c r="Q69" s="1886">
        <f ca="1">C39</f>
        <v>0</v>
      </c>
      <c r="R69" s="1886" t="s">
        <v>1520</v>
      </c>
    </row>
    <row r="70" spans="1:18" s="1842" customFormat="1" ht="13.5" thickBot="1">
      <c r="A70" s="1173"/>
      <c r="B70" s="1174"/>
      <c r="C70" s="355"/>
      <c r="D70" s="1185"/>
      <c r="E70" s="1169" t="s">
        <v>1468</v>
      </c>
      <c r="F70" s="1275"/>
      <c r="O70" s="1894" t="s">
        <v>1044</v>
      </c>
      <c r="P70" s="1933" t="s">
        <v>1576</v>
      </c>
      <c r="Q70" s="1886">
        <f ca="1">C13</f>
        <v>0</v>
      </c>
      <c r="R70" s="1886" t="s">
        <v>1520</v>
      </c>
    </row>
    <row r="71" spans="1:18" s="1842" customFormat="1" ht="13.5" thickBot="1">
      <c r="A71" s="1190" t="s">
        <v>1028</v>
      </c>
      <c r="B71" s="1191" t="s">
        <v>1478</v>
      </c>
      <c r="C71" s="382" t="e">
        <f ca="1">ROUND(C68*10000/F71,0)</f>
        <v>#DIV/0!</v>
      </c>
      <c r="D71" s="1192" t="s">
        <v>1479</v>
      </c>
      <c r="E71" s="1193" t="s">
        <v>1480</v>
      </c>
      <c r="F71" s="385">
        <f ca="1">F43</f>
        <v>0</v>
      </c>
      <c r="O71" s="1894" t="s">
        <v>1045</v>
      </c>
      <c r="P71" s="1933" t="s">
        <v>1577</v>
      </c>
      <c r="Q71" s="1897">
        <f ca="1">C76</f>
        <v>0</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建设期及建筑物耐用年限下的土地年期修正系数Kn</v>
      </c>
      <c r="Q74" s="1886" t="e">
        <f ca="1">L59</f>
        <v>#DIV/0!</v>
      </c>
      <c r="R74" s="1886" t="s">
        <v>1560</v>
      </c>
    </row>
    <row r="75" spans="1:18" ht="13.5" thickBot="1">
      <c r="A75" s="1842"/>
      <c r="B75" s="386" t="s">
        <v>1497</v>
      </c>
      <c r="C75" s="387">
        <f ca="1">ROUND(C13*C76,0)</f>
        <v>0</v>
      </c>
      <c r="D75" s="1842"/>
      <c r="E75" s="1842"/>
      <c r="F75" s="1842"/>
      <c r="K75" s="1868"/>
      <c r="L75" s="1842"/>
      <c r="O75" s="1884" t="s">
        <v>1041</v>
      </c>
      <c r="P75" s="1885" t="s">
        <v>1540</v>
      </c>
      <c r="Q75" s="1886" t="e">
        <f ca="1">Q65+Q66</f>
        <v>#DIV/0!</v>
      </c>
      <c r="R75" s="1886" t="s">
        <v>1042</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9"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3179</v>
      </c>
      <c r="C1" s="2550" t="s">
        <v>2419</v>
      </c>
      <c r="D1" s="242"/>
      <c r="E1" s="242"/>
      <c r="F1" s="242"/>
      <c r="G1" s="1379">
        <f>MATCH(B1,'数据-取费表'!A6:A16,0)+5</f>
        <v>11</v>
      </c>
      <c r="H1" s="1282" t="str">
        <f>IF(ISERROR(FIND("住宅",B1)),"非住宅","住宅")</f>
        <v>非住宅</v>
      </c>
    </row>
    <row r="2" spans="1:8" s="244" customFormat="1" ht="18" customHeight="1">
      <c r="A2" s="245" t="s">
        <v>1385</v>
      </c>
      <c r="B2" s="246">
        <f ca="1">ROUND(IF(D2="——",C52/10000,C52/10000-E2),0)</f>
        <v>4367</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33321</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31240785.899999999</v>
      </c>
      <c r="D5" s="255" t="s">
        <v>2325</v>
      </c>
      <c r="E5" s="256" t="s">
        <v>2326</v>
      </c>
      <c r="F5" s="256" t="s">
        <v>2327</v>
      </c>
      <c r="G5" s="257"/>
    </row>
    <row r="6" spans="1:8" s="258" customFormat="1" ht="13.5" customHeight="1">
      <c r="A6" s="949" t="s">
        <v>790</v>
      </c>
      <c r="B6" s="259" t="s">
        <v>2329</v>
      </c>
      <c r="C6" s="260">
        <f ca="1">'基准地价修正（商业1）'!C29*(D10/2)+'基准地价修正（商业2层）'!C29*(D10/2)</f>
        <v>30316143.899999999</v>
      </c>
      <c r="D6" s="261"/>
      <c r="E6" s="262"/>
      <c r="F6" s="262"/>
      <c r="G6" s="263"/>
    </row>
    <row r="7" spans="1:8" s="258" customFormat="1" ht="13.5" customHeight="1">
      <c r="A7" s="949" t="s">
        <v>2330</v>
      </c>
      <c r="B7" s="259" t="s">
        <v>2331</v>
      </c>
      <c r="C7" s="264">
        <f ca="1">ROUND(C6*F7,0)</f>
        <v>924642</v>
      </c>
      <c r="D7" s="264"/>
      <c r="E7" s="262"/>
      <c r="F7" s="265">
        <f>IF(项目基本情况!B8="出让",0,'数据-取费表'!B48+'数据-取费表'!B49)</f>
        <v>3.0499999999999999E-2</v>
      </c>
      <c r="G7" s="263"/>
    </row>
    <row r="8" spans="1:8" s="267" customFormat="1">
      <c r="A8" s="949" t="s">
        <v>2332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262120</v>
      </c>
      <c r="D10" s="1032">
        <f ca="1">IF(B1="",'数据-汇总表'!E6,IF(INDIRECT("'数据-取费表'!c"&amp;$G$1)="住宅",INDIRECT("'数据-取费表'!s"&amp;$G$1),INDIRECT("'数据-取费表'!k"&amp;$G$1)+INDIRECT("'数据-取费表'!s"&amp;$G$1)))</f>
        <v>1310.5999999999999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IF(G19="已包含在土地取得成本中","0",ROUND(D19*E19,0))</f>
        <v>262120</v>
      </c>
      <c r="D19" s="1036">
        <f ca="1">D9+D10</f>
        <v>1310.5999999999999</v>
      </c>
      <c r="E19" s="255">
        <f>'数据-取费表'!B31</f>
        <v>200</v>
      </c>
      <c r="F19" s="275"/>
      <c r="G19" s="2547" t="s">
        <v>1069</v>
      </c>
    </row>
    <row r="20" spans="1:7" s="258" customFormat="1" ht="13.5" customHeight="1">
      <c r="A20" s="299" t="s">
        <v>2349</v>
      </c>
      <c r="B20" s="254" t="s">
        <v>2350</v>
      </c>
      <c r="C20" s="276">
        <f ca="1">ROUND((C5+C19)*F20,0)</f>
        <v>315029</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1377228</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1358974</v>
      </c>
      <c r="D23" s="282"/>
      <c r="E23" s="282"/>
      <c r="F23" s="283"/>
      <c r="G23" s="284" t="s">
        <v>2360</v>
      </c>
    </row>
    <row r="24" spans="1:7" s="258" customFormat="1" ht="13.5" customHeight="1">
      <c r="A24" s="951" t="s">
        <v>2330</v>
      </c>
      <c r="B24" s="259" t="s">
        <v>2362</v>
      </c>
      <c r="C24" s="1381">
        <f ca="1">ROUND(IF('数据-取费表'!B22&lt;=1,C19*F22*('数据-取费表'!B19/2+'数据-取费表'!B20),C19*(POWER((1+F22),('数据-取费表'!B19/2+'数据-取费表'!B20))-1)),0)</f>
        <v>11402</v>
      </c>
      <c r="D24" s="282"/>
      <c r="E24" s="282"/>
      <c r="F24" s="283"/>
      <c r="G24" s="284" t="s">
        <v>2363</v>
      </c>
    </row>
    <row r="25" spans="1:7" s="258" customFormat="1" ht="24">
      <c r="A25" s="951" t="s">
        <v>2332</v>
      </c>
      <c r="B25" s="259" t="s">
        <v>2365</v>
      </c>
      <c r="C25" s="1381">
        <f ca="1">ROUND(IF('数据-取费表'!B22&lt;=1,C20*F22*'数据-取费表'!B22/2,C20*(POWER((1+F22),'数据-取费表'!B22/2)-1)),0)</f>
        <v>6852</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4772690</v>
      </c>
      <c r="D27" s="279">
        <f ca="1">C29</f>
        <v>1.5E-3</v>
      </c>
      <c r="E27" s="280" t="s">
        <v>2354</v>
      </c>
      <c r="F27" s="290">
        <f ca="1">IF(B1="",'数据-取费表'!Q16,INDIRECT("'数据-取费表'!q"&amp;$G$1))</f>
        <v>0.15</v>
      </c>
      <c r="G27" s="291" t="s">
        <v>2371</v>
      </c>
    </row>
    <row r="28" spans="1:7" s="258" customFormat="1" ht="13.5" customHeight="1">
      <c r="A28" s="951" t="s">
        <v>790</v>
      </c>
      <c r="B28" s="292" t="s">
        <v>2372</v>
      </c>
      <c r="C28" s="293">
        <f ca="1">ROUND((C5+C19+C20)*F27,0)</f>
        <v>4772690</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40568280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2727358</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2359080</v>
      </c>
      <c r="D34" s="261"/>
      <c r="E34" s="264"/>
      <c r="F34" s="301"/>
      <c r="G34" s="263"/>
    </row>
    <row r="35" spans="1:7" ht="13.5" customHeight="1">
      <c r="A35" s="951" t="s">
        <v>795</v>
      </c>
      <c r="B35" s="259" t="s">
        <v>2383</v>
      </c>
      <c r="C35" s="264">
        <f ca="1">ROUND(C34*F35,0)</f>
        <v>70772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262120</v>
      </c>
      <c r="D37" s="261">
        <f ca="1">D19</f>
        <v>1310.5999999999999</v>
      </c>
      <c r="E37" s="293">
        <f>'数据-取费表'!B35</f>
        <v>200</v>
      </c>
      <c r="F37" s="303"/>
      <c r="G37" s="305"/>
    </row>
    <row r="38" spans="1:7" ht="13.5" customHeight="1">
      <c r="A38" s="951" t="s">
        <v>798</v>
      </c>
      <c r="B38" s="259" t="s">
        <v>2389</v>
      </c>
      <c r="C38" s="264">
        <f ca="1">ROUND(C34*F38,0)</f>
        <v>35386</v>
      </c>
      <c r="D38" s="264"/>
      <c r="E38" s="264"/>
      <c r="F38" s="303">
        <f>'数据-取费表'!B36</f>
        <v>1.4999999999999999E-2</v>
      </c>
      <c r="G38" s="263" t="s">
        <v>2384</v>
      </c>
    </row>
    <row r="39" spans="1:7" s="258" customFormat="1" ht="13.5" customHeight="1">
      <c r="A39" s="299" t="s">
        <v>2347</v>
      </c>
      <c r="B39" s="254" t="s">
        <v>2350</v>
      </c>
      <c r="C39" s="276">
        <f ca="1">ROUND(C33*F20,0)</f>
        <v>27274</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59913</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59320</v>
      </c>
      <c r="D42" s="282"/>
      <c r="E42" s="282"/>
      <c r="F42" s="283"/>
      <c r="G42" s="3207" t="s">
        <v>2447</v>
      </c>
    </row>
    <row r="43" spans="1:7" ht="13.5" customHeight="1">
      <c r="A43" s="951" t="s">
        <v>791</v>
      </c>
      <c r="B43" s="259" t="s">
        <v>2362</v>
      </c>
      <c r="C43" s="282">
        <f ca="1">ROUND(IF('数据-取费表'!B22&lt;=1,C39*F22*'数据-取费表'!B20/2,C39*(POWER((1+F22),'数据-取费表'!B20/2)-1)),0)</f>
        <v>593</v>
      </c>
      <c r="D43" s="282"/>
      <c r="E43" s="282"/>
      <c r="F43" s="283"/>
      <c r="G43" s="3208"/>
    </row>
    <row r="44" spans="1:7" ht="13.5" customHeight="1">
      <c r="A44" s="951" t="s">
        <v>792</v>
      </c>
      <c r="B44" s="259" t="s">
        <v>2365</v>
      </c>
      <c r="C44" s="282">
        <f ca="1">ROUND(IF('数据-取费表'!B22&lt;=1,C40*F22*'数据-取费表'!B20/2,C40*(POWER((1+F22),'数据-取费表'!B20/2)-1)),4)</f>
        <v>2.0000000000000001E-4</v>
      </c>
      <c r="D44" s="282"/>
      <c r="E44" s="282"/>
      <c r="F44" s="283"/>
      <c r="G44" s="3209"/>
    </row>
    <row r="45" spans="1:7" s="258" customFormat="1" ht="13.5" customHeight="1">
      <c r="A45" s="299" t="s">
        <v>2356</v>
      </c>
      <c r="B45" s="288" t="s">
        <v>2369</v>
      </c>
      <c r="C45" s="289">
        <f ca="1">C46</f>
        <v>413195</v>
      </c>
      <c r="D45" s="279">
        <f ca="1">C47</f>
        <v>1.5E-3</v>
      </c>
      <c r="E45" s="280" t="s">
        <v>2395</v>
      </c>
      <c r="F45" s="290"/>
      <c r="G45" s="291" t="s">
        <v>2404</v>
      </c>
    </row>
    <row r="46" spans="1:7" s="258" customFormat="1" ht="13.5" customHeight="1">
      <c r="A46" s="951" t="s">
        <v>790</v>
      </c>
      <c r="B46" s="292" t="s">
        <v>2405</v>
      </c>
      <c r="C46" s="293">
        <f ca="1">ROUND((C33+C39)*F27,0)</f>
        <v>413195</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3448809</v>
      </c>
      <c r="D49" s="276"/>
      <c r="E49" s="276"/>
      <c r="F49" s="308"/>
      <c r="G49" s="278" t="s">
        <v>2410</v>
      </c>
    </row>
    <row r="50" spans="1:7" s="302" customFormat="1">
      <c r="A50" s="299" t="s">
        <v>2411</v>
      </c>
      <c r="B50" s="254" t="s">
        <v>2412</v>
      </c>
      <c r="C50" s="276"/>
      <c r="D50" s="276"/>
      <c r="E50" s="276"/>
      <c r="F50" s="308">
        <f ca="1">'收益法 (商业2层) '!F13</f>
        <v>0.9</v>
      </c>
      <c r="G50" s="291"/>
    </row>
    <row r="51" spans="1:7" ht="16.5" customHeight="1">
      <c r="A51" s="299" t="s">
        <v>2414</v>
      </c>
      <c r="B51" s="254" t="s">
        <v>2449</v>
      </c>
      <c r="C51" s="276">
        <f ca="1">ROUND(C49*F50,0)</f>
        <v>3103928</v>
      </c>
      <c r="D51" s="276"/>
      <c r="E51" s="276"/>
      <c r="F51" s="308"/>
      <c r="G51" s="278" t="s">
        <v>2416</v>
      </c>
    </row>
    <row r="52" spans="1:7" s="252" customFormat="1" ht="16.5" thickBot="1">
      <c r="A52" s="309" t="s">
        <v>2417</v>
      </c>
      <c r="B52" s="310"/>
      <c r="C52" s="311">
        <f ca="1">C31+C51</f>
        <v>43672208</v>
      </c>
      <c r="D52" s="310"/>
      <c r="E52" s="310"/>
      <c r="F52" s="310"/>
      <c r="G52" s="312"/>
    </row>
    <row r="55" spans="1:7" ht="15">
      <c r="B55" s="314" t="s">
        <v>2418</v>
      </c>
      <c r="C55" s="315"/>
    </row>
    <row r="56" spans="1:7">
      <c r="B56" s="317" t="s">
        <v>1504</v>
      </c>
      <c r="C56" s="319">
        <f ca="1">1-C57</f>
        <v>0.92900000000000005</v>
      </c>
    </row>
    <row r="57" spans="1:7">
      <c r="B57" s="317" t="s">
        <v>1505</v>
      </c>
      <c r="C57" s="318">
        <f ca="1">ROUND(C51/C52,3)</f>
        <v>7.0999999999999994E-2</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3150</v>
      </c>
      <c r="C1" s="2550" t="s">
        <v>2419</v>
      </c>
      <c r="D1" s="242"/>
      <c r="E1" s="242"/>
      <c r="F1" s="242"/>
      <c r="G1" s="1379">
        <f>MATCH(B1,'数据-取费表'!A6:A16,0)+5</f>
        <v>8</v>
      </c>
      <c r="H1" s="1282" t="str">
        <f>IF(ISERROR(FIND("住宅",B1)),"非住宅","住宅")</f>
        <v>非住宅</v>
      </c>
    </row>
    <row r="2" spans="1:8" s="244" customFormat="1" ht="18" customHeight="1">
      <c r="A2" s="245" t="s">
        <v>1385</v>
      </c>
      <c r="B2" s="246">
        <f ca="1">ROUND(IF(D2="——",C52/10000,C52/10000-E2),0)</f>
        <v>3134</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28275</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21970336</v>
      </c>
      <c r="D5" s="255" t="s">
        <v>2325</v>
      </c>
      <c r="E5" s="256" t="s">
        <v>2326</v>
      </c>
      <c r="F5" s="256" t="s">
        <v>2327</v>
      </c>
      <c r="G5" s="257"/>
    </row>
    <row r="6" spans="1:8" s="258" customFormat="1" ht="13.5" customHeight="1">
      <c r="A6" s="949" t="s">
        <v>790</v>
      </c>
      <c r="B6" s="259" t="s">
        <v>2329</v>
      </c>
      <c r="C6" s="260">
        <f ca="1">'基准地价修正（办公）'!C29*'数据-基础表'!M5</f>
        <v>21320074</v>
      </c>
      <c r="D6" s="261"/>
      <c r="E6" s="262"/>
      <c r="F6" s="262"/>
      <c r="G6" s="263"/>
    </row>
    <row r="7" spans="1:8" s="258" customFormat="1" ht="13.5" customHeight="1">
      <c r="A7" s="949" t="s">
        <v>791</v>
      </c>
      <c r="B7" s="259" t="s">
        <v>2331</v>
      </c>
      <c r="C7" s="264">
        <f ca="1">ROUND(C6*F7,0)</f>
        <v>650262</v>
      </c>
      <c r="D7" s="264"/>
      <c r="E7" s="262"/>
      <c r="F7" s="265">
        <f>IF(项目基本情况!B8="出让",0,'数据-取费表'!B48+'数据-取费表'!B49)</f>
        <v>3.0499999999999999E-2</v>
      </c>
      <c r="G7" s="263"/>
    </row>
    <row r="8" spans="1:8" s="267" customFormat="1">
      <c r="A8" s="949" t="s">
        <v>792</v>
      </c>
      <c r="B8" s="259" t="s">
        <v>2333</v>
      </c>
      <c r="C8" s="264">
        <f>IF(G8="已包含在土地购买价格中",0,C9+C10)</f>
        <v>0</v>
      </c>
      <c r="D8" s="266"/>
      <c r="E8" s="264"/>
      <c r="F8" s="265"/>
      <c r="G8" s="2547" t="s">
        <v>1141</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221680</v>
      </c>
      <c r="D10" s="1032">
        <f ca="1">IF(B1="",'数据-汇总表'!E6,IF(INDIRECT("'数据-取费表'!c"&amp;$G$1)="住宅",INDIRECT("'数据-取费表'!s"&amp;$G$1),INDIRECT("'数据-取费表'!k"&amp;$G$1)+INDIRECT("'数据-取费表'!s"&amp;$G$1)))</f>
        <v>1108.4000000000001</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IF(G19="已包含在土地取得成本中","0",ROUND(D19*E19,0))</f>
        <v>221680</v>
      </c>
      <c r="D19" s="1036">
        <f ca="1">D9+D10</f>
        <v>1108.4000000000001</v>
      </c>
      <c r="E19" s="255">
        <f>'数据-取费表'!B31</f>
        <v>200</v>
      </c>
      <c r="F19" s="275"/>
      <c r="G19" s="2547" t="s">
        <v>1069</v>
      </c>
    </row>
    <row r="20" spans="1:7" s="258" customFormat="1" ht="13.5" customHeight="1">
      <c r="A20" s="299" t="s">
        <v>2349</v>
      </c>
      <c r="B20" s="254" t="s">
        <v>2350</v>
      </c>
      <c r="C20" s="276">
        <f ca="1">ROUND((C5+C19)*F20,0)</f>
        <v>221920</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970180</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955710</v>
      </c>
      <c r="D23" s="282"/>
      <c r="E23" s="282"/>
      <c r="F23" s="283"/>
      <c r="G23" s="284" t="s">
        <v>2360</v>
      </c>
    </row>
    <row r="24" spans="1:7" s="258" customFormat="1" ht="13.5" customHeight="1">
      <c r="A24" s="951" t="s">
        <v>791</v>
      </c>
      <c r="B24" s="259" t="s">
        <v>2362</v>
      </c>
      <c r="C24" s="1381">
        <f ca="1">ROUND(IF('数据-取费表'!B22&lt;=1,C19*F22*('数据-取费表'!B19/2+'数据-取费表'!B20),C19*(POWER((1+F22),('数据-取费表'!B19/2+'数据-取费表'!B20))-1)),0)</f>
        <v>9643</v>
      </c>
      <c r="D24" s="282"/>
      <c r="E24" s="282"/>
      <c r="F24" s="283"/>
      <c r="G24" s="284" t="s">
        <v>2363</v>
      </c>
    </row>
    <row r="25" spans="1:7" s="258" customFormat="1" ht="24">
      <c r="A25" s="951" t="s">
        <v>792</v>
      </c>
      <c r="B25" s="259" t="s">
        <v>2365</v>
      </c>
      <c r="C25" s="1381">
        <f ca="1">ROUND(IF('数据-取费表'!B22&lt;=1,C20*F22*'数据-取费表'!B22/2,C20*(POWER((1+F22),'数据-取费表'!B22/2)-1)),0)</f>
        <v>4827</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4482787</v>
      </c>
      <c r="D27" s="279">
        <f ca="1">C29</f>
        <v>2E-3</v>
      </c>
      <c r="E27" s="280" t="s">
        <v>2354</v>
      </c>
      <c r="F27" s="290">
        <f ca="1">IF(B1="",'数据-取费表'!Q16,INDIRECT("'数据-取费表'!q"&amp;$G$1))</f>
        <v>0.2</v>
      </c>
      <c r="G27" s="291" t="s">
        <v>2371</v>
      </c>
    </row>
    <row r="28" spans="1:7" s="258" customFormat="1" ht="13.5" customHeight="1">
      <c r="A28" s="951" t="s">
        <v>790</v>
      </c>
      <c r="B28" s="292" t="s">
        <v>2372</v>
      </c>
      <c r="C28" s="293">
        <f ca="1">ROUND((C5+C19+C20)*F27,0)</f>
        <v>4482787</v>
      </c>
      <c r="D28" s="279"/>
      <c r="E28" s="280"/>
      <c r="F28" s="290"/>
      <c r="G28" s="291"/>
    </row>
    <row r="29" spans="1:7" s="258" customFormat="1" ht="13.5" customHeight="1">
      <c r="A29" s="951" t="s">
        <v>791</v>
      </c>
      <c r="B29" s="292" t="s">
        <v>2373</v>
      </c>
      <c r="C29" s="282">
        <f ca="1">ROUND(C21*F27,4)</f>
        <v>2E-3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29791429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1959097</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1662600</v>
      </c>
      <c r="D34" s="261"/>
      <c r="E34" s="264"/>
      <c r="F34" s="301"/>
      <c r="G34" s="263"/>
    </row>
    <row r="35" spans="1:7" ht="13.5" customHeight="1">
      <c r="A35" s="951" t="s">
        <v>795</v>
      </c>
      <c r="B35" s="259" t="s">
        <v>2383</v>
      </c>
      <c r="C35" s="264">
        <f ca="1">ROUND(C34*F35,0)</f>
        <v>49878</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221680</v>
      </c>
      <c r="D37" s="261">
        <f ca="1">D19</f>
        <v>1108.4000000000001</v>
      </c>
      <c r="E37" s="293">
        <f>'数据-取费表'!B35</f>
        <v>200</v>
      </c>
      <c r="F37" s="303"/>
      <c r="G37" s="305"/>
    </row>
    <row r="38" spans="1:7" ht="13.5" customHeight="1">
      <c r="A38" s="951" t="s">
        <v>798</v>
      </c>
      <c r="B38" s="259" t="s">
        <v>2389</v>
      </c>
      <c r="C38" s="264">
        <f ca="1">ROUND(C34*F38,0)</f>
        <v>24939</v>
      </c>
      <c r="D38" s="264"/>
      <c r="E38" s="264"/>
      <c r="F38" s="303">
        <f>'数据-取费表'!B36</f>
        <v>1.4999999999999999E-2</v>
      </c>
      <c r="G38" s="263" t="s">
        <v>2384</v>
      </c>
    </row>
    <row r="39" spans="1:7" s="258" customFormat="1" ht="13.5" customHeight="1">
      <c r="A39" s="299" t="s">
        <v>2347</v>
      </c>
      <c r="B39" s="254" t="s">
        <v>2350</v>
      </c>
      <c r="C39" s="276">
        <f ca="1">ROUND(C33*F20,0)</f>
        <v>19591</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43036</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42610</v>
      </c>
      <c r="D42" s="282"/>
      <c r="E42" s="282"/>
      <c r="F42" s="283"/>
      <c r="G42" s="3207" t="s">
        <v>2447</v>
      </c>
    </row>
    <row r="43" spans="1:7" ht="13.5" customHeight="1">
      <c r="A43" s="951" t="s">
        <v>791</v>
      </c>
      <c r="B43" s="259" t="s">
        <v>2362</v>
      </c>
      <c r="C43" s="282">
        <f ca="1">ROUND(IF('数据-取费表'!B22&lt;=1,C39*F22*'数据-取费表'!B20/2,C39*(POWER((1+F22),'数据-取费表'!B20/2)-1)),0)</f>
        <v>426</v>
      </c>
      <c r="D43" s="282"/>
      <c r="E43" s="282"/>
      <c r="F43" s="283"/>
      <c r="G43" s="3208"/>
    </row>
    <row r="44" spans="1:7" ht="13.5" customHeight="1">
      <c r="A44" s="951" t="s">
        <v>792</v>
      </c>
      <c r="B44" s="259" t="s">
        <v>2365</v>
      </c>
      <c r="C44" s="282">
        <f ca="1">ROUND(IF('数据-取费表'!B22&lt;=1,C40*F22*'数据-取费表'!B20/2,C40*(POWER((1+F22),'数据-取费表'!B20/2)-1)),4)</f>
        <v>2.0000000000000001E-4</v>
      </c>
      <c r="D44" s="282"/>
      <c r="E44" s="282"/>
      <c r="F44" s="283"/>
      <c r="G44" s="3209"/>
    </row>
    <row r="45" spans="1:7" s="258" customFormat="1" ht="13.5" customHeight="1">
      <c r="A45" s="299" t="s">
        <v>2356</v>
      </c>
      <c r="B45" s="288" t="s">
        <v>2369</v>
      </c>
      <c r="C45" s="289">
        <f ca="1">C46</f>
        <v>395738</v>
      </c>
      <c r="D45" s="279">
        <f ca="1">C47</f>
        <v>2E-3</v>
      </c>
      <c r="E45" s="280" t="s">
        <v>2395</v>
      </c>
      <c r="F45" s="290"/>
      <c r="G45" s="291" t="s">
        <v>2404</v>
      </c>
    </row>
    <row r="46" spans="1:7" s="258" customFormat="1" ht="13.5" customHeight="1">
      <c r="A46" s="951" t="s">
        <v>790</v>
      </c>
      <c r="B46" s="292" t="s">
        <v>2405</v>
      </c>
      <c r="C46" s="293">
        <f ca="1">ROUND((C33+C39)*F27,0)</f>
        <v>395738</v>
      </c>
      <c r="D46" s="307"/>
      <c r="E46" s="280"/>
      <c r="F46" s="290"/>
      <c r="G46" s="291"/>
    </row>
    <row r="47" spans="1:7" s="258" customFormat="1" ht="13.5" customHeight="1">
      <c r="A47" s="951" t="s">
        <v>791</v>
      </c>
      <c r="B47" s="292" t="s">
        <v>2406</v>
      </c>
      <c r="C47" s="282">
        <f ca="1">ROUND(C40*F27,4)</f>
        <v>2E-3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2584415</v>
      </c>
      <c r="D49" s="276"/>
      <c r="E49" s="276"/>
      <c r="F49" s="308"/>
      <c r="G49" s="278" t="s">
        <v>2410</v>
      </c>
    </row>
    <row r="50" spans="1:7" s="302" customFormat="1">
      <c r="A50" s="299" t="s">
        <v>2411</v>
      </c>
      <c r="B50" s="254" t="s">
        <v>2412</v>
      </c>
      <c r="C50" s="276"/>
      <c r="D50" s="276"/>
      <c r="E50" s="276"/>
      <c r="F50" s="308">
        <f ca="1">'收益法 (办公)'!F13</f>
        <v>0.6</v>
      </c>
      <c r="G50" s="291"/>
    </row>
    <row r="51" spans="1:7" ht="16.5" customHeight="1">
      <c r="A51" s="299" t="s">
        <v>2414</v>
      </c>
      <c r="B51" s="254" t="s">
        <v>2449</v>
      </c>
      <c r="C51" s="276">
        <f ca="1">ROUND(C49*F50,0)</f>
        <v>1550649</v>
      </c>
      <c r="D51" s="276"/>
      <c r="E51" s="276"/>
      <c r="F51" s="308"/>
      <c r="G51" s="278" t="s">
        <v>2416</v>
      </c>
    </row>
    <row r="52" spans="1:7" s="252" customFormat="1" ht="16.5" thickBot="1">
      <c r="A52" s="309" t="s">
        <v>2417</v>
      </c>
      <c r="B52" s="310"/>
      <c r="C52" s="311">
        <f ca="1">C31+C51</f>
        <v>31342078</v>
      </c>
      <c r="D52" s="310"/>
      <c r="E52" s="310"/>
      <c r="F52" s="310"/>
      <c r="G52" s="312"/>
    </row>
    <row r="55" spans="1:7" ht="15">
      <c r="B55" s="314" t="s">
        <v>2418</v>
      </c>
      <c r="C55" s="315"/>
    </row>
    <row r="56" spans="1:7">
      <c r="B56" s="317" t="s">
        <v>1504</v>
      </c>
      <c r="C56" s="319">
        <f ca="1">1-C57</f>
        <v>0.95099999999999996</v>
      </c>
    </row>
    <row r="57" spans="1:7">
      <c r="B57" s="317" t="s">
        <v>1505</v>
      </c>
      <c r="C57" s="318">
        <f ca="1">ROUND(C51/C52,3)</f>
        <v>4.9000000000000002E-2</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3095</v>
      </c>
      <c r="D1" s="1820" t="s">
        <v>70</v>
      </c>
      <c r="E1" s="1821" t="s">
        <v>1378</v>
      </c>
      <c r="F1" s="1283">
        <f ca="1">J53</f>
        <v>18.73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f ca="1">ROUND(D2/10000,0)</f>
        <v>44</v>
      </c>
      <c r="C2" s="1845" t="s">
        <v>1582</v>
      </c>
      <c r="D2" s="1937">
        <f ca="1">C40+J29+L46</f>
        <v>440889</v>
      </c>
      <c r="E2" s="1846" t="s">
        <v>1583</v>
      </c>
      <c r="F2" s="1847"/>
      <c r="G2" s="1848"/>
      <c r="H2" s="1840"/>
      <c r="I2" s="1840"/>
      <c r="J2" s="1840"/>
      <c r="K2" s="1841"/>
      <c r="L2" s="1840"/>
      <c r="M2" s="1840"/>
    </row>
    <row r="3" spans="1:37" ht="18" customHeight="1" thickBot="1">
      <c r="A3" s="1849" t="s">
        <v>1584</v>
      </c>
      <c r="B3" s="1850">
        <f ca="1">IF(ISERROR(D2/F43),0,ROUND(D2/F43,0))</f>
        <v>10325</v>
      </c>
      <c r="C3" s="1845" t="s">
        <v>1585</v>
      </c>
      <c r="D3" s="1845"/>
      <c r="E3" s="1846"/>
      <c r="F3" s="1847"/>
      <c r="G3" s="1848"/>
      <c r="H3" s="744" t="s">
        <v>1579</v>
      </c>
      <c r="I3" s="1840"/>
      <c r="J3" s="1840"/>
      <c r="K3" s="1841"/>
      <c r="L3" s="1840"/>
      <c r="M3" s="1840"/>
    </row>
    <row r="4" spans="1:37" ht="18" customHeight="1">
      <c r="A4" s="340" t="s">
        <v>1586</v>
      </c>
      <c r="B4" s="341" t="s">
        <v>1587</v>
      </c>
      <c r="C4" s="341" t="s">
        <v>1588</v>
      </c>
      <c r="D4" s="341" t="s">
        <v>1589</v>
      </c>
      <c r="E4" s="342" t="s">
        <v>1590</v>
      </c>
      <c r="F4" s="343"/>
      <c r="G4" s="1851"/>
      <c r="H4" s="340" t="s">
        <v>1586</v>
      </c>
      <c r="I4" s="341" t="s">
        <v>1587</v>
      </c>
      <c r="J4" s="341" t="s">
        <v>1588</v>
      </c>
      <c r="K4" s="341" t="s">
        <v>1589</v>
      </c>
      <c r="L4" s="342" t="s">
        <v>1590</v>
      </c>
      <c r="M4" s="343"/>
    </row>
    <row r="5" spans="1:37" ht="18" customHeight="1">
      <c r="A5" s="344">
        <v>1</v>
      </c>
      <c r="B5" s="345" t="s">
        <v>1591</v>
      </c>
      <c r="C5" s="1292">
        <f ca="1">C6+C10+C12</f>
        <v>35111</v>
      </c>
      <c r="D5" s="1822" t="s">
        <v>1592</v>
      </c>
      <c r="E5" s="1293"/>
      <c r="F5" s="1294"/>
      <c r="G5" s="1851"/>
      <c r="H5" s="344">
        <v>1</v>
      </c>
      <c r="I5" s="345" t="s">
        <v>1591</v>
      </c>
      <c r="J5" s="1292">
        <f ca="1">J6+J10+J12</f>
        <v>0</v>
      </c>
      <c r="K5" s="1822" t="s">
        <v>1592</v>
      </c>
      <c r="L5" s="1293"/>
      <c r="M5" s="1294"/>
    </row>
    <row r="6" spans="1:37" ht="18" customHeight="1">
      <c r="A6" s="1291" t="s">
        <v>1030</v>
      </c>
      <c r="B6" s="3220" t="s">
        <v>1394</v>
      </c>
      <c r="C6" s="1296">
        <f ca="1">ROUND(F6*F8*F7*(1-F9),0)</f>
        <v>35067</v>
      </c>
      <c r="D6" s="164" t="s">
        <v>3017</v>
      </c>
      <c r="E6" s="347" t="s">
        <v>1396</v>
      </c>
      <c r="F6" s="348">
        <f ca="1">INDIRECT("'数据-取费表'!u"&amp;$G$1)</f>
        <v>2.5</v>
      </c>
      <c r="G6" s="1851"/>
      <c r="H6" s="1291" t="s">
        <v>1030</v>
      </c>
      <c r="I6" s="3220" t="s">
        <v>1394</v>
      </c>
      <c r="J6" s="346">
        <f ca="1">ROUND(M6*M8*M7*(1-M9),0)</f>
        <v>0</v>
      </c>
      <c r="K6" s="1834" t="s">
        <v>3018</v>
      </c>
      <c r="L6" s="347" t="s">
        <v>1396</v>
      </c>
      <c r="M6" s="348">
        <f ca="1">INDIRECT("'数据-取费表'!z"&amp;$G$1)</f>
        <v>0</v>
      </c>
    </row>
    <row r="7" spans="1:37" ht="18" customHeight="1">
      <c r="A7" s="1295"/>
      <c r="B7" s="3221"/>
      <c r="C7" s="1297"/>
      <c r="D7" s="352"/>
      <c r="E7" s="1298" t="s">
        <v>1397</v>
      </c>
      <c r="F7" s="348">
        <f ca="1">IF(INDIRECT("'数据-取费表'!ah"&amp;$G$1)="",INDIRECT("'数据-取费表'!k"&amp;$G$1),INDIRECT("'数据-取费表'!ah"&amp;$G$1))</f>
        <v>42.7</v>
      </c>
      <c r="G7" s="1851"/>
      <c r="H7" s="349"/>
      <c r="I7" s="3221"/>
      <c r="J7" s="351"/>
      <c r="K7" s="352"/>
      <c r="L7" s="347" t="s">
        <v>1397</v>
      </c>
      <c r="M7" s="348">
        <f ca="1">F7</f>
        <v>42.7</v>
      </c>
    </row>
    <row r="8" spans="1:37" ht="18" customHeight="1">
      <c r="A8" s="349"/>
      <c r="B8" s="3221"/>
      <c r="C8" s="351"/>
      <c r="D8" s="352"/>
      <c r="E8" s="347" t="s">
        <v>1398</v>
      </c>
      <c r="F8" s="348">
        <f ca="1">INDIRECT("'数据-取费表'!ai"&amp;$G$1)</f>
        <v>365</v>
      </c>
      <c r="G8" s="1851"/>
      <c r="H8" s="349"/>
      <c r="I8" s="3221"/>
      <c r="J8" s="351"/>
      <c r="K8" s="352"/>
      <c r="L8" s="347" t="s">
        <v>1398</v>
      </c>
      <c r="M8" s="348">
        <f ca="1">INDIRECT("'数据-取费表'!ai"&amp;$G$1)</f>
        <v>365</v>
      </c>
    </row>
    <row r="9" spans="1:37" ht="18" customHeight="1">
      <c r="A9" s="349"/>
      <c r="B9" s="3222"/>
      <c r="C9" s="351"/>
      <c r="D9" s="352"/>
      <c r="E9" s="347" t="s">
        <v>1399</v>
      </c>
      <c r="F9" s="357">
        <f ca="1">INDIRECT("'数据-取费表'!w"&amp;$G$1)</f>
        <v>0.1</v>
      </c>
      <c r="G9" s="1851"/>
      <c r="H9" s="349"/>
      <c r="I9" s="3222"/>
      <c r="J9" s="351"/>
      <c r="K9" s="352"/>
      <c r="L9" s="358" t="s">
        <v>1399</v>
      </c>
      <c r="M9" s="359">
        <f ca="1">INDIRECT("'数据-取费表'!ab"&amp;$G$1)</f>
        <v>0</v>
      </c>
    </row>
    <row r="10" spans="1:37" ht="18" customHeight="1">
      <c r="A10" s="1291" t="s">
        <v>1034</v>
      </c>
      <c r="B10" s="1823" t="s">
        <v>1400</v>
      </c>
      <c r="C10" s="361">
        <f ca="1">ROUND(IF(F10="押一",C6/12*F11,IF(F10="押二",C6/12*2*F11,IF(F10="押三",C6/12*3*F11,C11*F11))),0)</f>
        <v>44</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57263</v>
      </c>
      <c r="D13" s="1331" t="s">
        <v>1406</v>
      </c>
      <c r="E13" s="1331" t="s">
        <v>1407</v>
      </c>
      <c r="F13" s="1332">
        <f ca="1">INDIRECT("'数据-取费表'!y"&amp;$G$1)</f>
        <v>0.6</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64050</v>
      </c>
      <c r="D14" s="1800" t="s">
        <v>1409</v>
      </c>
      <c r="E14" s="1794"/>
      <c r="F14" s="364"/>
      <c r="G14" s="1851"/>
      <c r="H14" s="1201" t="s">
        <v>1030</v>
      </c>
      <c r="I14" s="347" t="s">
        <v>1410</v>
      </c>
      <c r="J14" s="24">
        <f ca="1">C29</f>
        <v>95438</v>
      </c>
      <c r="K14" s="15"/>
      <c r="L14" s="979"/>
      <c r="M14" s="980"/>
    </row>
    <row r="15" spans="1:37" s="1858" customFormat="1" ht="18" customHeight="1" thickBot="1">
      <c r="A15" s="1201" t="s">
        <v>1031</v>
      </c>
      <c r="B15" s="347" t="s">
        <v>1411</v>
      </c>
      <c r="C15" s="24">
        <f ca="1">ROUND(C14*F15,0)</f>
        <v>1922</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2492</v>
      </c>
      <c r="K16" s="1337" t="s">
        <v>1416</v>
      </c>
      <c r="L16" s="1338"/>
      <c r="M16" s="1294"/>
    </row>
    <row r="17" spans="1:37" s="1858" customFormat="1" ht="18" customHeight="1">
      <c r="A17" s="1201" t="s">
        <v>1381</v>
      </c>
      <c r="B17" s="347" t="s">
        <v>1417</v>
      </c>
      <c r="C17" s="24">
        <f ca="1">ROUND(F17*(F43+INDIRECT("'数据-取费表'!S"&amp;$G$1)),0)</f>
        <v>8540</v>
      </c>
      <c r="D17" s="347" t="s">
        <v>1418</v>
      </c>
      <c r="E17" s="347" t="s">
        <v>1419</v>
      </c>
      <c r="F17" s="26">
        <f>'数据-取费表'!B35</f>
        <v>200</v>
      </c>
      <c r="G17" s="1854"/>
      <c r="H17" s="1201" t="s">
        <v>1030</v>
      </c>
      <c r="I17" s="347" t="s">
        <v>1420</v>
      </c>
      <c r="J17" s="24">
        <f ca="1">ROUND(IF(项目基本情况!B11="自然人",J6*M17/(1+'数据-取费表'!C42),J18+J19+J20),0)</f>
        <v>1060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961</v>
      </c>
      <c r="D18" s="347" t="s">
        <v>1412</v>
      </c>
      <c r="E18" s="347" t="s">
        <v>1413</v>
      </c>
      <c r="F18" s="367">
        <f>'数据-取费表'!B36</f>
        <v>1.4999999999999999E-2</v>
      </c>
      <c r="G18" s="1854"/>
      <c r="H18" s="1201" t="s">
        <v>1029</v>
      </c>
      <c r="I18" s="347" t="s">
        <v>1424</v>
      </c>
      <c r="J18" s="24">
        <f ca="1">ROUND(J6*M18/(1+'数据-取费表'!C42),0)</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75473</v>
      </c>
      <c r="D19" s="140" t="s">
        <v>1427</v>
      </c>
      <c r="E19" s="1818"/>
      <c r="F19" s="26"/>
      <c r="G19" s="1851"/>
      <c r="H19" s="1201" t="s">
        <v>1031</v>
      </c>
      <c r="I19" s="347" t="s">
        <v>1428</v>
      </c>
      <c r="J19" s="24">
        <f ca="1">IF(K19="按租金收入计税",ROUND(J6*M19/(1+'数据-取费表'!C42),0),ROUND(C29*M19*0.7,0))</f>
        <v>802</v>
      </c>
      <c r="K19" s="1828" t="s">
        <v>1429</v>
      </c>
      <c r="L19" s="347" t="s">
        <v>1413</v>
      </c>
      <c r="M19" s="367">
        <f>IF(K19="按租金收入计税",'数据-取费表'!B51,'数据-取费表'!B50)</f>
        <v>1.2E-2</v>
      </c>
    </row>
    <row r="20" spans="1:37" s="1858" customFormat="1" ht="18" customHeight="1">
      <c r="A20" s="1201" t="s">
        <v>1034</v>
      </c>
      <c r="B20" s="347" t="s">
        <v>1430</v>
      </c>
      <c r="C20" s="24">
        <f ca="1">ROUND(C19*F20,0)</f>
        <v>755</v>
      </c>
      <c r="D20" s="369" t="s">
        <v>1431</v>
      </c>
      <c r="E20" s="347" t="s">
        <v>1413</v>
      </c>
      <c r="F20" s="367">
        <f>'数据-取费表'!B37</f>
        <v>0.01</v>
      </c>
      <c r="G20" s="1854"/>
      <c r="H20" s="1201" t="s">
        <v>1380</v>
      </c>
      <c r="I20" s="164" t="s">
        <v>1432</v>
      </c>
      <c r="J20" s="25">
        <f ca="1">ROUND(M20*M21,0)</f>
        <v>258</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172.25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1034</v>
      </c>
      <c r="I22" s="347" t="s">
        <v>1440</v>
      </c>
      <c r="J22" s="24">
        <f ca="1">ROUND(J14*M22,0)</f>
        <v>1432</v>
      </c>
      <c r="K22" s="1798"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1658</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1026</v>
      </c>
      <c r="I25" s="1344" t="s">
        <v>1454</v>
      </c>
      <c r="J25" s="355">
        <f ca="1">J5-J16</f>
        <v>-2492</v>
      </c>
      <c r="K25" s="1345" t="s">
        <v>1455</v>
      </c>
      <c r="L25" s="1346"/>
      <c r="M25" s="1347"/>
    </row>
    <row r="26" spans="1:37" ht="18" customHeight="1">
      <c r="A26" s="1201" t="s">
        <v>1029</v>
      </c>
      <c r="B26" s="347" t="s">
        <v>1456</v>
      </c>
      <c r="C26" s="24">
        <f ca="1">ROUND((C19+C20)*F26,0)</f>
        <v>11434</v>
      </c>
      <c r="D26" s="369" t="s">
        <v>1457</v>
      </c>
      <c r="E26" s="358" t="s">
        <v>1458</v>
      </c>
      <c r="F26" s="357">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1.5E-3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95438</v>
      </c>
      <c r="D29" s="1342"/>
      <c r="E29" s="1340"/>
      <c r="F29" s="1343"/>
      <c r="G29" s="1854"/>
      <c r="H29" s="380" t="s">
        <v>1028</v>
      </c>
      <c r="I29" s="381" t="s">
        <v>1470</v>
      </c>
      <c r="J29" s="382">
        <f ca="1">ROUND(J26/(1+F40)^F41,0)</f>
        <v>0</v>
      </c>
      <c r="K29" s="383" t="s">
        <v>1471</v>
      </c>
      <c r="L29" s="384"/>
      <c r="M29" s="385">
        <f ca="1">INDIRECT("'数据-取费表'!k"&amp;$G$1)</f>
        <v>42.7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4766</v>
      </c>
      <c r="D30" s="1337" t="s">
        <v>1416</v>
      </c>
      <c r="E30" s="1338"/>
      <c r="F30" s="1294"/>
      <c r="G30" s="1851"/>
      <c r="H30" s="745"/>
      <c r="I30" s="746"/>
      <c r="J30" s="747"/>
      <c r="K30" s="748"/>
      <c r="L30" s="749"/>
      <c r="M30" s="750"/>
    </row>
    <row r="31" spans="1:37" ht="18" customHeight="1">
      <c r="A31" s="1201" t="s">
        <v>1030</v>
      </c>
      <c r="B31" s="347" t="s">
        <v>1420</v>
      </c>
      <c r="C31" s="24">
        <f ca="1">ROUND(IF(项目基本情况!B11="自然人",C6*F31/(1+'数据-取费表'!C42),C32+C33+C34),0)</f>
        <v>2897</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1837</v>
      </c>
      <c r="D32" s="1798"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802</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258</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172.25</v>
      </c>
      <c r="G35" s="1851"/>
      <c r="H35" s="745"/>
      <c r="I35" s="1860"/>
      <c r="J35" s="1861"/>
      <c r="K35" s="1862"/>
      <c r="L35" s="1859"/>
      <c r="M35" s="1859"/>
    </row>
    <row r="36" spans="1:18" ht="18" customHeight="1">
      <c r="A36" s="1352" t="s">
        <v>1034</v>
      </c>
      <c r="B36" s="347" t="s">
        <v>1440</v>
      </c>
      <c r="C36" s="24">
        <f ca="1">ROUND(C29*F36,0)</f>
        <v>1432</v>
      </c>
      <c r="D36" s="1798"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86</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351.1</v>
      </c>
      <c r="D38" s="1342" t="s">
        <v>1450</v>
      </c>
      <c r="E38" s="1340" t="s">
        <v>1446</v>
      </c>
      <c r="F38" s="1336">
        <f ca="1">INDIRECT("'数据-取费表'!Am"&amp;$G$1)</f>
        <v>0.01</v>
      </c>
      <c r="G38" s="1851"/>
      <c r="H38" s="1859"/>
      <c r="I38" s="1860"/>
      <c r="J38" s="1861"/>
      <c r="K38" s="1865"/>
      <c r="L38" s="1859"/>
      <c r="M38" s="1859"/>
    </row>
    <row r="39" spans="1:18" ht="24.6" customHeight="1" thickTop="1">
      <c r="A39" s="1329" t="s">
        <v>1026</v>
      </c>
      <c r="B39" s="1344" t="s">
        <v>1474</v>
      </c>
      <c r="C39" s="355">
        <f ca="1">C5-C30</f>
        <v>30345</v>
      </c>
      <c r="D39" s="1345" t="s">
        <v>1475</v>
      </c>
      <c r="E39" s="1346"/>
      <c r="F39" s="1347"/>
      <c r="G39" s="1851"/>
      <c r="H39" s="1859"/>
      <c r="I39" s="1860"/>
      <c r="J39" s="1861"/>
      <c r="K39" s="1865"/>
      <c r="L39" s="1859"/>
      <c r="M39" s="1859"/>
    </row>
    <row r="40" spans="1:18" ht="18" customHeight="1">
      <c r="A40" s="344" t="s">
        <v>1027</v>
      </c>
      <c r="B40" s="345" t="s">
        <v>1476</v>
      </c>
      <c r="C40" s="346">
        <f ca="1">ROUND(C39*(1-((1+F42)/(1+F40))^F41)/(F40-F42),0)</f>
        <v>440889</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2.5000000000000001E-2</v>
      </c>
      <c r="G42" s="1851"/>
      <c r="H42" s="732"/>
      <c r="I42" s="1860"/>
      <c r="J42" s="1861"/>
      <c r="K42" s="751"/>
      <c r="L42" s="732"/>
      <c r="M42" s="732"/>
    </row>
    <row r="43" spans="1:18" ht="18" customHeight="1" thickBot="1">
      <c r="A43" s="380" t="s">
        <v>1028</v>
      </c>
      <c r="B43" s="381" t="s">
        <v>1478</v>
      </c>
      <c r="C43" s="382">
        <f ca="1">ROUND(C40/F43,0)</f>
        <v>10325</v>
      </c>
      <c r="D43" s="383" t="s">
        <v>1479</v>
      </c>
      <c r="E43" s="384" t="s">
        <v>1480</v>
      </c>
      <c r="F43" s="385">
        <f ca="1">INDIRECT("'数据-取费表'!k"&amp;$G$1)</f>
        <v>42.7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-478345</v>
      </c>
      <c r="D45" s="1939" t="s">
        <v>1595</v>
      </c>
      <c r="E45" s="1866"/>
      <c r="F45" s="1866"/>
      <c r="O45" s="1869" t="s">
        <v>1510</v>
      </c>
      <c r="P45" s="1839"/>
      <c r="Q45" s="1839"/>
      <c r="R45" s="1839"/>
    </row>
    <row r="46" spans="1:18" s="1842" customFormat="1" ht="13.5" thickBot="1">
      <c r="A46" s="1870" t="s">
        <v>1511</v>
      </c>
      <c r="C46" s="1871">
        <f ca="1">ROUND(C45/10000,0)</f>
        <v>-48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440889</v>
      </c>
      <c r="R47" s="1886" t="s">
        <v>1520</v>
      </c>
    </row>
    <row r="48" spans="1:18" s="1842" customFormat="1" ht="28.5" thickBot="1">
      <c r="A48" s="1360" t="s">
        <v>1130</v>
      </c>
      <c r="B48" s="345" t="s">
        <v>1392</v>
      </c>
      <c r="C48" s="1817">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95438</v>
      </c>
      <c r="R49" s="1886" t="s">
        <v>1520</v>
      </c>
    </row>
    <row r="50" spans="1:18" s="1842" customFormat="1" ht="13.5" thickBot="1">
      <c r="A50" s="1195"/>
      <c r="B50" s="1198"/>
      <c r="C50" s="1199"/>
      <c r="D50" s="1172"/>
      <c r="E50" s="1277" t="s">
        <v>1397</v>
      </c>
      <c r="F50" s="1278">
        <f ca="1">F7</f>
        <v>42.7</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342576</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8" t="s">
        <v>1539</v>
      </c>
      <c r="L53" s="3219"/>
      <c r="O53" s="1884" t="s">
        <v>1041</v>
      </c>
      <c r="P53" s="1885" t="s">
        <v>1540</v>
      </c>
      <c r="Q53" s="1886">
        <f ca="1">Q47+Q48</f>
        <v>440889</v>
      </c>
      <c r="R53" s="1886" t="s">
        <v>1042</v>
      </c>
    </row>
    <row r="54" spans="1:18" s="1842" customFormat="1" ht="13.5"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57263</v>
      </c>
      <c r="D56" s="1913"/>
      <c r="E56" s="1914"/>
      <c r="F56" s="1906"/>
      <c r="I56" s="1915" t="s">
        <v>1545</v>
      </c>
      <c r="J56" s="1916" t="s">
        <v>3052</v>
      </c>
      <c r="K56" s="1887" t="s">
        <v>1546</v>
      </c>
      <c r="L56" s="1890" t="str">
        <f ca="1">IF(L48&lt;J51,"——",L48-J51)</f>
        <v>——</v>
      </c>
      <c r="O56" s="1884" t="s">
        <v>1035</v>
      </c>
      <c r="P56" s="1885" t="s">
        <v>1519</v>
      </c>
      <c r="Q56" s="1886">
        <f ca="1">C40+J29</f>
        <v>440889</v>
      </c>
      <c r="R56" s="1886" t="s">
        <v>1520</v>
      </c>
    </row>
    <row r="57" spans="1:18" s="1842" customFormat="1" ht="24.75" thickBot="1">
      <c r="A57" s="1917"/>
      <c r="B57" s="1169" t="s">
        <v>1469</v>
      </c>
      <c r="C57" s="282">
        <f ca="1">C29</f>
        <v>95438</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1597</v>
      </c>
      <c r="Q57" s="1886">
        <f ca="1">L60</f>
        <v>0</v>
      </c>
      <c r="R57" s="1886" t="s">
        <v>1598</v>
      </c>
    </row>
    <row r="58" spans="1:18" s="1842" customFormat="1" ht="24.75" thickBot="1">
      <c r="A58" s="360" t="s">
        <v>1025</v>
      </c>
      <c r="B58" s="1177" t="s">
        <v>1415</v>
      </c>
      <c r="C58" s="361">
        <f ca="1">ROUND(C59+C64+C65+C66,0)</f>
        <v>2578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1060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IF(项目基本情况!B11="自然人","——",IF(D61="按租金收入计税",ROUND(C48*F61,0),IF(D61="按房产原值计税",ROUND(C57*F61*0.7,0),INDIRECT("'数据-取费表'!Aj"&amp;$G$1))))</f>
        <v>802</v>
      </c>
      <c r="D61" s="1828" t="s">
        <v>1429</v>
      </c>
      <c r="E61" s="1169" t="s">
        <v>1485</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1487</v>
      </c>
      <c r="C62" s="25">
        <f ca="1">IF(项目基本情况!B11="自然人","——",ROUND(F62*F63,0))</f>
        <v>258</v>
      </c>
      <c r="D62" s="1184" t="s">
        <v>1488</v>
      </c>
      <c r="E62" s="1169" t="s">
        <v>1489</v>
      </c>
      <c r="F62" s="371">
        <f t="shared" si="0"/>
        <v>1.5</v>
      </c>
      <c r="I62" s="1928" t="s">
        <v>1561</v>
      </c>
      <c r="J62" s="1929" t="s">
        <v>1562</v>
      </c>
      <c r="K62" s="1929" t="s">
        <v>1563</v>
      </c>
      <c r="L62" s="1929" t="s">
        <v>1564</v>
      </c>
      <c r="M62" s="1930" t="s">
        <v>1565</v>
      </c>
      <c r="O62" s="1884" t="s">
        <v>1041</v>
      </c>
      <c r="P62" s="1885" t="s">
        <v>1566</v>
      </c>
      <c r="Q62" s="1886">
        <f ca="1">Q56+Q57</f>
        <v>440889</v>
      </c>
      <c r="R62" s="1886" t="s">
        <v>1042</v>
      </c>
    </row>
    <row r="63" spans="1:18" s="1842" customFormat="1" ht="13.5" thickBot="1">
      <c r="A63" s="372"/>
      <c r="B63" s="1175"/>
      <c r="C63" s="29"/>
      <c r="D63" s="1185"/>
      <c r="E63" s="1169" t="s">
        <v>1490</v>
      </c>
      <c r="F63" s="348">
        <f t="shared" ca="1" si="0"/>
        <v>172.25</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ROUND(C57*F64,0)</f>
        <v>1432</v>
      </c>
      <c r="D64" s="1183" t="s">
        <v>1493</v>
      </c>
      <c r="E64" s="1169" t="s">
        <v>1485</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86</v>
      </c>
      <c r="D65" s="1183" t="s">
        <v>1445</v>
      </c>
      <c r="E65" s="1169" t="s">
        <v>1446</v>
      </c>
      <c r="F65" s="376">
        <f t="shared" ca="1" si="0"/>
        <v>1.5E-3</v>
      </c>
      <c r="I65" s="1928" t="s">
        <v>1570</v>
      </c>
      <c r="J65" s="1929">
        <v>40</v>
      </c>
      <c r="K65" s="1929">
        <v>30</v>
      </c>
      <c r="L65" s="1929">
        <v>50</v>
      </c>
      <c r="M65" s="1931">
        <v>0.02</v>
      </c>
      <c r="O65" s="1884" t="s">
        <v>1035</v>
      </c>
      <c r="P65" s="1885" t="s">
        <v>1571</v>
      </c>
      <c r="Q65" s="1886">
        <f ca="1">C40+J29</f>
        <v>440889</v>
      </c>
      <c r="R65" s="1886" t="s">
        <v>1520</v>
      </c>
    </row>
    <row r="66" spans="1:18" s="1842" customFormat="1" ht="16.5" thickBot="1">
      <c r="A66" s="1201" t="s">
        <v>1495</v>
      </c>
      <c r="B66" s="1169" t="s">
        <v>1430</v>
      </c>
      <c r="C66" s="24">
        <f ca="1">ROUND(C48*F66,0)</f>
        <v>0</v>
      </c>
      <c r="D66" s="1183" t="s">
        <v>1496</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-2578</v>
      </c>
      <c r="D67" s="1182" t="s">
        <v>1455</v>
      </c>
      <c r="E67" s="1187"/>
      <c r="F67" s="1188"/>
      <c r="O67" s="1894" t="s">
        <v>1037</v>
      </c>
      <c r="P67" s="1885" t="s">
        <v>1553</v>
      </c>
      <c r="Q67" s="1932">
        <f ca="1">L51</f>
        <v>342576</v>
      </c>
      <c r="R67" s="1886" t="s">
        <v>1573</v>
      </c>
    </row>
    <row r="68" spans="1:18" s="1842" customFormat="1" ht="16.5" thickBot="1">
      <c r="A68" s="1166" t="s">
        <v>1027</v>
      </c>
      <c r="B68" s="1167" t="s">
        <v>1476</v>
      </c>
      <c r="C68" s="346">
        <f ca="1">ROUND(C67*(1-((1+F70)/(1+F68))^F69)/(F68-F70),0)</f>
        <v>-37456</v>
      </c>
      <c r="D68" s="1184" t="s">
        <v>1460</v>
      </c>
      <c r="E68" s="1169" t="s">
        <v>1461</v>
      </c>
      <c r="F68" s="357">
        <f ca="1">F40</f>
        <v>0.05</v>
      </c>
      <c r="O68" s="1894" t="s">
        <v>1038</v>
      </c>
      <c r="P68" s="1933" t="s">
        <v>1574</v>
      </c>
      <c r="Q68" s="1886">
        <f ca="1">ROUND(Q69-Q70*Q71,0)</f>
        <v>26337</v>
      </c>
      <c r="R68" s="1886" t="s">
        <v>1046</v>
      </c>
    </row>
    <row r="69" spans="1:18" s="1842" customFormat="1" ht="13.5" thickBot="1">
      <c r="A69" s="1170"/>
      <c r="B69" s="1171"/>
      <c r="C69" s="351"/>
      <c r="D69" s="1189" t="s">
        <v>1464</v>
      </c>
      <c r="E69" s="1169" t="s">
        <v>1465</v>
      </c>
      <c r="F69" s="379">
        <f ca="1">F41</f>
        <v>18.73</v>
      </c>
      <c r="O69" s="1894" t="s">
        <v>1043</v>
      </c>
      <c r="P69" s="1933" t="s">
        <v>1575</v>
      </c>
      <c r="Q69" s="1886">
        <f ca="1">C39</f>
        <v>30345</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57263</v>
      </c>
      <c r="R70" s="1886" t="s">
        <v>1520</v>
      </c>
    </row>
    <row r="71" spans="1:18" s="1842" customFormat="1" ht="13.5" thickBot="1">
      <c r="A71" s="1190" t="s">
        <v>1028</v>
      </c>
      <c r="B71" s="1191" t="s">
        <v>1478</v>
      </c>
      <c r="C71" s="382">
        <f ca="1">ROUND(C68/F71,0)</f>
        <v>-877</v>
      </c>
      <c r="D71" s="1192" t="s">
        <v>1479</v>
      </c>
      <c r="E71" s="1193" t="s">
        <v>1480</v>
      </c>
      <c r="F71" s="385">
        <f ca="1">F43</f>
        <v>42.7</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4008</v>
      </c>
      <c r="D75" s="1842"/>
      <c r="E75" s="1842"/>
      <c r="F75" s="1842"/>
      <c r="K75" s="1868"/>
      <c r="L75" s="1842"/>
      <c r="O75" s="1884" t="s">
        <v>1041</v>
      </c>
      <c r="P75" s="1885" t="s">
        <v>1540</v>
      </c>
      <c r="Q75" s="1886">
        <f ca="1">Q65+Q66</f>
        <v>440889</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0.86799999999999999</v>
      </c>
    </row>
    <row r="80" spans="1:18">
      <c r="B80" s="386" t="s">
        <v>1502</v>
      </c>
      <c r="C80" s="318">
        <f ca="1">ROUND(C75/C39,3)</f>
        <v>0.13200000000000001</v>
      </c>
    </row>
    <row r="81" spans="2:3">
      <c r="B81" s="314" t="s">
        <v>1503</v>
      </c>
      <c r="C81" s="282"/>
    </row>
    <row r="82" spans="2:3">
      <c r="B82" s="317" t="s">
        <v>1504</v>
      </c>
      <c r="C82" s="319">
        <f ca="1">1-C83</f>
        <v>0.87</v>
      </c>
    </row>
    <row r="83" spans="2:3">
      <c r="B83" s="317" t="s">
        <v>1505</v>
      </c>
      <c r="C83" s="318">
        <f ca="1">ROUND(C13/C40,3)</f>
        <v>0.13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2517</v>
      </c>
      <c r="B1" s="2559"/>
      <c r="C1" s="2559"/>
      <c r="D1" s="2559"/>
      <c r="E1" s="2560"/>
    </row>
    <row r="2" spans="1:6" ht="15.75">
      <c r="A2" s="2561" t="s">
        <v>2318</v>
      </c>
      <c r="B2" s="2562">
        <f ca="1">SUMIF(B6:B13,"&lt;&gt;#ref!",B6:B13)</f>
        <v>2363</v>
      </c>
      <c r="C2" s="2563" t="s">
        <v>2510</v>
      </c>
      <c r="D2" s="2564" t="s">
        <v>2511</v>
      </c>
      <c r="E2" s="2565">
        <f>SUM(E6:E13)</f>
        <v>2461.6999999999998</v>
      </c>
    </row>
    <row r="3" spans="1:6" ht="15.75">
      <c r="A3" s="2561" t="s">
        <v>1386</v>
      </c>
      <c r="B3" s="2562">
        <f ca="1">ROUND(B2*10000/E2,0)</f>
        <v>9599</v>
      </c>
      <c r="C3" s="2563" t="s">
        <v>2518</v>
      </c>
      <c r="D3" s="2566"/>
      <c r="E3" s="2567"/>
    </row>
    <row r="4" spans="1:6" ht="15.75">
      <c r="A4" s="2568"/>
      <c r="B4" s="2566"/>
      <c r="C4" s="2566"/>
      <c r="D4" s="2566"/>
      <c r="E4" s="2567"/>
    </row>
    <row r="5" spans="1:6" ht="15">
      <c r="A5" s="2569" t="s">
        <v>2512</v>
      </c>
      <c r="B5" s="3223" t="s">
        <v>2513</v>
      </c>
      <c r="C5" s="3223"/>
      <c r="D5" s="2570"/>
      <c r="E5" s="2571" t="s">
        <v>2514</v>
      </c>
      <c r="F5" s="2572" t="s">
        <v>2515</v>
      </c>
    </row>
    <row r="6" spans="1:6">
      <c r="A6" s="2573" t="str">
        <f>'数据-取费表'!AN6</f>
        <v>收益法 (商业1)</v>
      </c>
      <c r="B6" s="2572">
        <f ca="1">IF(F6="是",'数据-取费表'!AO6,0)</f>
        <v>44</v>
      </c>
      <c r="C6" s="2563" t="s">
        <v>2510</v>
      </c>
      <c r="D6" s="2566"/>
      <c r="E6" s="2574">
        <f>IF(OR(A6=0,F6="否"),0,'数据-取费表'!K6+'数据-取费表'!S6)</f>
        <v>42.7</v>
      </c>
      <c r="F6" s="2575" t="s">
        <v>2516</v>
      </c>
    </row>
    <row r="7" spans="1:6">
      <c r="A7" s="2573">
        <f>'数据-取费表'!AN7</f>
        <v>0</v>
      </c>
      <c r="B7" s="2572" t="e">
        <f ca="1">IF(F7="是",'数据-取费表'!AO7,0)</f>
        <v>#REF!</v>
      </c>
      <c r="C7" s="2563" t="s">
        <v>2510</v>
      </c>
      <c r="D7" s="2566"/>
      <c r="E7" s="2574">
        <f>IF(OR(A7=0,F7="否"),0,'数据-取费表'!K7+'数据-取费表'!S7)</f>
        <v>0</v>
      </c>
      <c r="F7" s="2575" t="s">
        <v>2516</v>
      </c>
    </row>
    <row r="8" spans="1:6">
      <c r="A8" s="2573" t="str">
        <f>'数据-取费表'!AN8</f>
        <v>收益法 (办公)</v>
      </c>
      <c r="B8" s="2572">
        <f ca="1">IF(F8="是",'数据-取费表'!AO8,0)</f>
        <v>986</v>
      </c>
      <c r="C8" s="2563" t="s">
        <v>2510</v>
      </c>
      <c r="D8" s="2566"/>
      <c r="E8" s="2574">
        <f>IF(OR(A8=0,F8="否"),0,'数据-取费表'!K8+'数据-取费表'!S8)</f>
        <v>1108.4000000000001</v>
      </c>
      <c r="F8" s="2575" t="s">
        <v>2516</v>
      </c>
    </row>
    <row r="9" spans="1:6">
      <c r="A9" s="2573">
        <f>'数据-取费表'!AN9</f>
        <v>0</v>
      </c>
      <c r="B9" s="2572" t="e">
        <f ca="1">IF(F9="是",'数据-取费表'!AO9,0)</f>
        <v>#REF!</v>
      </c>
      <c r="C9" s="2563" t="s">
        <v>2510</v>
      </c>
      <c r="D9" s="2566"/>
      <c r="E9" s="2574">
        <f>IF(OR(A9=0,F9="否"),0,'数据-取费表'!K9+'数据-取费表'!S9)</f>
        <v>0</v>
      </c>
      <c r="F9" s="2575" t="s">
        <v>2516</v>
      </c>
    </row>
    <row r="10" spans="1:6">
      <c r="A10" s="2573">
        <f>'数据-取费表'!AN10</f>
        <v>0</v>
      </c>
      <c r="B10" s="2572" t="e">
        <f ca="1">IF(F10="是",'数据-取费表'!AO10,0)</f>
        <v>#REF!</v>
      </c>
      <c r="C10" s="2563" t="s">
        <v>2510</v>
      </c>
      <c r="D10" s="2566"/>
      <c r="E10" s="2574">
        <f>IF(OR(A10=0,F10="否"),0,'数据-取费表'!K10+'数据-取费表'!S10)</f>
        <v>0</v>
      </c>
      <c r="F10" s="2575" t="s">
        <v>2516</v>
      </c>
    </row>
    <row r="11" spans="1:6">
      <c r="A11" s="2573" t="str">
        <f>'数据-取费表'!AN11</f>
        <v xml:space="preserve">收益法 (商业2层) </v>
      </c>
      <c r="B11" s="2572">
        <f ca="1">IF(F11="是",'数据-取费表'!AO11,0)</f>
        <v>1333</v>
      </c>
      <c r="C11" s="2563" t="s">
        <v>2510</v>
      </c>
      <c r="D11" s="2566"/>
      <c r="E11" s="2574">
        <f>IF(OR(A11=0,F11="否"),0,'数据-取费表'!K11+'数据-取费表'!S11)</f>
        <v>1310.5999999999999</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1071</v>
      </c>
      <c r="B1" s="3225"/>
      <c r="C1" s="3226"/>
      <c r="D1" s="3227">
        <f>SUM(I10,I15,I20,I21,I23)</f>
        <v>0</v>
      </c>
      <c r="E1" s="3227"/>
      <c r="F1" s="3227"/>
      <c r="G1" s="3227"/>
      <c r="H1" s="3227"/>
      <c r="I1" s="3228"/>
    </row>
    <row r="2" spans="1:9">
      <c r="A2" s="3229" t="s">
        <v>1072</v>
      </c>
      <c r="B2" s="3230" t="s">
        <v>1073</v>
      </c>
      <c r="C2" s="3230"/>
      <c r="D2" s="1301" t="s">
        <v>1074</v>
      </c>
      <c r="E2" s="1301" t="s">
        <v>1075</v>
      </c>
      <c r="F2" s="1301" t="s">
        <v>1076</v>
      </c>
      <c r="G2" s="1301" t="s">
        <v>1077</v>
      </c>
      <c r="H2" s="1301" t="s">
        <v>1078</v>
      </c>
      <c r="I2" s="1302" t="s">
        <v>1079</v>
      </c>
    </row>
    <row r="3" spans="1:9">
      <c r="A3" s="3229"/>
      <c r="B3" s="3230" t="s">
        <v>1080</v>
      </c>
      <c r="C3" s="3230"/>
      <c r="D3" s="1303"/>
      <c r="E3" s="1301"/>
      <c r="F3" s="1304"/>
      <c r="G3" s="1304"/>
      <c r="H3" s="1305"/>
      <c r="I3" s="1306">
        <f>ROUND(D3*E3*F3*G3*H3/10000,0)</f>
        <v>0</v>
      </c>
    </row>
    <row r="4" spans="1:9">
      <c r="A4" s="3229"/>
      <c r="B4" s="3230" t="s">
        <v>1081</v>
      </c>
      <c r="C4" s="3230"/>
      <c r="D4" s="1303"/>
      <c r="E4" s="1301"/>
      <c r="F4" s="1304"/>
      <c r="G4" s="1304"/>
      <c r="H4" s="1305"/>
      <c r="I4" s="1306">
        <f t="shared" ref="I4:I9" si="0">ROUND(D4*E4*F4*G4*H4/10000,0)</f>
        <v>0</v>
      </c>
    </row>
    <row r="5" spans="1:9">
      <c r="A5" s="3229"/>
      <c r="B5" s="3230" t="s">
        <v>1082</v>
      </c>
      <c r="C5" s="3230"/>
      <c r="D5" s="1303"/>
      <c r="E5" s="1301"/>
      <c r="F5" s="1304"/>
      <c r="G5" s="1304"/>
      <c r="H5" s="1305"/>
      <c r="I5" s="1306">
        <f t="shared" si="0"/>
        <v>0</v>
      </c>
    </row>
    <row r="6" spans="1:9">
      <c r="A6" s="3229"/>
      <c r="B6" s="3230" t="s">
        <v>1083</v>
      </c>
      <c r="C6" s="3230"/>
      <c r="D6" s="1303"/>
      <c r="E6" s="1301"/>
      <c r="F6" s="1304"/>
      <c r="G6" s="1304"/>
      <c r="H6" s="1305"/>
      <c r="I6" s="1306">
        <f t="shared" si="0"/>
        <v>0</v>
      </c>
    </row>
    <row r="7" spans="1:9">
      <c r="A7" s="3229"/>
      <c r="B7" s="3230" t="s">
        <v>1084</v>
      </c>
      <c r="C7" s="3230"/>
      <c r="D7" s="1303"/>
      <c r="E7" s="1301"/>
      <c r="F7" s="1304"/>
      <c r="G7" s="1304"/>
      <c r="H7" s="1305"/>
      <c r="I7" s="1306">
        <f t="shared" si="0"/>
        <v>0</v>
      </c>
    </row>
    <row r="8" spans="1:9">
      <c r="A8" s="3229"/>
      <c r="B8" s="3230" t="s">
        <v>1085</v>
      </c>
      <c r="C8" s="3230"/>
      <c r="D8" s="1303"/>
      <c r="E8" s="1301"/>
      <c r="F8" s="1304"/>
      <c r="G8" s="1304"/>
      <c r="H8" s="1305"/>
      <c r="I8" s="1306">
        <f t="shared" si="0"/>
        <v>0</v>
      </c>
    </row>
    <row r="9" spans="1:9">
      <c r="A9" s="3229"/>
      <c r="B9" s="3230" t="s">
        <v>1086</v>
      </c>
      <c r="C9" s="3230"/>
      <c r="D9" s="1303"/>
      <c r="E9" s="1301"/>
      <c r="F9" s="1304"/>
      <c r="G9" s="1304"/>
      <c r="H9" s="1305"/>
      <c r="I9" s="1306">
        <f t="shared" si="0"/>
        <v>0</v>
      </c>
    </row>
    <row r="10" spans="1:9">
      <c r="A10" s="3229"/>
      <c r="B10" s="3231" t="s">
        <v>1087</v>
      </c>
      <c r="C10" s="3231"/>
      <c r="D10" s="1307"/>
      <c r="E10" s="1307" t="e">
        <f>ROUND(D1*10000/D10/H9,0)</f>
        <v>#DIV/0!</v>
      </c>
      <c r="F10" s="1308"/>
      <c r="G10" s="1308"/>
      <c r="H10" s="1309"/>
      <c r="I10" s="1310">
        <f>SUM(I3:I9)</f>
        <v>0</v>
      </c>
    </row>
    <row r="11" spans="1:9" ht="14.25">
      <c r="A11" s="3229" t="s">
        <v>1088</v>
      </c>
      <c r="B11" s="3230" t="s">
        <v>1089</v>
      </c>
      <c r="C11" s="3230"/>
      <c r="D11" s="1303" t="s">
        <v>1090</v>
      </c>
      <c r="E11" s="1303" t="s">
        <v>1091</v>
      </c>
      <c r="F11" s="1304" t="s">
        <v>1092</v>
      </c>
      <c r="G11" s="1304" t="s">
        <v>1078</v>
      </c>
      <c r="H11" s="1311" t="s">
        <v>1093</v>
      </c>
      <c r="I11" s="1302" t="s">
        <v>1079</v>
      </c>
    </row>
    <row r="12" spans="1:9">
      <c r="A12" s="3229"/>
      <c r="B12" s="3230" t="s">
        <v>1094</v>
      </c>
      <c r="C12" s="3230"/>
      <c r="D12" s="1303"/>
      <c r="E12" s="1303"/>
      <c r="F12" s="1304"/>
      <c r="G12" s="1305"/>
      <c r="H12" s="1312"/>
      <c r="I12" s="1302">
        <f>ROUND(D12*E12*F12*G12/10000,0)</f>
        <v>0</v>
      </c>
    </row>
    <row r="13" spans="1:9">
      <c r="A13" s="3229"/>
      <c r="B13" s="3230" t="s">
        <v>1095</v>
      </c>
      <c r="C13" s="3230"/>
      <c r="D13" s="1303"/>
      <c r="E13" s="1303"/>
      <c r="F13" s="1304"/>
      <c r="G13" s="1305"/>
      <c r="H13" s="1312"/>
      <c r="I13" s="1302">
        <f>ROUND(D13*E13*F13*G13/10000,0)</f>
        <v>0</v>
      </c>
    </row>
    <row r="14" spans="1:9">
      <c r="A14" s="3229"/>
      <c r="B14" s="3230" t="s">
        <v>1096</v>
      </c>
      <c r="C14" s="3230"/>
      <c r="D14" s="1303"/>
      <c r="E14" s="1303"/>
      <c r="F14" s="1304"/>
      <c r="G14" s="1305"/>
      <c r="H14" s="1312"/>
      <c r="I14" s="1302">
        <f>ROUND(D14*E14*F14*G14/10000,0)</f>
        <v>0</v>
      </c>
    </row>
    <row r="15" spans="1:9">
      <c r="A15" s="3229"/>
      <c r="B15" s="3231" t="s">
        <v>1087</v>
      </c>
      <c r="C15" s="3231"/>
      <c r="D15" s="1307"/>
      <c r="E15" s="1307">
        <f>SUM(E12:E14)</f>
        <v>0</v>
      </c>
      <c r="F15" s="1308"/>
      <c r="G15" s="1305"/>
      <c r="H15" s="1312"/>
      <c r="I15" s="1313">
        <f>SUM(I12:I14)</f>
        <v>0</v>
      </c>
    </row>
    <row r="16" spans="1:9" ht="24">
      <c r="A16" s="3229" t="s">
        <v>1097</v>
      </c>
      <c r="B16" s="3230" t="s">
        <v>1098</v>
      </c>
      <c r="C16" s="3230"/>
      <c r="D16" s="1303" t="s">
        <v>1074</v>
      </c>
      <c r="E16" s="1314" t="s">
        <v>1099</v>
      </c>
      <c r="F16" s="1304" t="s">
        <v>1100</v>
      </c>
      <c r="G16" s="1305" t="s">
        <v>1078</v>
      </c>
      <c r="H16" s="1311" t="s">
        <v>1093</v>
      </c>
      <c r="I16" s="1302" t="s">
        <v>1079</v>
      </c>
    </row>
    <row r="17" spans="1:9" ht="14.25">
      <c r="A17" s="3229"/>
      <c r="B17" s="3230" t="s">
        <v>1101</v>
      </c>
      <c r="C17" s="3230"/>
      <c r="D17" s="1303"/>
      <c r="E17" s="1303"/>
      <c r="F17" s="1304"/>
      <c r="G17" s="1305"/>
      <c r="H17" s="1315"/>
      <c r="I17" s="1316">
        <f>ROUND(D17*E17*F17*G17/10000,0)</f>
        <v>0</v>
      </c>
    </row>
    <row r="18" spans="1:9" ht="14.25">
      <c r="A18" s="3229"/>
      <c r="B18" s="3230" t="s">
        <v>1102</v>
      </c>
      <c r="C18" s="3230"/>
      <c r="D18" s="1303"/>
      <c r="E18" s="1303"/>
      <c r="F18" s="1304"/>
      <c r="G18" s="1305"/>
      <c r="H18" s="1315"/>
      <c r="I18" s="1316">
        <f>ROUND(D18*E18*F18*G18/10000,0)</f>
        <v>0</v>
      </c>
    </row>
    <row r="19" spans="1:9" ht="14.25">
      <c r="A19" s="3229"/>
      <c r="B19" s="3230" t="s">
        <v>1103</v>
      </c>
      <c r="C19" s="3230"/>
      <c r="D19" s="1303"/>
      <c r="E19" s="1303"/>
      <c r="F19" s="1304"/>
      <c r="G19" s="1305"/>
      <c r="H19" s="1315"/>
      <c r="I19" s="1316">
        <f>ROUND(D19*E19*F19*G19/10000,0)</f>
        <v>0</v>
      </c>
    </row>
    <row r="20" spans="1:9">
      <c r="A20" s="3229"/>
      <c r="B20" s="3231" t="s">
        <v>1087</v>
      </c>
      <c r="C20" s="3231"/>
      <c r="D20" s="1307">
        <f>SUM(D17:D19)</f>
        <v>0</v>
      </c>
      <c r="E20" s="1307"/>
      <c r="F20" s="1308"/>
      <c r="G20" s="1305"/>
      <c r="H20" s="1312"/>
      <c r="I20" s="1313">
        <f>SUM(I17:I19)</f>
        <v>0</v>
      </c>
    </row>
    <row r="21" spans="1:9">
      <c r="A21" s="3229" t="s">
        <v>1104</v>
      </c>
      <c r="B21" s="3233"/>
      <c r="C21" s="3233"/>
      <c r="D21" s="3233"/>
      <c r="E21" s="3233"/>
      <c r="F21" s="3233"/>
      <c r="G21" s="3233"/>
      <c r="H21" s="1765">
        <v>0.1</v>
      </c>
      <c r="I21" s="1310">
        <f>ROUND(I10*H21,0)</f>
        <v>0</v>
      </c>
    </row>
    <row r="22" spans="1:9" ht="14.25">
      <c r="A22" s="3234" t="s">
        <v>1105</v>
      </c>
      <c r="B22" s="3235"/>
      <c r="C22" s="3236"/>
      <c r="D22" s="1317" t="s">
        <v>1106</v>
      </c>
      <c r="E22" s="1317" t="s">
        <v>1107</v>
      </c>
      <c r="F22" s="1318" t="s">
        <v>1108</v>
      </c>
      <c r="G22" s="1318" t="s">
        <v>1109</v>
      </c>
      <c r="H22" s="1311" t="s">
        <v>1110</v>
      </c>
      <c r="I22" s="1302" t="s">
        <v>1111</v>
      </c>
    </row>
    <row r="23" spans="1:9" ht="14.25" thickBot="1">
      <c r="A23" s="3237"/>
      <c r="B23" s="3238"/>
      <c r="C23" s="3239"/>
      <c r="D23" s="1319"/>
      <c r="E23" s="1319"/>
      <c r="F23" s="1319"/>
      <c r="G23" s="1320"/>
      <c r="H23" s="1321"/>
      <c r="I23" s="1322">
        <f>ROUND(E23*D23*F23*(1-G23)/10000,0)</f>
        <v>0</v>
      </c>
    </row>
    <row r="26" spans="1:9">
      <c r="A26" s="1323" t="s">
        <v>1112</v>
      </c>
      <c r="B26" s="1323"/>
      <c r="C26" s="1323"/>
      <c r="D26" s="1323"/>
      <c r="E26" s="3240">
        <f>C27-C30-C31-C32</f>
        <v>0</v>
      </c>
      <c r="F26" s="3240"/>
      <c r="G26" s="3240"/>
      <c r="H26" s="1737" t="s">
        <v>1332</v>
      </c>
    </row>
    <row r="27" spans="1:9">
      <c r="A27" s="1324">
        <v>1</v>
      </c>
      <c r="B27" s="1325" t="s">
        <v>1113</v>
      </c>
      <c r="C27" s="1325">
        <f>C28+C29</f>
        <v>0</v>
      </c>
      <c r="D27" s="1325"/>
      <c r="E27" s="3241"/>
      <c r="F27" s="3241"/>
      <c r="G27" s="3241"/>
    </row>
    <row r="28" spans="1:9">
      <c r="A28" s="1326" t="s">
        <v>1114</v>
      </c>
      <c r="B28" s="1325" t="s">
        <v>1115</v>
      </c>
      <c r="C28" s="1325"/>
      <c r="D28" s="1325"/>
      <c r="E28" s="3241"/>
      <c r="F28" s="3241"/>
      <c r="G28" s="3241"/>
    </row>
    <row r="29" spans="1:9">
      <c r="A29" s="1326" t="s">
        <v>1116</v>
      </c>
      <c r="B29" s="1325" t="s">
        <v>1117</v>
      </c>
      <c r="C29" s="1325"/>
      <c r="D29" s="1325"/>
      <c r="E29" s="1325" t="s">
        <v>1118</v>
      </c>
      <c r="F29" s="1325"/>
      <c r="G29" s="1325"/>
    </row>
    <row r="30" spans="1:9">
      <c r="A30" s="1324">
        <v>2</v>
      </c>
      <c r="B30" s="1325" t="s">
        <v>1119</v>
      </c>
      <c r="C30" s="1325">
        <f>C27*D30</f>
        <v>0</v>
      </c>
      <c r="D30" s="1327">
        <v>0.2</v>
      </c>
      <c r="E30" s="1325" t="s">
        <v>1120</v>
      </c>
      <c r="F30" s="1325"/>
      <c r="G30" s="1325"/>
    </row>
    <row r="31" spans="1:9">
      <c r="A31" s="1324">
        <v>3</v>
      </c>
      <c r="B31" s="1325" t="s">
        <v>1121</v>
      </c>
      <c r="C31" s="1325">
        <f>C25*D31</f>
        <v>0</v>
      </c>
      <c r="D31" s="1327">
        <v>0.15</v>
      </c>
      <c r="E31" s="1325" t="s">
        <v>1122</v>
      </c>
      <c r="F31" s="1325"/>
      <c r="G31" s="1325"/>
    </row>
    <row r="32" spans="1:9">
      <c r="A32" s="1324">
        <v>4</v>
      </c>
      <c r="B32" s="1325" t="s">
        <v>1123</v>
      </c>
      <c r="C32" s="1325">
        <f>C27*D32</f>
        <v>0</v>
      </c>
      <c r="D32" s="1327">
        <v>0.05</v>
      </c>
      <c r="E32" s="3232"/>
      <c r="F32" s="3232"/>
      <c r="G32" s="3232"/>
    </row>
    <row r="33" spans="1:7" hidden="1">
      <c r="A33" s="3242" t="s">
        <v>1124</v>
      </c>
      <c r="B33" s="3243"/>
      <c r="C33" s="3243"/>
      <c r="D33" s="3244"/>
      <c r="E33" s="3240"/>
      <c r="F33" s="3240"/>
      <c r="G33" s="3240"/>
    </row>
    <row r="34" spans="1:7" hidden="1">
      <c r="A34" s="1328">
        <v>1</v>
      </c>
      <c r="B34" s="1325" t="s">
        <v>1125</v>
      </c>
      <c r="C34" s="1325"/>
      <c r="D34" s="1325"/>
      <c r="E34" s="3241"/>
      <c r="F34" s="3241"/>
      <c r="G34" s="3241"/>
    </row>
    <row r="35" spans="1:7" hidden="1">
      <c r="A35" s="1328">
        <v>2</v>
      </c>
      <c r="B35" s="1325" t="s">
        <v>1126</v>
      </c>
      <c r="C35" s="1325"/>
      <c r="D35" s="1325"/>
      <c r="E35" s="3241"/>
      <c r="F35" s="3241"/>
      <c r="G35" s="3241"/>
    </row>
    <row r="36" spans="1:7" hidden="1">
      <c r="A36" s="1328">
        <v>3</v>
      </c>
      <c r="B36" s="1325" t="s">
        <v>1127</v>
      </c>
      <c r="C36" s="1325"/>
      <c r="D36" s="1325"/>
      <c r="E36" s="3241"/>
      <c r="F36" s="3241"/>
      <c r="G36" s="3241"/>
    </row>
    <row r="37" spans="1:7" hidden="1">
      <c r="A37" s="1328">
        <v>4</v>
      </c>
      <c r="B37" s="1325" t="s">
        <v>1128</v>
      </c>
      <c r="C37" s="1325"/>
      <c r="D37" s="1325"/>
      <c r="E37" s="3241"/>
      <c r="F37" s="3241"/>
      <c r="G37" s="3241"/>
    </row>
    <row r="38" spans="1:7" hidden="1">
      <c r="A38" s="3242" t="s">
        <v>1129</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1602</v>
      </c>
    </row>
    <row r="2" spans="1:1">
      <c r="A2" s="1945"/>
    </row>
    <row r="3" spans="1:1" ht="18">
      <c r="A3" s="1946" t="str">
        <f>项目基本情况!B5&amp;"："</f>
        <v>：</v>
      </c>
    </row>
    <row r="4" spans="1:1" ht="36">
      <c r="A4" s="1947" t="str">
        <f>"受贵公司委托，我公司对"&amp;项目基本情况!S1&amp;"进行了预评估。"</f>
        <v>受贵公司委托，我公司对北京市怀柔区庙城镇郑重庄636号房地产市场价值进行了预评估。</v>
      </c>
    </row>
    <row r="5" spans="1:1" ht="18.75">
      <c r="A5" s="1948" t="s">
        <v>1603</v>
      </c>
    </row>
    <row r="6" spans="1:1" ht="18.75">
      <c r="A6" s="1949" t="s">
        <v>1604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估价对象为北京市怀柔区庙城镇郑重庄636号房地产，为北京天民房地产开发有限公司所有。根据《国有土地使用证》[]，估价对象（分摊）出让国有建设用地使用权面积为10500平方米，建筑面积为2602.9平方米。</v>
      </c>
    </row>
    <row r="8" spans="1:1" ht="57.75">
      <c r="A8" s="1950" t="s">
        <v>1605</v>
      </c>
    </row>
    <row r="9" spans="1:1" ht="18.75">
      <c r="A9" s="1949" t="s">
        <v>1606</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1" spans="1:1" ht="76.5">
      <c r="A11" s="1950" t="s">
        <v>1607</v>
      </c>
    </row>
    <row r="12" spans="1:1" ht="18.75">
      <c r="A12" s="1948" t="s">
        <v>1608</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1609</v>
      </c>
    </row>
    <row r="15" spans="1:1" ht="18">
      <c r="A15" s="1953" t="str">
        <f>TEXT(项目基本情况!D3,"yyyy年m月d日;;")&amp;IF(项目基本情况!D3=项目基本情况!B3,"（评估专业人员实地查勘之日）","")</f>
        <v>2020年4月1日（评估专业人员实地查勘之日）</v>
      </c>
    </row>
    <row r="16" spans="1:1" ht="18.75">
      <c r="A16" s="1952" t="s">
        <v>1610</v>
      </c>
    </row>
    <row r="17" spans="1:1" ht="75">
      <c r="A17" s="1947" t="s">
        <v>1611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1600</v>
      </c>
    </row>
    <row r="24" spans="1:1" ht="18">
      <c r="A24" s="1954" t="str">
        <f>"本次评估采用的主估价方法为"&amp;结果表!K4&amp;"和"&amp;结果表!L4&amp;"。"</f>
        <v>本次评估采用的主估价方法为成本法和收益法。</v>
      </c>
    </row>
    <row r="25" spans="1:1" ht="18">
      <c r="A25" s="1954"/>
    </row>
    <row r="26" spans="1:1" ht="18.75">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2520</v>
      </c>
      <c r="C1" s="1634" t="s">
        <v>2521</v>
      </c>
      <c r="D1" s="1621"/>
      <c r="E1" s="2580"/>
      <c r="F1" s="2581" t="s">
        <v>2522</v>
      </c>
      <c r="G1" s="1631" t="s">
        <v>2523</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3"/>
      <c r="D2" s="1365" t="e">
        <f ca="1">SUMIF(INDIRECT("'"&amp;F2&amp;"'"&amp;"!A:A"),"承租人权益价值",INDIRECT("'"&amp;F2&amp;"'"&amp;"!c:c"))</f>
        <v>#REF!</v>
      </c>
      <c r="E2" s="2584" t="s">
        <v>2524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2525</v>
      </c>
      <c r="D3" s="399">
        <f>IF(D1="",'数据-汇总表'!E3,SUMIF('数据-汇总表'!$C19:$C33,D1,'数据-汇总表'!$E19:$E33))</f>
        <v>2602.9</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2526</v>
      </c>
      <c r="B4" s="402"/>
      <c r="C4" s="3263" t="s">
        <v>2527</v>
      </c>
      <c r="D4" s="3264"/>
      <c r="E4" s="3265" t="s">
        <v>2528</v>
      </c>
      <c r="F4" s="3266"/>
      <c r="G4" s="3263" t="s">
        <v>2529</v>
      </c>
      <c r="H4" s="3264"/>
      <c r="I4" s="3263" t="s">
        <v>2530</v>
      </c>
      <c r="J4" s="3264"/>
      <c r="K4" s="2593" t="s">
        <v>2531</v>
      </c>
      <c r="L4" s="1130"/>
      <c r="M4" s="1131"/>
      <c r="N4" s="1131"/>
      <c r="O4" s="1131"/>
      <c r="P4" s="3267" t="s">
        <v>2532</v>
      </c>
      <c r="Q4" s="3268"/>
      <c r="R4" s="3250" t="s">
        <v>2528</v>
      </c>
      <c r="S4" s="3251"/>
      <c r="T4" s="3250" t="s">
        <v>2529</v>
      </c>
      <c r="U4" s="3251"/>
      <c r="V4" s="3275" t="s">
        <v>2530</v>
      </c>
      <c r="W4" s="3275"/>
      <c r="X4" s="1813"/>
      <c r="Y4" s="3250" t="s">
        <v>2532</v>
      </c>
      <c r="Z4" s="3251"/>
      <c r="AA4" s="3245" t="s">
        <v>2528</v>
      </c>
      <c r="AB4" s="3245" t="s">
        <v>2529</v>
      </c>
      <c r="AC4" s="3245" t="s">
        <v>2530</v>
      </c>
    </row>
    <row r="5" spans="1:29" ht="15">
      <c r="A5" s="404"/>
      <c r="B5" s="405"/>
      <c r="C5" s="3256" t="s">
        <v>2533</v>
      </c>
      <c r="D5" s="3257"/>
      <c r="E5" s="3254" t="s">
        <v>2534</v>
      </c>
      <c r="F5" s="3255"/>
      <c r="G5" s="3256" t="s">
        <v>2535</v>
      </c>
      <c r="H5" s="3257"/>
      <c r="I5" s="3256" t="s">
        <v>2536</v>
      </c>
      <c r="J5" s="3257"/>
      <c r="K5" s="2594"/>
      <c r="L5" s="1130"/>
      <c r="M5" s="1131"/>
      <c r="N5" s="1131"/>
      <c r="O5" s="1131"/>
      <c r="P5" s="3269"/>
      <c r="Q5" s="3270"/>
      <c r="R5" s="3252"/>
      <c r="S5" s="3253"/>
      <c r="T5" s="3252"/>
      <c r="U5" s="3253"/>
      <c r="V5" s="3275"/>
      <c r="W5" s="3275"/>
      <c r="X5" s="1813"/>
      <c r="Y5" s="3252"/>
      <c r="Z5" s="3253"/>
      <c r="AA5" s="3246"/>
      <c r="AB5" s="3246"/>
      <c r="AC5" s="3246"/>
    </row>
    <row r="6" spans="1:29" ht="15.75" thickBot="1">
      <c r="A6" s="406"/>
      <c r="B6" s="407"/>
      <c r="C6" s="3258" t="s">
        <v>2537</v>
      </c>
      <c r="D6" s="3259"/>
      <c r="E6" s="3260" t="s">
        <v>2537</v>
      </c>
      <c r="F6" s="3261"/>
      <c r="G6" s="3258" t="s">
        <v>2537</v>
      </c>
      <c r="H6" s="3259"/>
      <c r="I6" s="3258" t="s">
        <v>2537</v>
      </c>
      <c r="J6" s="3259"/>
      <c r="K6" s="2594" t="s">
        <v>2538</v>
      </c>
      <c r="L6" s="1130"/>
      <c r="M6" s="1131"/>
      <c r="N6" s="1131"/>
      <c r="O6" s="1131"/>
      <c r="P6" s="3271"/>
      <c r="Q6" s="3272"/>
      <c r="R6" s="3252"/>
      <c r="S6" s="3253"/>
      <c r="T6" s="3273"/>
      <c r="U6" s="3274"/>
      <c r="V6" s="3275"/>
      <c r="W6" s="3275"/>
      <c r="X6" s="1813"/>
      <c r="Y6" s="3273"/>
      <c r="Z6" s="3274"/>
      <c r="AA6" s="3247"/>
      <c r="AB6" s="3247"/>
      <c r="AC6" s="3247"/>
    </row>
    <row r="7" spans="1:29" s="117" customFormat="1" ht="15.75" thickBot="1">
      <c r="A7" s="408" t="s">
        <v>2539</v>
      </c>
      <c r="B7" s="409"/>
      <c r="C7" s="410">
        <f>'数据-取费表'!B2</f>
        <v>43922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48" t="s">
        <v>2540</v>
      </c>
      <c r="Q7" s="3276"/>
      <c r="R7" s="770" t="s">
        <v>23</v>
      </c>
      <c r="S7" s="771">
        <f t="shared" ref="S7:S15" si="0">F7</f>
        <v>0</v>
      </c>
      <c r="T7" s="770" t="s">
        <v>23</v>
      </c>
      <c r="U7" s="771">
        <f t="shared" ref="U7:U15" si="1">H7</f>
        <v>0</v>
      </c>
      <c r="V7" s="770" t="s">
        <v>23</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48" t="s">
        <v>2543</v>
      </c>
      <c r="Q8" s="3249"/>
      <c r="R8" s="770" t="s">
        <v>23</v>
      </c>
      <c r="S8" s="771">
        <f t="shared" si="0"/>
        <v>0</v>
      </c>
      <c r="T8" s="770" t="s">
        <v>23</v>
      </c>
      <c r="U8" s="771">
        <f t="shared" si="1"/>
        <v>0</v>
      </c>
      <c r="V8" s="770" t="s">
        <v>23</v>
      </c>
      <c r="W8" s="771">
        <f t="shared" si="2"/>
        <v>0</v>
      </c>
      <c r="X8" s="772"/>
      <c r="Y8" s="3248" t="s">
        <v>2543</v>
      </c>
      <c r="Z8" s="324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62"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2"/>
      <c r="Q11" s="1795" t="str">
        <f t="shared" si="6"/>
        <v>容积率</v>
      </c>
      <c r="R11" s="770" t="s">
        <v>21</v>
      </c>
      <c r="S11" s="771" t="e">
        <f t="shared" si="0"/>
        <v>#N/A</v>
      </c>
      <c r="T11" s="770" t="s">
        <v>21</v>
      </c>
      <c r="U11" s="771" t="e">
        <f t="shared" si="1"/>
        <v>#N/A</v>
      </c>
      <c r="V11" s="770" t="s">
        <v>21</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62"/>
      <c r="Q12" s="1795">
        <f t="shared" si="6"/>
        <v>111</v>
      </c>
      <c r="R12" s="770" t="s">
        <v>21</v>
      </c>
      <c r="S12" s="771">
        <f t="shared" si="0"/>
        <v>100</v>
      </c>
      <c r="T12" s="770" t="s">
        <v>21</v>
      </c>
      <c r="U12" s="771">
        <f t="shared" si="1"/>
        <v>100</v>
      </c>
      <c r="V12" s="770" t="s">
        <v>21</v>
      </c>
      <c r="W12" s="771">
        <f t="shared" si="2"/>
        <v>100</v>
      </c>
      <c r="X12" s="772"/>
      <c r="Y12" s="308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62"/>
      <c r="Q13" s="1795">
        <f t="shared" si="6"/>
        <v>111</v>
      </c>
      <c r="R13" s="770" t="s">
        <v>21</v>
      </c>
      <c r="S13" s="771">
        <f t="shared" si="0"/>
        <v>100</v>
      </c>
      <c r="T13" s="770" t="s">
        <v>21</v>
      </c>
      <c r="U13" s="771">
        <f t="shared" si="1"/>
        <v>100</v>
      </c>
      <c r="V13" s="770" t="s">
        <v>21</v>
      </c>
      <c r="W13" s="771">
        <f t="shared" si="2"/>
        <v>100</v>
      </c>
      <c r="X13" s="772"/>
      <c r="Y13" s="308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62"/>
      <c r="Q14" s="1795">
        <f t="shared" si="6"/>
        <v>111</v>
      </c>
      <c r="R14" s="770" t="s">
        <v>21</v>
      </c>
      <c r="S14" s="771">
        <f t="shared" si="0"/>
        <v>100</v>
      </c>
      <c r="T14" s="770" t="s">
        <v>21</v>
      </c>
      <c r="U14" s="771">
        <f t="shared" si="1"/>
        <v>100</v>
      </c>
      <c r="V14" s="770" t="s">
        <v>21</v>
      </c>
      <c r="W14" s="771">
        <f t="shared" si="2"/>
        <v>100</v>
      </c>
      <c r="X14" s="772"/>
      <c r="Y14" s="3085"/>
      <c r="Z14" s="55">
        <f t="shared" si="7"/>
        <v>111</v>
      </c>
      <c r="AA14" s="773">
        <f t="shared" si="3"/>
        <v>1</v>
      </c>
      <c r="AB14" s="773">
        <f t="shared" si="4"/>
        <v>1</v>
      </c>
      <c r="AC14" s="773">
        <f t="shared" si="5"/>
        <v>1</v>
      </c>
    </row>
    <row r="15" spans="1:29" ht="99.75">
      <c r="A15" s="440" t="s">
        <v>2550</v>
      </c>
      <c r="B15" s="69" t="s">
        <v>2078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9" t="s">
        <v>2551</v>
      </c>
      <c r="Q15" s="1810" t="str">
        <f t="shared" si="6"/>
        <v>居住社区成熟度</v>
      </c>
      <c r="R15" s="774" t="s">
        <v>21</v>
      </c>
      <c r="S15" s="775">
        <f t="shared" si="0"/>
        <v>100</v>
      </c>
      <c r="T15" s="774" t="s">
        <v>21</v>
      </c>
      <c r="U15" s="775">
        <f t="shared" si="1"/>
        <v>100</v>
      </c>
      <c r="V15" s="774" t="s">
        <v>21</v>
      </c>
      <c r="W15" s="775">
        <f t="shared" si="2"/>
        <v>100</v>
      </c>
      <c r="X15" s="1813"/>
      <c r="Y15" s="3282" t="s">
        <v>2551</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90"/>
      <c r="Q16" s="1810"/>
      <c r="R16" s="774"/>
      <c r="S16" s="775"/>
      <c r="T16" s="774"/>
      <c r="U16" s="775"/>
      <c r="V16" s="774"/>
      <c r="W16" s="775"/>
      <c r="X16" s="1813"/>
      <c r="Y16" s="3283"/>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90"/>
      <c r="Q17" s="1810" t="str">
        <f>B17</f>
        <v>交通便捷度</v>
      </c>
      <c r="R17" s="774" t="s">
        <v>21</v>
      </c>
      <c r="S17" s="775">
        <f>F17</f>
        <v>100</v>
      </c>
      <c r="T17" s="774" t="s">
        <v>21</v>
      </c>
      <c r="U17" s="775">
        <f>H17</f>
        <v>100</v>
      </c>
      <c r="V17" s="774" t="s">
        <v>21</v>
      </c>
      <c r="W17" s="775">
        <f>J17</f>
        <v>100</v>
      </c>
      <c r="X17" s="1813"/>
      <c r="Y17" s="3283"/>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90"/>
      <c r="Q18" s="1810"/>
      <c r="R18" s="774"/>
      <c r="S18" s="775"/>
      <c r="T18" s="774"/>
      <c r="U18" s="775"/>
      <c r="V18" s="774"/>
      <c r="W18" s="775"/>
      <c r="X18" s="1813"/>
      <c r="Y18" s="3283"/>
      <c r="Z18" s="1814"/>
      <c r="AA18" s="1811">
        <v>1</v>
      </c>
      <c r="AB18" s="1811">
        <v>1</v>
      </c>
      <c r="AC18" s="1811">
        <v>1</v>
      </c>
    </row>
    <row r="19" spans="1:29" ht="42.75">
      <c r="A19" s="428"/>
      <c r="B19" s="451" t="s">
        <v>2086</v>
      </c>
      <c r="C19" s="2604"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90"/>
      <c r="Q19" s="1810" t="str">
        <f>B19</f>
        <v>公共配套设施</v>
      </c>
      <c r="R19" s="774" t="s">
        <v>21</v>
      </c>
      <c r="S19" s="775">
        <f>F19</f>
        <v>100</v>
      </c>
      <c r="T19" s="774" t="s">
        <v>21</v>
      </c>
      <c r="U19" s="775">
        <f>H19</f>
        <v>100</v>
      </c>
      <c r="V19" s="774" t="s">
        <v>21</v>
      </c>
      <c r="W19" s="775">
        <f>J19</f>
        <v>100</v>
      </c>
      <c r="X19" s="1813"/>
      <c r="Y19" s="3283"/>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90"/>
      <c r="Q20" s="1810"/>
      <c r="R20" s="774"/>
      <c r="S20" s="775"/>
      <c r="T20" s="774"/>
      <c r="U20" s="775"/>
      <c r="V20" s="774"/>
      <c r="W20" s="775"/>
      <c r="X20" s="1813"/>
      <c r="Y20" s="3283"/>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90"/>
      <c r="Q21" s="1810" t="str">
        <f>B21</f>
        <v>基础设施水平</v>
      </c>
      <c r="R21" s="774" t="s">
        <v>17</v>
      </c>
      <c r="S21" s="775">
        <f>F21</f>
        <v>100</v>
      </c>
      <c r="T21" s="774" t="s">
        <v>17</v>
      </c>
      <c r="U21" s="775">
        <f>H21</f>
        <v>100</v>
      </c>
      <c r="V21" s="774" t="s">
        <v>17</v>
      </c>
      <c r="W21" s="775">
        <f>J21</f>
        <v>100</v>
      </c>
      <c r="X21" s="1813"/>
      <c r="Y21" s="328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90"/>
      <c r="Q22" s="1810"/>
      <c r="R22" s="774"/>
      <c r="S22" s="775"/>
      <c r="T22" s="774"/>
      <c r="U22" s="775"/>
      <c r="V22" s="774"/>
      <c r="W22" s="775"/>
      <c r="X22" s="1813"/>
      <c r="Y22" s="3283"/>
      <c r="Z22" s="1814"/>
      <c r="AA22" s="1811">
        <v>1</v>
      </c>
      <c r="AB22" s="1811">
        <v>1</v>
      </c>
      <c r="AC22" s="1811">
        <v>1</v>
      </c>
    </row>
    <row r="23" spans="1:29" ht="85.5">
      <c r="A23" s="428"/>
      <c r="B23" s="451" t="s">
        <v>2093</v>
      </c>
      <c r="C23" s="2604" t="str">
        <f>估价对象房地状况!C9</f>
        <v>区域自然环境：城南公园、怀河；人文环境：郑重庄社区村委会；综合评价环境状况一般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90"/>
      <c r="Q23" s="1810" t="str">
        <f>B23</f>
        <v>自然及人文环境</v>
      </c>
      <c r="R23" s="774" t="s">
        <v>21</v>
      </c>
      <c r="S23" s="775">
        <f>F23</f>
        <v>100</v>
      </c>
      <c r="T23" s="774" t="s">
        <v>21</v>
      </c>
      <c r="U23" s="775">
        <f>H23</f>
        <v>100</v>
      </c>
      <c r="V23" s="774" t="s">
        <v>21</v>
      </c>
      <c r="W23" s="775">
        <f>J23</f>
        <v>100</v>
      </c>
      <c r="X23" s="1813"/>
      <c r="Y23" s="3283"/>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90"/>
      <c r="Q24" s="1810"/>
      <c r="R24" s="774"/>
      <c r="S24" s="775"/>
      <c r="T24" s="774"/>
      <c r="U24" s="775"/>
      <c r="V24" s="774"/>
      <c r="W24" s="775"/>
      <c r="X24" s="1813"/>
      <c r="Y24" s="3283"/>
      <c r="Z24" s="1814"/>
      <c r="AA24" s="1811">
        <v>1</v>
      </c>
      <c r="AB24" s="1811">
        <v>1</v>
      </c>
      <c r="AC24" s="1811">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9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83"/>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90"/>
      <c r="Q26" s="1810" t="str">
        <f t="shared" si="11"/>
        <v>朝向</v>
      </c>
      <c r="R26" s="774" t="s">
        <v>21</v>
      </c>
      <c r="S26" s="775">
        <f t="shared" si="12"/>
        <v>100</v>
      </c>
      <c r="T26" s="774" t="s">
        <v>21</v>
      </c>
      <c r="U26" s="775">
        <f t="shared" si="13"/>
        <v>100</v>
      </c>
      <c r="V26" s="774" t="s">
        <v>21</v>
      </c>
      <c r="W26" s="775">
        <f t="shared" si="14"/>
        <v>100</v>
      </c>
      <c r="X26" s="1813"/>
      <c r="Y26" s="32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90"/>
      <c r="Q27" s="1795">
        <f t="shared" si="11"/>
        <v>111</v>
      </c>
      <c r="R27" s="770" t="s">
        <v>21</v>
      </c>
      <c r="S27" s="771">
        <f t="shared" si="12"/>
        <v>100</v>
      </c>
      <c r="T27" s="770" t="s">
        <v>21</v>
      </c>
      <c r="U27" s="771">
        <f t="shared" si="13"/>
        <v>100</v>
      </c>
      <c r="V27" s="770" t="s">
        <v>21</v>
      </c>
      <c r="W27" s="771">
        <f t="shared" si="14"/>
        <v>100</v>
      </c>
      <c r="X27" s="772"/>
      <c r="Y27" s="32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90"/>
      <c r="Q28" s="1810">
        <f t="shared" si="11"/>
        <v>111</v>
      </c>
      <c r="R28" s="774" t="s">
        <v>21</v>
      </c>
      <c r="S28" s="775">
        <f t="shared" si="12"/>
        <v>100</v>
      </c>
      <c r="T28" s="774" t="s">
        <v>21</v>
      </c>
      <c r="U28" s="775">
        <f t="shared" si="13"/>
        <v>100</v>
      </c>
      <c r="V28" s="774" t="s">
        <v>21</v>
      </c>
      <c r="W28" s="775">
        <f t="shared" si="14"/>
        <v>100</v>
      </c>
      <c r="X28" s="1813"/>
      <c r="Y28" s="32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90"/>
      <c r="Q29" s="1810">
        <f t="shared" si="11"/>
        <v>111</v>
      </c>
      <c r="R29" s="774" t="s">
        <v>21</v>
      </c>
      <c r="S29" s="775">
        <f t="shared" si="12"/>
        <v>100</v>
      </c>
      <c r="T29" s="774" t="s">
        <v>21</v>
      </c>
      <c r="U29" s="775">
        <f t="shared" si="13"/>
        <v>100</v>
      </c>
      <c r="V29" s="774" t="s">
        <v>21</v>
      </c>
      <c r="W29" s="775">
        <f t="shared" si="14"/>
        <v>100</v>
      </c>
      <c r="X29" s="1813"/>
      <c r="Y29" s="32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90"/>
      <c r="Q30" s="1810">
        <f t="shared" si="11"/>
        <v>111</v>
      </c>
      <c r="R30" s="774" t="s">
        <v>21</v>
      </c>
      <c r="S30" s="775">
        <f t="shared" si="12"/>
        <v>100</v>
      </c>
      <c r="T30" s="774" t="s">
        <v>21</v>
      </c>
      <c r="U30" s="775">
        <f t="shared" si="13"/>
        <v>100</v>
      </c>
      <c r="V30" s="774" t="s">
        <v>21</v>
      </c>
      <c r="W30" s="775">
        <f t="shared" si="14"/>
        <v>100</v>
      </c>
      <c r="X30" s="1813"/>
      <c r="Y30" s="32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90"/>
      <c r="Q31" s="1810">
        <f t="shared" si="11"/>
        <v>111</v>
      </c>
      <c r="R31" s="774" t="s">
        <v>21</v>
      </c>
      <c r="S31" s="775">
        <f t="shared" si="12"/>
        <v>100</v>
      </c>
      <c r="T31" s="774" t="s">
        <v>21</v>
      </c>
      <c r="U31" s="775">
        <f t="shared" si="13"/>
        <v>100</v>
      </c>
      <c r="V31" s="774" t="s">
        <v>21</v>
      </c>
      <c r="W31" s="775">
        <f t="shared" si="14"/>
        <v>100</v>
      </c>
      <c r="X31" s="1813"/>
      <c r="Y31" s="3283"/>
      <c r="Z31" s="1814">
        <f t="shared" si="18"/>
        <v>111</v>
      </c>
      <c r="AA31" s="1811">
        <f t="shared" si="15"/>
        <v>1</v>
      </c>
      <c r="AB31" s="1811">
        <f t="shared" si="16"/>
        <v>1</v>
      </c>
      <c r="AC31" s="1811">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84" t="s">
        <v>2556</v>
      </c>
      <c r="Q32" s="1810" t="str">
        <f t="shared" si="11"/>
        <v>建筑类型</v>
      </c>
      <c r="R32" s="774" t="s">
        <v>21</v>
      </c>
      <c r="S32" s="775">
        <f t="shared" si="12"/>
        <v>100</v>
      </c>
      <c r="T32" s="774" t="s">
        <v>21</v>
      </c>
      <c r="U32" s="775">
        <f t="shared" si="13"/>
        <v>100</v>
      </c>
      <c r="V32" s="774" t="s">
        <v>21</v>
      </c>
      <c r="W32" s="775">
        <f t="shared" si="14"/>
        <v>100</v>
      </c>
      <c r="X32" s="1813"/>
      <c r="Y32" s="3287"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85"/>
      <c r="Q33" s="776" t="str">
        <f t="shared" si="11"/>
        <v>项目建筑规模</v>
      </c>
      <c r="R33" s="777" t="s">
        <v>21</v>
      </c>
      <c r="S33" s="778" t="e">
        <f t="shared" si="12"/>
        <v>#N/A</v>
      </c>
      <c r="T33" s="777" t="s">
        <v>21</v>
      </c>
      <c r="U33" s="778" t="e">
        <f t="shared" si="13"/>
        <v>#N/A</v>
      </c>
      <c r="V33" s="777" t="s">
        <v>21</v>
      </c>
      <c r="W33" s="778" t="e">
        <f t="shared" si="14"/>
        <v>#N/A</v>
      </c>
      <c r="X33" s="779"/>
      <c r="Y33" s="3287"/>
      <c r="Z33" s="780" t="str">
        <f t="shared" si="18"/>
        <v>项目建筑规模</v>
      </c>
      <c r="AA33" s="1811" t="e">
        <f t="shared" si="15"/>
        <v>#N/A</v>
      </c>
      <c r="AB33" s="1811" t="e">
        <f t="shared" si="16"/>
        <v>#N/A</v>
      </c>
      <c r="AC33" s="1811"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85"/>
      <c r="Q34" s="1810" t="str">
        <f t="shared" si="11"/>
        <v>建筑结构</v>
      </c>
      <c r="R34" s="774" t="s">
        <v>21</v>
      </c>
      <c r="S34" s="775">
        <f t="shared" si="12"/>
        <v>100</v>
      </c>
      <c r="T34" s="774" t="s">
        <v>21</v>
      </c>
      <c r="U34" s="775">
        <f t="shared" si="13"/>
        <v>100</v>
      </c>
      <c r="V34" s="774" t="s">
        <v>21</v>
      </c>
      <c r="W34" s="775">
        <f t="shared" si="14"/>
        <v>100</v>
      </c>
      <c r="X34" s="1813"/>
      <c r="Y34" s="3287"/>
      <c r="Z34" s="1814" t="str">
        <f t="shared" si="18"/>
        <v>建筑结构</v>
      </c>
      <c r="AA34" s="1811">
        <f t="shared" si="15"/>
        <v>1</v>
      </c>
      <c r="AB34" s="1811">
        <f t="shared" si="16"/>
        <v>1</v>
      </c>
      <c r="AC34" s="1811">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85"/>
      <c r="Q35" s="1810" t="str">
        <f t="shared" si="11"/>
        <v>建筑品质</v>
      </c>
      <c r="R35" s="774" t="s">
        <v>21</v>
      </c>
      <c r="S35" s="775">
        <f t="shared" si="12"/>
        <v>100</v>
      </c>
      <c r="T35" s="774" t="s">
        <v>21</v>
      </c>
      <c r="U35" s="775">
        <f t="shared" si="13"/>
        <v>100</v>
      </c>
      <c r="V35" s="774" t="s">
        <v>21</v>
      </c>
      <c r="W35" s="775">
        <f t="shared" si="14"/>
        <v>100</v>
      </c>
      <c r="X35" s="1813"/>
      <c r="Y35" s="3287"/>
      <c r="Z35" s="1814" t="str">
        <f t="shared" si="18"/>
        <v>建筑品质</v>
      </c>
      <c r="AA35" s="1811">
        <f t="shared" si="15"/>
        <v>1</v>
      </c>
      <c r="AB35" s="1811">
        <f t="shared" si="16"/>
        <v>1</v>
      </c>
      <c r="AC35" s="1811">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85"/>
      <c r="Q36" s="1810" t="str">
        <f t="shared" si="11"/>
        <v>公共部分装修</v>
      </c>
      <c r="R36" s="774" t="s">
        <v>21</v>
      </c>
      <c r="S36" s="775">
        <f t="shared" si="12"/>
        <v>100</v>
      </c>
      <c r="T36" s="774" t="s">
        <v>21</v>
      </c>
      <c r="U36" s="775">
        <f t="shared" si="13"/>
        <v>100</v>
      </c>
      <c r="V36" s="774" t="s">
        <v>21</v>
      </c>
      <c r="W36" s="775">
        <f t="shared" si="14"/>
        <v>100</v>
      </c>
      <c r="X36" s="1813"/>
      <c r="Y36" s="3287"/>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5"/>
      <c r="Q37" s="1795" t="str">
        <f t="shared" si="11"/>
        <v>成新度</v>
      </c>
      <c r="R37" s="770" t="s">
        <v>21</v>
      </c>
      <c r="S37" s="771" t="e">
        <f t="shared" si="12"/>
        <v>#N/A</v>
      </c>
      <c r="T37" s="770" t="s">
        <v>21</v>
      </c>
      <c r="U37" s="771" t="e">
        <f t="shared" si="13"/>
        <v>#N/A</v>
      </c>
      <c r="V37" s="770" t="s">
        <v>21</v>
      </c>
      <c r="W37" s="771" t="e">
        <f t="shared" si="14"/>
        <v>#N/A</v>
      </c>
      <c r="X37" s="772"/>
      <c r="Y37" s="3287"/>
      <c r="Z37" s="55" t="str">
        <f t="shared" si="18"/>
        <v>成新度</v>
      </c>
      <c r="AA37" s="773" t="e">
        <f t="shared" si="15"/>
        <v>#N/A</v>
      </c>
      <c r="AB37" s="773" t="e">
        <f t="shared" si="16"/>
        <v>#N/A</v>
      </c>
      <c r="AC37" s="773"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85" t="s">
        <v>2556</v>
      </c>
      <c r="Q38" s="1810" t="str">
        <f t="shared" si="11"/>
        <v>物业管理</v>
      </c>
      <c r="R38" s="774" t="s">
        <v>21</v>
      </c>
      <c r="S38" s="775">
        <f t="shared" si="12"/>
        <v>100</v>
      </c>
      <c r="T38" s="774" t="s">
        <v>21</v>
      </c>
      <c r="U38" s="775">
        <f t="shared" si="13"/>
        <v>100</v>
      </c>
      <c r="V38" s="774" t="s">
        <v>21</v>
      </c>
      <c r="W38" s="775">
        <f t="shared" si="14"/>
        <v>100</v>
      </c>
      <c r="X38" s="1813"/>
      <c r="Y38" s="3287" t="s">
        <v>2556</v>
      </c>
      <c r="Z38" s="1814" t="str">
        <f t="shared" si="18"/>
        <v>物业管理</v>
      </c>
      <c r="AA38" s="1811">
        <f t="shared" si="15"/>
        <v>1</v>
      </c>
      <c r="AB38" s="1811">
        <f t="shared" si="16"/>
        <v>1</v>
      </c>
      <c r="AC38" s="1811">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85"/>
      <c r="Q39" s="1810" t="str">
        <f t="shared" si="11"/>
        <v>市政基础设施</v>
      </c>
      <c r="R39" s="774" t="s">
        <v>21</v>
      </c>
      <c r="S39" s="775">
        <f t="shared" si="12"/>
        <v>100</v>
      </c>
      <c r="T39" s="774" t="s">
        <v>21</v>
      </c>
      <c r="U39" s="775">
        <f t="shared" si="13"/>
        <v>100</v>
      </c>
      <c r="V39" s="774" t="s">
        <v>21</v>
      </c>
      <c r="W39" s="775">
        <f t="shared" si="14"/>
        <v>100</v>
      </c>
      <c r="X39" s="1813"/>
      <c r="Y39" s="3287"/>
      <c r="Z39" s="1814" t="str">
        <f t="shared" si="18"/>
        <v>市政基础设施</v>
      </c>
      <c r="AA39" s="1811">
        <f t="shared" si="15"/>
        <v>1</v>
      </c>
      <c r="AB39" s="1811">
        <f t="shared" si="16"/>
        <v>1</v>
      </c>
      <c r="AC39" s="1811">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85"/>
      <c r="Q40" s="1810" t="str">
        <f t="shared" si="11"/>
        <v>房型</v>
      </c>
      <c r="R40" s="774" t="s">
        <v>21</v>
      </c>
      <c r="S40" s="775">
        <f t="shared" si="12"/>
        <v>100</v>
      </c>
      <c r="T40" s="774" t="s">
        <v>21</v>
      </c>
      <c r="U40" s="775">
        <f t="shared" si="13"/>
        <v>100</v>
      </c>
      <c r="V40" s="774" t="s">
        <v>21</v>
      </c>
      <c r="W40" s="775">
        <f t="shared" si="14"/>
        <v>100</v>
      </c>
      <c r="X40" s="1813"/>
      <c r="Y40" s="3287"/>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85"/>
      <c r="Q41" s="776" t="str">
        <f t="shared" si="11"/>
        <v>单套/主力户型建筑面积</v>
      </c>
      <c r="R41" s="777" t="s">
        <v>21</v>
      </c>
      <c r="S41" s="778">
        <f t="shared" si="12"/>
        <v>100</v>
      </c>
      <c r="T41" s="777" t="s">
        <v>21</v>
      </c>
      <c r="U41" s="778">
        <f t="shared" si="13"/>
        <v>100</v>
      </c>
      <c r="V41" s="777" t="s">
        <v>21</v>
      </c>
      <c r="W41" s="778">
        <f t="shared" si="14"/>
        <v>100</v>
      </c>
      <c r="X41" s="779"/>
      <c r="Y41" s="3287"/>
      <c r="Z41" s="780" t="str">
        <f t="shared" si="18"/>
        <v>单套/主力户型建筑面积</v>
      </c>
      <c r="AA41" s="1811">
        <f t="shared" si="15"/>
        <v>1</v>
      </c>
      <c r="AB41" s="1811">
        <f t="shared" si="16"/>
        <v>1</v>
      </c>
      <c r="AC41" s="1811">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85"/>
      <c r="Q42" s="1810" t="str">
        <f t="shared" si="11"/>
        <v>内部装修</v>
      </c>
      <c r="R42" s="774" t="s">
        <v>21</v>
      </c>
      <c r="S42" s="775">
        <f t="shared" si="12"/>
        <v>100</v>
      </c>
      <c r="T42" s="774" t="s">
        <v>21</v>
      </c>
      <c r="U42" s="775">
        <f t="shared" si="13"/>
        <v>100</v>
      </c>
      <c r="V42" s="774" t="s">
        <v>21</v>
      </c>
      <c r="W42" s="775">
        <f t="shared" si="14"/>
        <v>100</v>
      </c>
      <c r="X42" s="1813"/>
      <c r="Y42" s="3287"/>
      <c r="Z42" s="1814" t="str">
        <f t="shared" si="18"/>
        <v>内部装修</v>
      </c>
      <c r="AA42" s="1811">
        <f t="shared" si="15"/>
        <v>1</v>
      </c>
      <c r="AB42" s="1811">
        <f t="shared" si="16"/>
        <v>1</v>
      </c>
      <c r="AC42" s="1811">
        <f t="shared" si="17"/>
        <v>1</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85"/>
      <c r="Q43" s="1810" t="str">
        <f t="shared" si="11"/>
        <v>内部装修维护情况</v>
      </c>
      <c r="R43" s="774" t="s">
        <v>21</v>
      </c>
      <c r="S43" s="775">
        <f t="shared" si="12"/>
        <v>100</v>
      </c>
      <c r="T43" s="774" t="s">
        <v>21</v>
      </c>
      <c r="U43" s="775">
        <f t="shared" si="13"/>
        <v>100</v>
      </c>
      <c r="V43" s="774" t="s">
        <v>21</v>
      </c>
      <c r="W43" s="775">
        <f t="shared" si="14"/>
        <v>100</v>
      </c>
      <c r="X43" s="1813"/>
      <c r="Y43" s="328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85"/>
      <c r="Q44" s="1795">
        <f t="shared" si="11"/>
        <v>111</v>
      </c>
      <c r="R44" s="770" t="s">
        <v>21</v>
      </c>
      <c r="S44" s="771">
        <f t="shared" si="12"/>
        <v>100</v>
      </c>
      <c r="T44" s="770" t="s">
        <v>21</v>
      </c>
      <c r="U44" s="771">
        <f t="shared" si="13"/>
        <v>100</v>
      </c>
      <c r="V44" s="770" t="s">
        <v>21</v>
      </c>
      <c r="W44" s="771">
        <f t="shared" si="14"/>
        <v>100</v>
      </c>
      <c r="X44" s="772"/>
      <c r="Y44" s="32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85"/>
      <c r="Q45" s="1810">
        <f t="shared" si="11"/>
        <v>111</v>
      </c>
      <c r="R45" s="774" t="s">
        <v>21</v>
      </c>
      <c r="S45" s="775">
        <f t="shared" si="12"/>
        <v>100</v>
      </c>
      <c r="T45" s="774" t="s">
        <v>21</v>
      </c>
      <c r="U45" s="775">
        <f t="shared" si="13"/>
        <v>100</v>
      </c>
      <c r="V45" s="774" t="s">
        <v>21</v>
      </c>
      <c r="W45" s="775">
        <f t="shared" si="14"/>
        <v>100</v>
      </c>
      <c r="X45" s="1813"/>
      <c r="Y45" s="3287"/>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86"/>
      <c r="Q46" s="1810">
        <f t="shared" si="11"/>
        <v>111</v>
      </c>
      <c r="R46" s="774" t="s">
        <v>20</v>
      </c>
      <c r="S46" s="775">
        <f t="shared" si="12"/>
        <v>100</v>
      </c>
      <c r="T46" s="774" t="s">
        <v>20</v>
      </c>
      <c r="U46" s="775">
        <f t="shared" si="13"/>
        <v>100</v>
      </c>
      <c r="V46" s="774" t="s">
        <v>20</v>
      </c>
      <c r="W46" s="775">
        <f t="shared" si="14"/>
        <v>100</v>
      </c>
      <c r="X46" s="1813"/>
      <c r="Y46" s="3288"/>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8"/>
      <c r="L47" s="1143"/>
      <c r="M47" s="1144"/>
      <c r="N47" s="1131"/>
      <c r="O47" s="1144"/>
      <c r="P47" s="3280" t="str">
        <f>A47</f>
        <v>成交单价（元/平方米）</v>
      </c>
      <c r="Q47" s="3280"/>
      <c r="R47" s="3281">
        <f>E47</f>
        <v>0</v>
      </c>
      <c r="S47" s="3281"/>
      <c r="T47" s="3281">
        <f>G47</f>
        <v>0</v>
      </c>
      <c r="U47" s="3281"/>
      <c r="V47" s="3281">
        <f>I47</f>
        <v>0</v>
      </c>
      <c r="W47" s="3281"/>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9"/>
      <c r="L48" s="1143"/>
      <c r="M48" s="1144"/>
      <c r="N48" s="1144"/>
      <c r="O48" s="1144"/>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0"/>
      <c r="L49" s="1143"/>
      <c r="M49" s="1144"/>
      <c r="N49" s="1144"/>
      <c r="O49" s="1144"/>
      <c r="P49" s="3277" t="str">
        <f>A49</f>
        <v>估价对象XX用房的比较价值（楼面单价，元/平方米）</v>
      </c>
      <c r="Q49" s="3278"/>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3"/>
      <c r="Q57" s="504"/>
    </row>
    <row r="58" spans="1:29" s="508" customFormat="1" ht="15">
      <c r="A58" s="505" t="s">
        <v>2575</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2601</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2602</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2554</v>
      </c>
      <c r="B100" s="528" t="s">
        <v>2603</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2605</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2606</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2607</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2608</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2609</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2610</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2611</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4">
        <v>6</v>
      </c>
      <c r="C139" s="1085">
        <v>96</v>
      </c>
      <c r="D139" s="2645" t="s">
        <v>2622</v>
      </c>
      <c r="E139" s="1086">
        <v>100</v>
      </c>
      <c r="F139" s="1087">
        <v>102.5</v>
      </c>
      <c r="G139" s="2645" t="s">
        <v>2622</v>
      </c>
      <c r="H139" s="1088">
        <v>105</v>
      </c>
      <c r="I139" s="2646" t="s">
        <v>2623</v>
      </c>
      <c r="J139" s="1085">
        <v>20</v>
      </c>
      <c r="K139" s="1089">
        <f>C145/(J139-2)</f>
        <v>4.0555555555555553E-3</v>
      </c>
    </row>
    <row r="140" spans="1:17" ht="15">
      <c r="B140" s="1090">
        <v>5</v>
      </c>
      <c r="C140" s="1091">
        <v>100</v>
      </c>
      <c r="D140" s="1091"/>
      <c r="E140" s="1092"/>
      <c r="F140" s="1093">
        <v>102</v>
      </c>
      <c r="G140" s="1091"/>
      <c r="H140" s="1094"/>
      <c r="I140" s="2647" t="s">
        <v>2624</v>
      </c>
      <c r="J140" s="315">
        <f>ROUNDUP((J139-1)/2,0)</f>
        <v>10</v>
      </c>
      <c r="K140" s="1095">
        <v>100</v>
      </c>
    </row>
    <row r="141" spans="1:17" ht="15">
      <c r="B141" s="1090">
        <v>4</v>
      </c>
      <c r="C141" s="1091">
        <v>102</v>
      </c>
      <c r="D141" s="1091"/>
      <c r="E141" s="1092"/>
      <c r="F141" s="1093">
        <v>101.5</v>
      </c>
      <c r="G141" s="1091"/>
      <c r="H141" s="1094"/>
      <c r="I141" s="2647" t="s">
        <v>2625</v>
      </c>
      <c r="J141" s="315">
        <v>1</v>
      </c>
      <c r="K141" s="1096">
        <f>ROUND(100+(J141-J140)*K139*100,1)</f>
        <v>96.4</v>
      </c>
    </row>
    <row r="142" spans="1:17" ht="15">
      <c r="B142" s="1090">
        <v>3</v>
      </c>
      <c r="C142" s="1091">
        <v>103</v>
      </c>
      <c r="D142" s="1091"/>
      <c r="E142" s="1092"/>
      <c r="F142" s="1093">
        <v>101</v>
      </c>
      <c r="G142" s="1091"/>
      <c r="H142" s="1094"/>
      <c r="I142" s="2647" t="s">
        <v>2626</v>
      </c>
      <c r="J142" s="315">
        <f>J139</f>
        <v>20</v>
      </c>
      <c r="K142" s="1097">
        <v>95</v>
      </c>
    </row>
    <row r="143" spans="1:17" ht="15">
      <c r="B143" s="1090">
        <v>2</v>
      </c>
      <c r="C143" s="1091">
        <v>100</v>
      </c>
      <c r="D143" s="1091"/>
      <c r="E143" s="1092"/>
      <c r="F143" s="1093">
        <v>100.5</v>
      </c>
      <c r="G143" s="1091"/>
      <c r="H143" s="1094"/>
      <c r="I143" s="2647" t="s">
        <v>2627</v>
      </c>
      <c r="J143" s="1091">
        <v>15</v>
      </c>
      <c r="K143" s="1096">
        <f>ROUND(100+(J143-J140)*K139*100,1)</f>
        <v>102</v>
      </c>
    </row>
    <row r="144" spans="1:17" ht="15">
      <c r="B144" s="1090">
        <v>1</v>
      </c>
      <c r="C144" s="1091">
        <v>98</v>
      </c>
      <c r="D144" s="2648" t="s">
        <v>2628</v>
      </c>
      <c r="E144" s="1092">
        <v>102</v>
      </c>
      <c r="F144" s="1098">
        <v>100</v>
      </c>
      <c r="G144" s="2648" t="s">
        <v>2628</v>
      </c>
      <c r="H144" s="1094">
        <v>105</v>
      </c>
      <c r="I144" s="2647" t="s">
        <v>2627</v>
      </c>
      <c r="J144" s="1091">
        <v>18</v>
      </c>
      <c r="K144" s="1096">
        <f>ROUND(100+(J144-J140)*K139*100,1)</f>
        <v>103.2</v>
      </c>
    </row>
    <row r="145" spans="2:11" ht="15.75" thickBot="1">
      <c r="B145" s="2649" t="s">
        <v>2629</v>
      </c>
      <c r="C145" s="1099">
        <f>ROUND(MAX(C139:C144)/MIN(C139:C144)-1,3)</f>
        <v>7.2999999999999995E-2</v>
      </c>
      <c r="D145" s="1100"/>
      <c r="E145" s="1100"/>
      <c r="F145" s="2650" t="s">
        <v>2630</v>
      </c>
      <c r="G145" s="2651"/>
      <c r="H145" s="2652"/>
      <c r="I145" s="2653" t="s">
        <v>2627</v>
      </c>
      <c r="J145" s="1101">
        <v>8</v>
      </c>
      <c r="K145" s="1102">
        <f>ROUND(100+(J145-J140)*K139*100,1)</f>
        <v>99.2</v>
      </c>
    </row>
    <row r="147" spans="2:11">
      <c r="B147" s="2634" t="s">
        <v>2631</v>
      </c>
    </row>
    <row r="148" spans="2:11">
      <c r="B148" s="263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3179</v>
      </c>
      <c r="D1" s="1820" t="s">
        <v>70</v>
      </c>
      <c r="E1" s="1821" t="s">
        <v>1378</v>
      </c>
      <c r="F1" s="1283">
        <f ca="1">J53</f>
        <v>18.73</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1333</v>
      </c>
      <c r="C2" s="1845" t="s">
        <v>1507</v>
      </c>
      <c r="D2" s="1937">
        <f ca="1">C40+J29+L46</f>
        <v>13326642</v>
      </c>
      <c r="E2" s="1846" t="s">
        <v>1583</v>
      </c>
      <c r="F2" s="1847"/>
      <c r="G2" s="1848"/>
      <c r="H2" s="1840"/>
      <c r="I2" s="1840"/>
      <c r="J2" s="1840"/>
      <c r="K2" s="1841"/>
      <c r="L2" s="1840"/>
      <c r="M2" s="1840"/>
    </row>
    <row r="3" spans="1:37" ht="18" customHeight="1" thickBot="1">
      <c r="A3" s="1849" t="s">
        <v>1508</v>
      </c>
      <c r="B3" s="1850">
        <f ca="1">IF(ISERROR(D2/F43),0,ROUND(D2/F43,0))</f>
        <v>10168</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1077675</v>
      </c>
      <c r="D5" s="1822" t="s">
        <v>1393</v>
      </c>
      <c r="E5" s="1293"/>
      <c r="F5" s="1294"/>
      <c r="G5" s="1851"/>
      <c r="H5" s="344">
        <v>1</v>
      </c>
      <c r="I5" s="345" t="s">
        <v>1392</v>
      </c>
      <c r="J5" s="1292">
        <f ca="1">J6+J10+J12</f>
        <v>0</v>
      </c>
      <c r="K5" s="1822" t="s">
        <v>1393</v>
      </c>
      <c r="L5" s="1293"/>
      <c r="M5" s="1294"/>
    </row>
    <row r="6" spans="1:37" ht="18" customHeight="1">
      <c r="A6" s="1291" t="s">
        <v>1030</v>
      </c>
      <c r="B6" s="3220" t="s">
        <v>1394</v>
      </c>
      <c r="C6" s="1296">
        <f ca="1">ROUND(F6*F8*F7*(1-F9),0)</f>
        <v>1076330</v>
      </c>
      <c r="D6" s="164" t="s">
        <v>3017</v>
      </c>
      <c r="E6" s="347" t="s">
        <v>1396</v>
      </c>
      <c r="F6" s="348">
        <f ca="1">INDIRECT("'数据-取费表'!u"&amp;$G$1)</f>
        <v>2.5</v>
      </c>
      <c r="G6" s="1851"/>
      <c r="H6" s="1291" t="s">
        <v>1030</v>
      </c>
      <c r="I6" s="3220" t="s">
        <v>1394</v>
      </c>
      <c r="J6" s="346">
        <f ca="1">ROUND(M6*M8*M7*(1-M9),0)</f>
        <v>0</v>
      </c>
      <c r="K6" s="1834" t="s">
        <v>3018</v>
      </c>
      <c r="L6" s="347" t="s">
        <v>1396</v>
      </c>
      <c r="M6" s="348">
        <f ca="1">INDIRECT("'数据-取费表'!z"&amp;$G$1)</f>
        <v>0</v>
      </c>
    </row>
    <row r="7" spans="1:37" ht="18" customHeight="1">
      <c r="A7" s="1295"/>
      <c r="B7" s="3221"/>
      <c r="C7" s="1297"/>
      <c r="D7" s="352"/>
      <c r="E7" s="2993" t="s">
        <v>1397</v>
      </c>
      <c r="F7" s="348">
        <f ca="1">IF(INDIRECT("'数据-取费表'!ah"&amp;$G$1)="",INDIRECT("'数据-取费表'!k"&amp;$G$1),INDIRECT("'数据-取费表'!ah"&amp;$G$1))</f>
        <v>1310.5999999999999</v>
      </c>
      <c r="G7" s="1851"/>
      <c r="H7" s="349"/>
      <c r="I7" s="3221"/>
      <c r="J7" s="351"/>
      <c r="K7" s="352"/>
      <c r="L7" s="347" t="s">
        <v>1397</v>
      </c>
      <c r="M7" s="348">
        <f ca="1">F7</f>
        <v>1310.5999999999999</v>
      </c>
    </row>
    <row r="8" spans="1:37" ht="18" customHeight="1">
      <c r="A8" s="349"/>
      <c r="B8" s="3221"/>
      <c r="C8" s="351"/>
      <c r="D8" s="352"/>
      <c r="E8" s="347" t="s">
        <v>1398</v>
      </c>
      <c r="F8" s="348">
        <f ca="1">INDIRECT("'数据-取费表'!ai"&amp;$G$1)</f>
        <v>365</v>
      </c>
      <c r="G8" s="1851"/>
      <c r="H8" s="349"/>
      <c r="I8" s="3221"/>
      <c r="J8" s="351"/>
      <c r="K8" s="352"/>
      <c r="L8" s="347" t="s">
        <v>1398</v>
      </c>
      <c r="M8" s="348">
        <f ca="1">INDIRECT("'数据-取费表'!ai"&amp;$G$1)</f>
        <v>365</v>
      </c>
    </row>
    <row r="9" spans="1:37" ht="18" customHeight="1">
      <c r="A9" s="349"/>
      <c r="B9" s="3222"/>
      <c r="C9" s="351"/>
      <c r="D9" s="352"/>
      <c r="E9" s="347" t="s">
        <v>1399</v>
      </c>
      <c r="F9" s="357">
        <f ca="1">INDIRECT("'数据-取费表'!w"&amp;$G$1)</f>
        <v>0.1</v>
      </c>
      <c r="G9" s="1851"/>
      <c r="H9" s="349"/>
      <c r="I9" s="3222"/>
      <c r="J9" s="351"/>
      <c r="K9" s="352"/>
      <c r="L9" s="358" t="s">
        <v>1399</v>
      </c>
      <c r="M9" s="359">
        <f ca="1">INDIRECT("'数据-取费表'!ab"&amp;$G$1)</f>
        <v>0</v>
      </c>
    </row>
    <row r="10" spans="1:37" ht="18" customHeight="1">
      <c r="A10" s="1291" t="s">
        <v>1034</v>
      </c>
      <c r="B10" s="1823" t="s">
        <v>1400</v>
      </c>
      <c r="C10" s="361">
        <f ca="1">ROUND(IF(F10="押一",C6/12*F11,IF(F10="押二",C6/12*2*F11,IF(F10="押三",C6/12*3*F11,C11*F11))),0)</f>
        <v>1345</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3103928</v>
      </c>
      <c r="D13" s="1331" t="s">
        <v>1406</v>
      </c>
      <c r="E13" s="1331" t="s">
        <v>1407</v>
      </c>
      <c r="F13" s="1332">
        <f ca="1">INDIRECT("'数据-取费表'!y"&amp;$G$1)</f>
        <v>0.9</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2359080</v>
      </c>
      <c r="D14" s="2984" t="s">
        <v>1409</v>
      </c>
      <c r="E14" s="2982"/>
      <c r="F14" s="364"/>
      <c r="G14" s="1851"/>
      <c r="H14" s="1201" t="s">
        <v>1030</v>
      </c>
      <c r="I14" s="347" t="s">
        <v>1410</v>
      </c>
      <c r="J14" s="24">
        <f ca="1">C29</f>
        <v>3448809</v>
      </c>
      <c r="K14" s="2992"/>
      <c r="L14" s="979"/>
      <c r="M14" s="980"/>
    </row>
    <row r="15" spans="1:37" s="1858" customFormat="1" ht="18" customHeight="1" thickBot="1">
      <c r="A15" s="1201" t="s">
        <v>1031</v>
      </c>
      <c r="B15" s="347" t="s">
        <v>1411</v>
      </c>
      <c r="C15" s="24">
        <f ca="1">ROUND(C14*F15,0)</f>
        <v>70772</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88632</v>
      </c>
      <c r="K16" s="1337" t="s">
        <v>1416</v>
      </c>
      <c r="L16" s="2986"/>
      <c r="M16" s="1294"/>
    </row>
    <row r="17" spans="1:37" s="1858" customFormat="1" ht="18" customHeight="1">
      <c r="A17" s="1201" t="s">
        <v>1381</v>
      </c>
      <c r="B17" s="347" t="s">
        <v>1417</v>
      </c>
      <c r="C17" s="24">
        <f ca="1">ROUND(F17*(F43+INDIRECT("'数据-取费表'!S"&amp;$G$1)),0)</f>
        <v>262120</v>
      </c>
      <c r="D17" s="347" t="s">
        <v>1418</v>
      </c>
      <c r="E17" s="347" t="s">
        <v>1419</v>
      </c>
      <c r="F17" s="26">
        <f>'数据-取费表'!B35</f>
        <v>200</v>
      </c>
      <c r="G17" s="1854"/>
      <c r="H17" s="1201" t="s">
        <v>1030</v>
      </c>
      <c r="I17" s="347" t="s">
        <v>1420</v>
      </c>
      <c r="J17" s="24">
        <f ca="1">ROUND(IF(项目基本情况!B11="自然人",J6*M17/(1+'数据-取费表'!C42),J18+J19+J20),0)</f>
        <v>36900</v>
      </c>
      <c r="K17" s="2984" t="s">
        <v>1421</v>
      </c>
      <c r="L17" s="2983"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35386</v>
      </c>
      <c r="D18" s="347" t="s">
        <v>1412</v>
      </c>
      <c r="E18" s="347" t="s">
        <v>1413</v>
      </c>
      <c r="F18" s="367">
        <f>'数据-取费表'!B36</f>
        <v>1.4999999999999999E-2</v>
      </c>
      <c r="G18" s="1854"/>
      <c r="H18" s="1201" t="s">
        <v>1029</v>
      </c>
      <c r="I18" s="347" t="s">
        <v>1424</v>
      </c>
      <c r="J18" s="24">
        <f ca="1">ROUND(J6*M18/(1+'数据-取费表'!C42),0)</f>
        <v>0</v>
      </c>
      <c r="K18" s="2983"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2727358</v>
      </c>
      <c r="D19" s="140" t="s">
        <v>1427</v>
      </c>
      <c r="E19" s="2991"/>
      <c r="F19" s="26"/>
      <c r="G19" s="1851"/>
      <c r="H19" s="1201" t="s">
        <v>1031</v>
      </c>
      <c r="I19" s="347" t="s">
        <v>1428</v>
      </c>
      <c r="J19" s="24">
        <f ca="1">IF(K19="按租金收入计税",ROUND(J6*M19/(1+'数据-取费表'!C42),0),ROUND(C29*M19*0.7,0))</f>
        <v>28970</v>
      </c>
      <c r="K19" s="1828" t="s">
        <v>1429</v>
      </c>
      <c r="L19" s="347" t="s">
        <v>1413</v>
      </c>
      <c r="M19" s="367">
        <f>IF(K19="按租金收入计税",'数据-取费表'!B51,'数据-取费表'!B50)</f>
        <v>1.2E-2</v>
      </c>
    </row>
    <row r="20" spans="1:37" s="1858" customFormat="1" ht="18" customHeight="1">
      <c r="A20" s="1201" t="s">
        <v>1034</v>
      </c>
      <c r="B20" s="347" t="s">
        <v>1430</v>
      </c>
      <c r="C20" s="24">
        <f ca="1">ROUND(C19*F20,0)</f>
        <v>27274</v>
      </c>
      <c r="D20" s="369" t="s">
        <v>1431</v>
      </c>
      <c r="E20" s="347" t="s">
        <v>1413</v>
      </c>
      <c r="F20" s="367">
        <f>'数据-取费表'!B37</f>
        <v>0.01</v>
      </c>
      <c r="G20" s="1854"/>
      <c r="H20" s="1201" t="s">
        <v>1380</v>
      </c>
      <c r="I20" s="164" t="s">
        <v>1432</v>
      </c>
      <c r="J20" s="25">
        <f ca="1">ROUND(M20*M21,0)</f>
        <v>7930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5286.91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2991"/>
      <c r="F22" s="26"/>
      <c r="G22" s="1851"/>
      <c r="H22" s="1201" t="s">
        <v>1034</v>
      </c>
      <c r="I22" s="347" t="s">
        <v>1440</v>
      </c>
      <c r="J22" s="24">
        <f ca="1">ROUND(J14*M22,0)</f>
        <v>51732</v>
      </c>
      <c r="K22" s="2983"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59913</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2983"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1031</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2991"/>
      <c r="F25" s="26"/>
      <c r="G25" s="1851"/>
      <c r="H25" s="1329" t="s">
        <v>1026</v>
      </c>
      <c r="I25" s="1344" t="s">
        <v>1454</v>
      </c>
      <c r="J25" s="355">
        <f ca="1">J5-J16</f>
        <v>-88632</v>
      </c>
      <c r="K25" s="1345" t="s">
        <v>1455</v>
      </c>
      <c r="L25" s="1346"/>
      <c r="M25" s="1347"/>
    </row>
    <row r="26" spans="1:37" ht="18" customHeight="1">
      <c r="A26" s="1201" t="s">
        <v>1029</v>
      </c>
      <c r="B26" s="347" t="s">
        <v>1456</v>
      </c>
      <c r="C26" s="24">
        <f ca="1">ROUND((C19+C20)*F26,0)</f>
        <v>413195</v>
      </c>
      <c r="D26" s="369" t="s">
        <v>1457</v>
      </c>
      <c r="E26" s="358" t="s">
        <v>1458</v>
      </c>
      <c r="F26" s="357">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1.5E-3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3448809</v>
      </c>
      <c r="D29" s="1342"/>
      <c r="E29" s="1340"/>
      <c r="F29" s="1343"/>
      <c r="G29" s="1854"/>
      <c r="H29" s="380" t="s">
        <v>1028</v>
      </c>
      <c r="I29" s="381" t="s">
        <v>1470</v>
      </c>
      <c r="J29" s="382">
        <f ca="1">ROUND(J26/(1+F40)^F41,0)</f>
        <v>0</v>
      </c>
      <c r="K29" s="383" t="s">
        <v>1471</v>
      </c>
      <c r="L29" s="384"/>
      <c r="M29" s="385">
        <f ca="1">INDIRECT("'数据-取费表'!k"&amp;$G$1)</f>
        <v>1310.5999999999999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160444</v>
      </c>
      <c r="D30" s="1337" t="s">
        <v>1416</v>
      </c>
      <c r="E30" s="2986"/>
      <c r="F30" s="1294"/>
      <c r="G30" s="1851"/>
      <c r="H30" s="745"/>
      <c r="I30" s="746"/>
      <c r="J30" s="747"/>
      <c r="K30" s="748"/>
      <c r="L30" s="749"/>
      <c r="M30" s="750"/>
    </row>
    <row r="31" spans="1:37" ht="18" customHeight="1">
      <c r="A31" s="1201" t="s">
        <v>1030</v>
      </c>
      <c r="B31" s="347" t="s">
        <v>1420</v>
      </c>
      <c r="C31" s="24">
        <f ca="1">ROUND(IF(项目基本情况!B11="自然人",C6*F31/(1+'数据-取费表'!C42),C32+C33+C34),0)</f>
        <v>93279</v>
      </c>
      <c r="D31" s="2984" t="s">
        <v>1421</v>
      </c>
      <c r="E31" s="2983"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56379</v>
      </c>
      <c r="D32" s="2983"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28970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7930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5286.91</v>
      </c>
      <c r="G35" s="1851"/>
      <c r="H35" s="745"/>
      <c r="I35" s="1860"/>
      <c r="J35" s="1861"/>
      <c r="K35" s="1862"/>
      <c r="L35" s="1859"/>
      <c r="M35" s="1859"/>
    </row>
    <row r="36" spans="1:18" ht="18" customHeight="1">
      <c r="A36" s="1352" t="s">
        <v>1034</v>
      </c>
      <c r="B36" s="347" t="s">
        <v>1440</v>
      </c>
      <c r="C36" s="24">
        <f ca="1">ROUND(C29*F36,0)</f>
        <v>51732</v>
      </c>
      <c r="D36" s="2983"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4656</v>
      </c>
      <c r="D37" s="2983" t="s">
        <v>1445</v>
      </c>
      <c r="E37" s="347" t="s">
        <v>1413</v>
      </c>
      <c r="F37" s="376">
        <f ca="1">INDIRECT("'数据-取费表'!Al"&amp;$G$1)</f>
        <v>1.5E-3</v>
      </c>
      <c r="G37" s="1851"/>
      <c r="H37" s="1859"/>
      <c r="I37" s="1860"/>
      <c r="J37" s="1861"/>
      <c r="K37" s="751"/>
      <c r="L37" s="1859"/>
      <c r="M37" s="1859"/>
    </row>
    <row r="38" spans="1:18" ht="18" customHeight="1" thickBot="1">
      <c r="A38" s="1339" t="s">
        <v>1383</v>
      </c>
      <c r="B38" s="1340" t="s">
        <v>1430</v>
      </c>
      <c r="C38" s="1341">
        <f ca="1">ROUND(C5*F38,1)</f>
        <v>10776.8</v>
      </c>
      <c r="D38" s="1342" t="s">
        <v>1450</v>
      </c>
      <c r="E38" s="1340" t="s">
        <v>1413</v>
      </c>
      <c r="F38" s="1336">
        <f ca="1">INDIRECT("'数据-取费表'!Am"&amp;$G$1)</f>
        <v>0.01</v>
      </c>
      <c r="G38" s="1851"/>
      <c r="H38" s="1859"/>
      <c r="I38" s="1860"/>
      <c r="J38" s="1861"/>
      <c r="K38" s="1865"/>
      <c r="L38" s="1859"/>
      <c r="M38" s="1859"/>
    </row>
    <row r="39" spans="1:18" ht="24.6" customHeight="1" thickTop="1">
      <c r="A39" s="1329" t="s">
        <v>1026</v>
      </c>
      <c r="B39" s="1344" t="s">
        <v>1454</v>
      </c>
      <c r="C39" s="355">
        <f ca="1">C5-C30</f>
        <v>917231</v>
      </c>
      <c r="D39" s="1345" t="s">
        <v>1455</v>
      </c>
      <c r="E39" s="1346"/>
      <c r="F39" s="1347"/>
      <c r="G39" s="1851"/>
      <c r="H39" s="1859"/>
      <c r="I39" s="1860"/>
      <c r="J39" s="1861"/>
      <c r="K39" s="1865"/>
      <c r="L39" s="1859"/>
      <c r="M39" s="1859"/>
    </row>
    <row r="40" spans="1:18" ht="18" customHeight="1">
      <c r="A40" s="344" t="s">
        <v>1027</v>
      </c>
      <c r="B40" s="345" t="s">
        <v>1476</v>
      </c>
      <c r="C40" s="346">
        <f ca="1">ROUND(C39*(1-((1+F42)/(1+F40))^F41)/(F40-F42),0)</f>
        <v>13326642</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2.5000000000000001E-2</v>
      </c>
      <c r="G42" s="1851"/>
      <c r="H42" s="732"/>
      <c r="I42" s="1860"/>
      <c r="J42" s="1861"/>
      <c r="K42" s="751"/>
      <c r="L42" s="732"/>
      <c r="M42" s="732"/>
    </row>
    <row r="43" spans="1:18" ht="18" customHeight="1" thickBot="1">
      <c r="A43" s="380" t="s">
        <v>1028</v>
      </c>
      <c r="B43" s="381" t="s">
        <v>1478</v>
      </c>
      <c r="C43" s="382">
        <f ca="1">ROUND(C40/F43,0)</f>
        <v>10168</v>
      </c>
      <c r="D43" s="383" t="s">
        <v>1479</v>
      </c>
      <c r="E43" s="384" t="s">
        <v>1480</v>
      </c>
      <c r="F43" s="385">
        <f ca="1">INDIRECT("'数据-取费表'!k"&amp;$G$1)</f>
        <v>1310.5999999999999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-14682043</v>
      </c>
      <c r="D45" s="1939" t="s">
        <v>1595</v>
      </c>
      <c r="E45" s="1866"/>
      <c r="F45" s="1866"/>
      <c r="O45" s="1869" t="s">
        <v>1510</v>
      </c>
      <c r="P45" s="1839"/>
      <c r="Q45" s="1839"/>
      <c r="R45" s="1839"/>
    </row>
    <row r="46" spans="1:18" s="1842" customFormat="1" ht="13.5" thickBot="1">
      <c r="A46" s="1870" t="s">
        <v>1511</v>
      </c>
      <c r="C46" s="1871">
        <f ca="1">ROUND(C45/10000,0)</f>
        <v>-1468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13326642</v>
      </c>
      <c r="R47" s="1886" t="s">
        <v>1520</v>
      </c>
    </row>
    <row r="48" spans="1:18" s="1842" customFormat="1" ht="28.5" thickBot="1">
      <c r="A48" s="1360" t="s">
        <v>1130</v>
      </c>
      <c r="B48" s="345" t="s">
        <v>1392</v>
      </c>
      <c r="C48" s="2990">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3448809</v>
      </c>
      <c r="R49" s="1886" t="s">
        <v>1520</v>
      </c>
    </row>
    <row r="50" spans="1:18" s="1842" customFormat="1" ht="13.5" thickBot="1">
      <c r="A50" s="1195"/>
      <c r="B50" s="1198"/>
      <c r="C50" s="1199"/>
      <c r="D50" s="1172"/>
      <c r="E50" s="1277" t="s">
        <v>1397</v>
      </c>
      <c r="F50" s="1278">
        <f ca="1">F7</f>
        <v>1310.5999999999999</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9104759</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8" t="s">
        <v>1539</v>
      </c>
      <c r="L53" s="3219"/>
      <c r="O53" s="1884" t="s">
        <v>1041</v>
      </c>
      <c r="P53" s="1885" t="s">
        <v>1540</v>
      </c>
      <c r="Q53" s="1886">
        <f ca="1">Q47+Q48</f>
        <v>13326642</v>
      </c>
      <c r="R53" s="1886" t="s">
        <v>1042</v>
      </c>
    </row>
    <row r="54" spans="1:18" s="1842" customFormat="1" ht="13.5" thickBot="1">
      <c r="A54" s="1194"/>
      <c r="B54" s="1940" t="s">
        <v>1594</v>
      </c>
      <c r="C54" s="1178"/>
      <c r="D54" s="1824"/>
      <c r="E54" s="298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87"/>
      <c r="F55" s="1906"/>
      <c r="I55" s="1909" t="s">
        <v>1542</v>
      </c>
      <c r="J55" s="1910" t="e">
        <f ca="1">ROUND(IF(J47="钢混",J57/J50,1-(1-2%)*(J50-J57)/J50),3)</f>
        <v>#VALUE!</v>
      </c>
      <c r="K55" s="1911" t="s">
        <v>1543</v>
      </c>
      <c r="L55" s="1912" t="s">
        <v>3180</v>
      </c>
      <c r="O55" s="1877" t="s">
        <v>1513</v>
      </c>
      <c r="P55" s="1878" t="s">
        <v>1514</v>
      </c>
      <c r="Q55" s="1879" t="s">
        <v>1515</v>
      </c>
      <c r="R55" s="1879" t="s">
        <v>1516</v>
      </c>
    </row>
    <row r="56" spans="1:18" s="1842" customFormat="1" ht="36" customHeight="1" thickTop="1" thickBot="1">
      <c r="A56" s="1176">
        <v>2</v>
      </c>
      <c r="B56" s="1177" t="s">
        <v>1405</v>
      </c>
      <c r="C56" s="276">
        <f ca="1">C13</f>
        <v>3103928</v>
      </c>
      <c r="D56" s="1913"/>
      <c r="E56" s="1914"/>
      <c r="F56" s="1906"/>
      <c r="I56" s="1915" t="s">
        <v>1545</v>
      </c>
      <c r="J56" s="1916" t="s">
        <v>3052</v>
      </c>
      <c r="K56" s="1887" t="s">
        <v>1546</v>
      </c>
      <c r="L56" s="1890" t="str">
        <f ca="1">IF(L48&lt;J51,"——",L48-J51)</f>
        <v>——</v>
      </c>
      <c r="O56" s="1884" t="s">
        <v>1035</v>
      </c>
      <c r="P56" s="1885" t="s">
        <v>1519</v>
      </c>
      <c r="Q56" s="1886">
        <f ca="1">C40+J29</f>
        <v>13326642</v>
      </c>
      <c r="R56" s="1886" t="s">
        <v>1520</v>
      </c>
    </row>
    <row r="57" spans="1:18" s="1842" customFormat="1" ht="24.75" thickBot="1">
      <c r="A57" s="1917"/>
      <c r="B57" s="1169" t="s">
        <v>1469</v>
      </c>
      <c r="C57" s="282">
        <f ca="1">C29</f>
        <v>3448809</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93288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36900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28970</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7930</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13326642</v>
      </c>
      <c r="R62" s="1886" t="s">
        <v>1042</v>
      </c>
    </row>
    <row r="63" spans="1:18" s="1842" customFormat="1" ht="13.5" thickBot="1">
      <c r="A63" s="372"/>
      <c r="B63" s="1175"/>
      <c r="C63" s="29"/>
      <c r="D63" s="1185"/>
      <c r="E63" s="1169" t="s">
        <v>1438</v>
      </c>
      <c r="F63" s="348">
        <f t="shared" ca="1" si="0"/>
        <v>5286.91</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51732</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4656</v>
      </c>
      <c r="D65" s="1183" t="s">
        <v>1445</v>
      </c>
      <c r="E65" s="1169" t="s">
        <v>1413</v>
      </c>
      <c r="F65" s="376">
        <f t="shared" ca="1" si="0"/>
        <v>1.5E-3</v>
      </c>
      <c r="I65" s="1928" t="s">
        <v>1570</v>
      </c>
      <c r="J65" s="1929">
        <v>40</v>
      </c>
      <c r="K65" s="1929">
        <v>30</v>
      </c>
      <c r="L65" s="1929">
        <v>50</v>
      </c>
      <c r="M65" s="1931">
        <v>0.02</v>
      </c>
      <c r="O65" s="1884" t="s">
        <v>1035</v>
      </c>
      <c r="P65" s="1885" t="s">
        <v>1519</v>
      </c>
      <c r="Q65" s="1886">
        <f ca="1">C40+J29</f>
        <v>13326642</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-93288</v>
      </c>
      <c r="D67" s="1182" t="s">
        <v>1455</v>
      </c>
      <c r="E67" s="1187"/>
      <c r="F67" s="1188"/>
      <c r="O67" s="1894" t="s">
        <v>1037</v>
      </c>
      <c r="P67" s="1885" t="s">
        <v>1553</v>
      </c>
      <c r="Q67" s="1932">
        <f ca="1">L51</f>
        <v>9104759</v>
      </c>
      <c r="R67" s="1886" t="s">
        <v>1573</v>
      </c>
    </row>
    <row r="68" spans="1:18" s="1842" customFormat="1" ht="16.5" thickBot="1">
      <c r="A68" s="1166" t="s">
        <v>1027</v>
      </c>
      <c r="B68" s="1167" t="s">
        <v>1476</v>
      </c>
      <c r="C68" s="346">
        <f ca="1">ROUND(C67*(1-((1+F70)/(1+F68))^F69)/(F68-F70),0)</f>
        <v>-1355401</v>
      </c>
      <c r="D68" s="1184" t="s">
        <v>1460</v>
      </c>
      <c r="E68" s="1169" t="s">
        <v>1461</v>
      </c>
      <c r="F68" s="357">
        <f ca="1">F40</f>
        <v>0.05</v>
      </c>
      <c r="O68" s="1894" t="s">
        <v>1038</v>
      </c>
      <c r="P68" s="1933" t="s">
        <v>1574</v>
      </c>
      <c r="Q68" s="1886">
        <f ca="1">ROUND(Q69-Q70*Q71,0)</f>
        <v>699956</v>
      </c>
      <c r="R68" s="1886" t="s">
        <v>1046</v>
      </c>
    </row>
    <row r="69" spans="1:18" s="1842" customFormat="1" ht="13.5" thickBot="1">
      <c r="A69" s="1170"/>
      <c r="B69" s="1171"/>
      <c r="C69" s="351"/>
      <c r="D69" s="1189" t="s">
        <v>1464</v>
      </c>
      <c r="E69" s="1169" t="s">
        <v>1465</v>
      </c>
      <c r="F69" s="379">
        <f ca="1">F41</f>
        <v>18.73</v>
      </c>
      <c r="O69" s="1894" t="s">
        <v>1043</v>
      </c>
      <c r="P69" s="1933" t="s">
        <v>1575</v>
      </c>
      <c r="Q69" s="1886">
        <f ca="1">C39</f>
        <v>917231</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3103928</v>
      </c>
      <c r="R70" s="1886" t="s">
        <v>1520</v>
      </c>
    </row>
    <row r="71" spans="1:18" s="1842" customFormat="1" ht="13.5" thickBot="1">
      <c r="A71" s="1190" t="s">
        <v>1028</v>
      </c>
      <c r="B71" s="1191" t="s">
        <v>1478</v>
      </c>
      <c r="C71" s="382">
        <f ca="1">ROUND(C68/F71,0)</f>
        <v>-1034</v>
      </c>
      <c r="D71" s="1192" t="s">
        <v>1479</v>
      </c>
      <c r="E71" s="1193" t="s">
        <v>1480</v>
      </c>
      <c r="F71" s="385">
        <f ca="1">F43</f>
        <v>1310.5999999999999</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217275</v>
      </c>
      <c r="D75" s="1842"/>
      <c r="E75" s="1842"/>
      <c r="F75" s="1842"/>
      <c r="K75" s="1868"/>
      <c r="L75" s="1842"/>
      <c r="O75" s="1884" t="s">
        <v>1041</v>
      </c>
      <c r="P75" s="1885" t="s">
        <v>1540</v>
      </c>
      <c r="Q75" s="1886">
        <f ca="1">Q65+Q66</f>
        <v>13326642</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0.76300000000000001</v>
      </c>
    </row>
    <row r="80" spans="1:18">
      <c r="B80" s="386" t="s">
        <v>1502</v>
      </c>
      <c r="C80" s="318">
        <f ca="1">ROUND(C75/C39,3)</f>
        <v>0.23699999999999999</v>
      </c>
    </row>
    <row r="81" spans="2:3">
      <c r="B81" s="314" t="s">
        <v>1503</v>
      </c>
      <c r="C81" s="282"/>
    </row>
    <row r="82" spans="2:3">
      <c r="B82" s="317" t="s">
        <v>1504</v>
      </c>
      <c r="C82" s="319">
        <f ca="1">1-C83</f>
        <v>0.76700000000000002</v>
      </c>
    </row>
    <row r="83" spans="2:3">
      <c r="B83" s="317" t="s">
        <v>1505</v>
      </c>
      <c r="C83" s="318">
        <f ca="1">ROUND(C13/C40,3)</f>
        <v>0.23300000000000001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3150</v>
      </c>
      <c r="D1" s="1820" t="s">
        <v>70</v>
      </c>
      <c r="E1" s="1821" t="s">
        <v>1378</v>
      </c>
      <c r="F1" s="1283">
        <f ca="1">J53</f>
        <v>18.73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986</v>
      </c>
      <c r="C2" s="1845" t="s">
        <v>1507</v>
      </c>
      <c r="D2" s="1937">
        <f ca="1">C40+J29+L46</f>
        <v>9862918</v>
      </c>
      <c r="E2" s="1846" t="s">
        <v>1583</v>
      </c>
      <c r="F2" s="1847"/>
      <c r="G2" s="1848"/>
      <c r="H2" s="1840"/>
      <c r="I2" s="1840"/>
      <c r="J2" s="1840"/>
      <c r="K2" s="1841"/>
      <c r="L2" s="1840"/>
      <c r="M2" s="1840"/>
    </row>
    <row r="3" spans="1:37" ht="18" customHeight="1" thickBot="1">
      <c r="A3" s="1849" t="s">
        <v>1508</v>
      </c>
      <c r="B3" s="1850">
        <f ca="1">IF(ISERROR(D2/F43),0,ROUND(D2/F43,0))</f>
        <v>8898</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769636</v>
      </c>
      <c r="D5" s="1822" t="s">
        <v>1393</v>
      </c>
      <c r="E5" s="1293"/>
      <c r="F5" s="1294"/>
      <c r="G5" s="1851"/>
      <c r="H5" s="344">
        <v>1</v>
      </c>
      <c r="I5" s="345" t="s">
        <v>1392</v>
      </c>
      <c r="J5" s="1292">
        <f ca="1">J6+J10+J12</f>
        <v>0</v>
      </c>
      <c r="K5" s="1822" t="s">
        <v>1393</v>
      </c>
      <c r="L5" s="1293"/>
      <c r="M5" s="1294"/>
    </row>
    <row r="6" spans="1:37" ht="18" customHeight="1">
      <c r="A6" s="1291" t="s">
        <v>1030</v>
      </c>
      <c r="B6" s="3220" t="s">
        <v>1394</v>
      </c>
      <c r="C6" s="1296">
        <f ca="1">ROUND(F6*F8*F7*(1-F9),0)</f>
        <v>768675</v>
      </c>
      <c r="D6" s="164" t="s">
        <v>3017</v>
      </c>
      <c r="E6" s="347" t="s">
        <v>1396</v>
      </c>
      <c r="F6" s="348">
        <f ca="1">INDIRECT("'数据-取费表'!u"&amp;$G$1)</f>
        <v>2</v>
      </c>
      <c r="G6" s="1851"/>
      <c r="H6" s="1291" t="s">
        <v>1030</v>
      </c>
      <c r="I6" s="3220" t="s">
        <v>1394</v>
      </c>
      <c r="J6" s="346">
        <f ca="1">ROUND(M6*M8*M7*(1-M9),0)</f>
        <v>0</v>
      </c>
      <c r="K6" s="1834" t="s">
        <v>3018</v>
      </c>
      <c r="L6" s="347" t="s">
        <v>1396</v>
      </c>
      <c r="M6" s="348">
        <f ca="1">INDIRECT("'数据-取费表'!z"&amp;$G$1)</f>
        <v>0</v>
      </c>
    </row>
    <row r="7" spans="1:37" ht="18" customHeight="1">
      <c r="A7" s="1295"/>
      <c r="B7" s="3221"/>
      <c r="C7" s="1297"/>
      <c r="D7" s="352"/>
      <c r="E7" s="2966" t="s">
        <v>1397</v>
      </c>
      <c r="F7" s="348">
        <f ca="1">IF(INDIRECT("'数据-取费表'!ah"&amp;$G$1)="",INDIRECT("'数据-取费表'!k"&amp;$G$1),INDIRECT("'数据-取费表'!ah"&amp;$G$1))</f>
        <v>1108.4000000000001</v>
      </c>
      <c r="G7" s="1851"/>
      <c r="H7" s="349"/>
      <c r="I7" s="3221"/>
      <c r="J7" s="351"/>
      <c r="K7" s="352"/>
      <c r="L7" s="347" t="s">
        <v>1397</v>
      </c>
      <c r="M7" s="348">
        <f ca="1">F7</f>
        <v>1108.4000000000001</v>
      </c>
    </row>
    <row r="8" spans="1:37" ht="18" customHeight="1">
      <c r="A8" s="349"/>
      <c r="B8" s="3221"/>
      <c r="C8" s="351"/>
      <c r="D8" s="352"/>
      <c r="E8" s="347" t="s">
        <v>1398</v>
      </c>
      <c r="F8" s="348">
        <f ca="1">INDIRECT("'数据-取费表'!ai"&amp;$G$1)</f>
        <v>365</v>
      </c>
      <c r="G8" s="1851"/>
      <c r="H8" s="349"/>
      <c r="I8" s="3221"/>
      <c r="J8" s="351"/>
      <c r="K8" s="352"/>
      <c r="L8" s="347" t="s">
        <v>1398</v>
      </c>
      <c r="M8" s="348">
        <f ca="1">INDIRECT("'数据-取费表'!ai"&amp;$G$1)</f>
        <v>365</v>
      </c>
    </row>
    <row r="9" spans="1:37" ht="18" customHeight="1">
      <c r="A9" s="349"/>
      <c r="B9" s="3222"/>
      <c r="C9" s="351"/>
      <c r="D9" s="352"/>
      <c r="E9" s="347" t="s">
        <v>1399</v>
      </c>
      <c r="F9" s="357">
        <f ca="1">INDIRECT("'数据-取费表'!w"&amp;$G$1)</f>
        <v>0.05</v>
      </c>
      <c r="G9" s="1851"/>
      <c r="H9" s="349"/>
      <c r="I9" s="3222"/>
      <c r="J9" s="351"/>
      <c r="K9" s="352"/>
      <c r="L9" s="358" t="s">
        <v>1399</v>
      </c>
      <c r="M9" s="359">
        <f ca="1">INDIRECT("'数据-取费表'!ab"&amp;$G$1)</f>
        <v>0</v>
      </c>
    </row>
    <row r="10" spans="1:37" ht="18" customHeight="1">
      <c r="A10" s="1291" t="s">
        <v>1034</v>
      </c>
      <c r="B10" s="1823" t="s">
        <v>1400</v>
      </c>
      <c r="C10" s="361">
        <f ca="1">ROUND(IF(F10="押一",C6/12*F11,IF(F10="押二",C6/12*2*F11,IF(F10="押三",C6/12*3*F11,C11*F11))),0)</f>
        <v>961</v>
      </c>
      <c r="D10" s="1824" t="s">
        <v>3028</v>
      </c>
      <c r="E10" s="358" t="s">
        <v>1401</v>
      </c>
      <c r="F10" s="1366"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53"/>
      <c r="B11" s="1825" t="s">
        <v>1593</v>
      </c>
      <c r="C11" s="1178"/>
      <c r="D11" s="352"/>
      <c r="E11" s="358" t="s">
        <v>1403</v>
      </c>
      <c r="F11" s="359">
        <f ca="1">'数据-取费表'!B39</f>
        <v>1.4999999999999999E-2</v>
      </c>
      <c r="G11" s="1851"/>
      <c r="H11" s="1299"/>
      <c r="I11" s="1825" t="s">
        <v>1594</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1550649</v>
      </c>
      <c r="D13" s="1331" t="s">
        <v>1406</v>
      </c>
      <c r="E13" s="1331" t="s">
        <v>1407</v>
      </c>
      <c r="F13" s="1332">
        <f ca="1">INDIRECT("'数据-取费表'!y"&amp;$G$1)</f>
        <v>0.6</v>
      </c>
      <c r="G13" s="1851"/>
      <c r="H13" s="1329">
        <v>2</v>
      </c>
      <c r="I13" s="1330" t="s">
        <v>1405</v>
      </c>
      <c r="J13" s="1290">
        <f ca="1">ROUND(J14*J15,0)</f>
        <v>0</v>
      </c>
      <c r="K13" s="1337" t="s">
        <v>1406</v>
      </c>
      <c r="L13" s="1852"/>
      <c r="M13" s="1853"/>
    </row>
    <row r="14" spans="1:37" ht="18" customHeight="1">
      <c r="A14" s="1201" t="s">
        <v>1029</v>
      </c>
      <c r="B14" s="347" t="s">
        <v>1408</v>
      </c>
      <c r="C14" s="363">
        <f ca="1">ROUND(INDIRECT("'数据-取费表'!l"&amp;$G$1)*F43+'数据-取费表'!L14*INDIRECT("'数据-取费表'!S"&amp;$G$1),0)</f>
        <v>1662600</v>
      </c>
      <c r="D14" s="2972" t="s">
        <v>1409</v>
      </c>
      <c r="E14" s="2971"/>
      <c r="F14" s="364"/>
      <c r="G14" s="1851"/>
      <c r="H14" s="1201" t="s">
        <v>1030</v>
      </c>
      <c r="I14" s="347" t="s">
        <v>1410</v>
      </c>
      <c r="J14" s="24">
        <f ca="1">C29</f>
        <v>2584415</v>
      </c>
      <c r="K14" s="2965"/>
      <c r="L14" s="979"/>
      <c r="M14" s="980"/>
    </row>
    <row r="15" spans="1:37" s="1858" customFormat="1" ht="18" customHeight="1" thickBot="1">
      <c r="A15" s="1201" t="s">
        <v>1031</v>
      </c>
      <c r="B15" s="347" t="s">
        <v>1411</v>
      </c>
      <c r="C15" s="24">
        <f ca="1">ROUND(C14*F15,0)</f>
        <v>49878</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1025</v>
      </c>
      <c r="I16" s="1330" t="s">
        <v>1415</v>
      </c>
      <c r="J16" s="355">
        <f ca="1">ROUND(J17+J22+J23+J24,0)</f>
        <v>67182</v>
      </c>
      <c r="K16" s="1337" t="s">
        <v>1416</v>
      </c>
      <c r="L16" s="2974"/>
      <c r="M16" s="1294"/>
    </row>
    <row r="17" spans="1:37" s="1858" customFormat="1" ht="18" customHeight="1">
      <c r="A17" s="1201" t="s">
        <v>1381</v>
      </c>
      <c r="B17" s="347" t="s">
        <v>1417</v>
      </c>
      <c r="C17" s="24">
        <f ca="1">ROUND(F17*(F43+INDIRECT("'数据-取费表'!S"&amp;$G$1)),0)</f>
        <v>221680</v>
      </c>
      <c r="D17" s="347" t="s">
        <v>1418</v>
      </c>
      <c r="E17" s="347" t="s">
        <v>1419</v>
      </c>
      <c r="F17" s="26">
        <f>'数据-取费表'!B35</f>
        <v>200</v>
      </c>
      <c r="G17" s="1854"/>
      <c r="H17" s="1201" t="s">
        <v>1030</v>
      </c>
      <c r="I17" s="347" t="s">
        <v>1420</v>
      </c>
      <c r="J17" s="24">
        <f ca="1">ROUND(IF(项目基本情况!B11="自然人",J6*M17/(1+'数据-取费表'!C42),J18+J19+J20),0)</f>
        <v>28416</v>
      </c>
      <c r="K17" s="2972" t="s">
        <v>1421</v>
      </c>
      <c r="L17" s="2973"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24939</v>
      </c>
      <c r="D18" s="347" t="s">
        <v>1412</v>
      </c>
      <c r="E18" s="347" t="s">
        <v>1413</v>
      </c>
      <c r="F18" s="367">
        <f>'数据-取费表'!B36</f>
        <v>1.4999999999999999E-2</v>
      </c>
      <c r="G18" s="1854"/>
      <c r="H18" s="1201" t="s">
        <v>1029</v>
      </c>
      <c r="I18" s="347" t="s">
        <v>1424</v>
      </c>
      <c r="J18" s="24">
        <f ca="1">ROUND(J6*M18/(1+'数据-取费表'!C42),0)</f>
        <v>0</v>
      </c>
      <c r="K18" s="2973"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1959097</v>
      </c>
      <c r="D19" s="140" t="s">
        <v>1427</v>
      </c>
      <c r="E19" s="2964"/>
      <c r="F19" s="26"/>
      <c r="G19" s="1851"/>
      <c r="H19" s="1201" t="s">
        <v>1031</v>
      </c>
      <c r="I19" s="347" t="s">
        <v>1428</v>
      </c>
      <c r="J19" s="24">
        <f ca="1">IF(K19="按租金收入计税",ROUND(J6*M19/(1+'数据-取费表'!C42),0),ROUND(C29*M19*0.7,0))</f>
        <v>21709</v>
      </c>
      <c r="K19" s="1828" t="s">
        <v>1429</v>
      </c>
      <c r="L19" s="347" t="s">
        <v>1413</v>
      </c>
      <c r="M19" s="367">
        <f>IF(K19="按租金收入计税",'数据-取费表'!B51,'数据-取费表'!B50)</f>
        <v>1.2E-2</v>
      </c>
    </row>
    <row r="20" spans="1:37" s="1858" customFormat="1" ht="18" customHeight="1">
      <c r="A20" s="1201" t="s">
        <v>1034</v>
      </c>
      <c r="B20" s="347" t="s">
        <v>1430</v>
      </c>
      <c r="C20" s="24">
        <f ca="1">ROUND(C19*F20,0)</f>
        <v>19591</v>
      </c>
      <c r="D20" s="369" t="s">
        <v>1431</v>
      </c>
      <c r="E20" s="347" t="s">
        <v>1413</v>
      </c>
      <c r="F20" s="367">
        <f>'数据-取费表'!B37</f>
        <v>0.01</v>
      </c>
      <c r="G20" s="1854"/>
      <c r="H20" s="1201" t="s">
        <v>1380</v>
      </c>
      <c r="I20" s="164" t="s">
        <v>1432</v>
      </c>
      <c r="J20" s="25">
        <f ca="1">ROUND(M20*M21,0)</f>
        <v>6707</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v>
      </c>
      <c r="D21" s="369" t="s">
        <v>1436</v>
      </c>
      <c r="E21" s="347" t="s">
        <v>1437</v>
      </c>
      <c r="F21" s="367">
        <f>'数据-取费表'!B38</f>
        <v>0.01</v>
      </c>
      <c r="G21" s="1854"/>
      <c r="H21" s="372"/>
      <c r="I21" s="356"/>
      <c r="J21" s="29"/>
      <c r="K21" s="373"/>
      <c r="L21" s="347" t="s">
        <v>1438</v>
      </c>
      <c r="M21" s="348">
        <f ca="1">INDIRECT("'数据-取费表'!r"&amp;$G$1)</f>
        <v>4471.24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2964"/>
      <c r="F22" s="26"/>
      <c r="G22" s="1851"/>
      <c r="H22" s="1201" t="s">
        <v>1034</v>
      </c>
      <c r="I22" s="347" t="s">
        <v>1440</v>
      </c>
      <c r="J22" s="24">
        <f ca="1">ROUND(J14*M22,0)</f>
        <v>38766</v>
      </c>
      <c r="K22" s="2973" t="s">
        <v>1441</v>
      </c>
      <c r="L22" s="347" t="s">
        <v>1413</v>
      </c>
      <c r="M22" s="374">
        <f ca="1">INDIRECT("'数据-取费表'!Ak"&amp;$G$1)</f>
        <v>1.4999999999999999E-2</v>
      </c>
    </row>
    <row r="23" spans="1:37" s="1858" customFormat="1" ht="18" customHeight="1">
      <c r="A23" s="1201" t="s">
        <v>1029</v>
      </c>
      <c r="B23" s="347" t="s">
        <v>1442</v>
      </c>
      <c r="C23" s="24">
        <f ca="1">IF('数据-取费表'!B22&lt;=1,ROUND(C19*F24*F23/2,0)+ROUND(C20*F24*F23/2,0),ROUND(C19*(POWER((1+F24),F23/2)-1),0)+ROUND(C20*(POWER((1+F24),F23/2)-1),0))</f>
        <v>43036</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ROUND(J13*M23,0)</f>
        <v>0</v>
      </c>
      <c r="K23" s="2973"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1031</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2964"/>
      <c r="F25" s="26"/>
      <c r="G25" s="1851"/>
      <c r="H25" s="1329" t="s">
        <v>1026</v>
      </c>
      <c r="I25" s="1344" t="s">
        <v>1454</v>
      </c>
      <c r="J25" s="355">
        <f ca="1">J5-J16</f>
        <v>-67182</v>
      </c>
      <c r="K25" s="1345" t="s">
        <v>1455</v>
      </c>
      <c r="L25" s="1346"/>
      <c r="M25" s="1347"/>
    </row>
    <row r="26" spans="1:37" ht="18" customHeight="1">
      <c r="A26" s="1201" t="s">
        <v>1029</v>
      </c>
      <c r="B26" s="347" t="s">
        <v>1456</v>
      </c>
      <c r="C26" s="24">
        <f ca="1">ROUND((C19+C20)*F26,0)</f>
        <v>395738</v>
      </c>
      <c r="D26" s="369" t="s">
        <v>1457</v>
      </c>
      <c r="E26" s="358" t="s">
        <v>1458</v>
      </c>
      <c r="F26" s="357">
        <f ca="1">INDIRECT("'数据-取费表'!q"&amp;$G$1)</f>
        <v>0.2</v>
      </c>
      <c r="G26" s="1851"/>
      <c r="H26" s="344" t="s">
        <v>1027</v>
      </c>
      <c r="I26" s="345" t="s">
        <v>1459</v>
      </c>
      <c r="J26" s="346">
        <f ca="1">IF(J5&lt;&gt;0,ROUND(J25*(1-((1+M28)/(1+M26))^M27)/(M26-M28),0),0)</f>
        <v>0</v>
      </c>
      <c r="K26" s="370" t="s">
        <v>1460</v>
      </c>
      <c r="L26" s="347" t="s">
        <v>1461</v>
      </c>
      <c r="M26" s="357">
        <f ca="1">INDIRECT("'数据-取费表'!I"&amp;$G$1)</f>
        <v>0.05</v>
      </c>
    </row>
    <row r="27" spans="1:37" ht="18" customHeight="1">
      <c r="A27" s="1201" t="s">
        <v>1031</v>
      </c>
      <c r="B27" s="347" t="s">
        <v>1462</v>
      </c>
      <c r="C27" s="24">
        <f ca="1">ROUND(F21*F26,4)</f>
        <v>2E-3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2584415</v>
      </c>
      <c r="D29" s="1342"/>
      <c r="E29" s="1340"/>
      <c r="F29" s="1343"/>
      <c r="G29" s="1854"/>
      <c r="H29" s="380" t="s">
        <v>1028</v>
      </c>
      <c r="I29" s="381" t="s">
        <v>1470</v>
      </c>
      <c r="J29" s="382">
        <f ca="1">ROUND(J26/(1+F40)^F41,0)</f>
        <v>0</v>
      </c>
      <c r="K29" s="383" t="s">
        <v>1471</v>
      </c>
      <c r="L29" s="384"/>
      <c r="M29" s="385">
        <f ca="1">INDIRECT("'数据-取费表'!k"&amp;$G$1)</f>
        <v>1108.4000000000001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117468</v>
      </c>
      <c r="D30" s="1337" t="s">
        <v>1416</v>
      </c>
      <c r="E30" s="2974"/>
      <c r="F30" s="1294"/>
      <c r="G30" s="1851"/>
      <c r="H30" s="745"/>
      <c r="I30" s="746"/>
      <c r="J30" s="747"/>
      <c r="K30" s="748"/>
      <c r="L30" s="749"/>
      <c r="M30" s="750"/>
    </row>
    <row r="31" spans="1:37" ht="18" customHeight="1">
      <c r="A31" s="1201" t="s">
        <v>1030</v>
      </c>
      <c r="B31" s="347" t="s">
        <v>1420</v>
      </c>
      <c r="C31" s="24">
        <f ca="1">ROUND(IF(项目基本情况!B11="自然人",C6*F31/(1+'数据-取费表'!C42),C32+C33+C34),0)</f>
        <v>68680</v>
      </c>
      <c r="D31" s="2972" t="s">
        <v>1421</v>
      </c>
      <c r="E31" s="2973"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IF(项目基本情况!B11="自然人","——",ROUND(C6*F32/(1+'数据-取费表'!C42),0))</f>
        <v>40264</v>
      </c>
      <c r="D32" s="2973"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IF(项目基本情况!B11="自然人","——",IF(D33="按租金收入计税",ROUND(C6*F33/(1+'数据-取费表'!C42),0),IF(D33="按房产原值计税",ROUND(C29*F33*0.7,0),INDIRECT("'数据-取费表'!Aj"&amp;$G$1))))</f>
        <v>21709</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6707</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4471.24</v>
      </c>
      <c r="G35" s="1851"/>
      <c r="H35" s="745"/>
      <c r="I35" s="1860"/>
      <c r="J35" s="1861"/>
      <c r="K35" s="1862"/>
      <c r="L35" s="1859"/>
      <c r="M35" s="1859"/>
    </row>
    <row r="36" spans="1:18" ht="18" customHeight="1">
      <c r="A36" s="1352" t="s">
        <v>1034</v>
      </c>
      <c r="B36" s="347" t="s">
        <v>1440</v>
      </c>
      <c r="C36" s="24">
        <f ca="1">ROUND(C29*F36,0)</f>
        <v>38766</v>
      </c>
      <c r="D36" s="2973" t="s">
        <v>1473</v>
      </c>
      <c r="E36" s="347" t="s">
        <v>1413</v>
      </c>
      <c r="F36" s="374">
        <f ca="1">INDIRECT("'数据-取费表'!Ak"&amp;$G$1)</f>
        <v>1.4999999999999999E-2</v>
      </c>
      <c r="G36" s="1851"/>
      <c r="H36" s="1859"/>
      <c r="I36" s="1860"/>
      <c r="J36" s="1861"/>
      <c r="K36" s="751"/>
      <c r="L36" s="1859"/>
      <c r="M36" s="1859"/>
    </row>
    <row r="37" spans="1:18" ht="18" customHeight="1">
      <c r="A37" s="1201" t="s">
        <v>1070</v>
      </c>
      <c r="B37" s="347" t="s">
        <v>1444</v>
      </c>
      <c r="C37" s="24">
        <f ca="1">ROUND(C13*F37,0)</f>
        <v>2326</v>
      </c>
      <c r="D37" s="2973" t="s">
        <v>1445</v>
      </c>
      <c r="E37" s="347" t="s">
        <v>1413</v>
      </c>
      <c r="F37" s="376">
        <f ca="1">INDIRECT("'数据-取费表'!Al"&amp;$G$1)</f>
        <v>1.5E-3</v>
      </c>
      <c r="G37" s="1851"/>
      <c r="H37" s="1859"/>
      <c r="I37" s="1860"/>
      <c r="J37" s="1861"/>
      <c r="K37" s="751"/>
      <c r="L37" s="1859"/>
      <c r="M37" s="1859"/>
    </row>
    <row r="38" spans="1:18" ht="18" customHeight="1" thickBot="1">
      <c r="A38" s="1339" t="s">
        <v>1383</v>
      </c>
      <c r="B38" s="1340" t="s">
        <v>1430</v>
      </c>
      <c r="C38" s="1341">
        <f ca="1">ROUND(C5*F38,1)</f>
        <v>7696.4</v>
      </c>
      <c r="D38" s="1342" t="s">
        <v>1450</v>
      </c>
      <c r="E38" s="1340" t="s">
        <v>1413</v>
      </c>
      <c r="F38" s="1336">
        <f ca="1">INDIRECT("'数据-取费表'!Am"&amp;$G$1)</f>
        <v>0.01</v>
      </c>
      <c r="G38" s="1851"/>
      <c r="H38" s="1859"/>
      <c r="I38" s="1860"/>
      <c r="J38" s="1861"/>
      <c r="K38" s="1865"/>
      <c r="L38" s="1859"/>
      <c r="M38" s="1859"/>
    </row>
    <row r="39" spans="1:18" ht="24.6" customHeight="1" thickTop="1">
      <c r="A39" s="1329" t="s">
        <v>1026</v>
      </c>
      <c r="B39" s="1344" t="s">
        <v>1454</v>
      </c>
      <c r="C39" s="355">
        <f ca="1">C5-C30</f>
        <v>652168</v>
      </c>
      <c r="D39" s="1345" t="s">
        <v>1455</v>
      </c>
      <c r="E39" s="1346"/>
      <c r="F39" s="1347"/>
      <c r="G39" s="1851"/>
      <c r="H39" s="1859"/>
      <c r="I39" s="1860"/>
      <c r="J39" s="1861"/>
      <c r="K39" s="1865"/>
      <c r="L39" s="1859"/>
      <c r="M39" s="1859"/>
    </row>
    <row r="40" spans="1:18" ht="18" customHeight="1">
      <c r="A40" s="344" t="s">
        <v>1027</v>
      </c>
      <c r="B40" s="345" t="s">
        <v>1476</v>
      </c>
      <c r="C40" s="346">
        <f ca="1">ROUND(C39*(1-((1+F42)/(1+F40))^F41)/(F40-F42),0)</f>
        <v>9862918</v>
      </c>
      <c r="D40" s="370" t="s">
        <v>1460</v>
      </c>
      <c r="E40" s="347" t="s">
        <v>1461</v>
      </c>
      <c r="F40" s="357">
        <f ca="1">INDIRECT("'数据-取费表'!I"&amp;$G$1)</f>
        <v>0.05</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18.73</v>
      </c>
      <c r="G41" s="1851"/>
      <c r="H41" s="732"/>
      <c r="I41" s="1860"/>
      <c r="J41" s="1861"/>
      <c r="K41" s="751"/>
      <c r="L41" s="732"/>
      <c r="M41" s="732"/>
    </row>
    <row r="42" spans="1:18" ht="18" customHeight="1">
      <c r="A42" s="353"/>
      <c r="B42" s="354"/>
      <c r="C42" s="355"/>
      <c r="D42" s="373"/>
      <c r="E42" s="347" t="s">
        <v>1468</v>
      </c>
      <c r="F42" s="357">
        <f ca="1">INDIRECT("'数据-取费表'!v"&amp;$G$1)</f>
        <v>0.03</v>
      </c>
      <c r="G42" s="1851"/>
      <c r="H42" s="732"/>
      <c r="I42" s="1860"/>
      <c r="J42" s="1861"/>
      <c r="K42" s="751"/>
      <c r="L42" s="732"/>
      <c r="M42" s="732"/>
    </row>
    <row r="43" spans="1:18" ht="18" customHeight="1" thickBot="1">
      <c r="A43" s="380" t="s">
        <v>1028</v>
      </c>
      <c r="B43" s="381" t="s">
        <v>1478</v>
      </c>
      <c r="C43" s="382">
        <f ca="1">ROUND(C40/F43,0)</f>
        <v>8898</v>
      </c>
      <c r="D43" s="383" t="s">
        <v>1479</v>
      </c>
      <c r="E43" s="384" t="s">
        <v>1480</v>
      </c>
      <c r="F43" s="385">
        <f ca="1">INDIRECT("'数据-取费表'!k"&amp;$G$1)</f>
        <v>1108.4000000000001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-10914107</v>
      </c>
      <c r="D45" s="1939" t="s">
        <v>1595</v>
      </c>
      <c r="E45" s="1866"/>
      <c r="F45" s="1866"/>
      <c r="O45" s="1869" t="s">
        <v>1510</v>
      </c>
      <c r="P45" s="1839"/>
      <c r="Q45" s="1839"/>
      <c r="R45" s="1839"/>
    </row>
    <row r="46" spans="1:18" s="1842" customFormat="1" ht="13.5" thickBot="1">
      <c r="A46" s="1870" t="s">
        <v>1511</v>
      </c>
      <c r="C46" s="1871">
        <f ca="1">ROUND(C45/10000,0)</f>
        <v>-1091</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50</v>
      </c>
      <c r="M47" s="1838" t="str">
        <f>IF(ISNUMBER(FIND("住宅",C1)),"住宅","非住宅")</f>
        <v>非住宅</v>
      </c>
      <c r="O47" s="1884" t="s">
        <v>1035</v>
      </c>
      <c r="P47" s="1885" t="s">
        <v>1519</v>
      </c>
      <c r="Q47" s="1886">
        <f ca="1">C40+J29</f>
        <v>9862918</v>
      </c>
      <c r="R47" s="1886" t="s">
        <v>1520</v>
      </c>
    </row>
    <row r="48" spans="1:18" s="1842" customFormat="1" ht="28.5" thickBot="1">
      <c r="A48" s="1360" t="s">
        <v>1130</v>
      </c>
      <c r="B48" s="345" t="s">
        <v>1392</v>
      </c>
      <c r="C48" s="2963">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2584415</v>
      </c>
      <c r="R49" s="1886" t="s">
        <v>1520</v>
      </c>
    </row>
    <row r="50" spans="1:18" s="1842" customFormat="1" ht="13.5" thickBot="1">
      <c r="A50" s="1195"/>
      <c r="B50" s="1198"/>
      <c r="C50" s="1199"/>
      <c r="D50" s="1172"/>
      <c r="E50" s="1277" t="s">
        <v>1397</v>
      </c>
      <c r="F50" s="1278">
        <f ca="1">F7</f>
        <v>1108.4000000000001</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7071233</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8" t="s">
        <v>1539</v>
      </c>
      <c r="L53" s="3219"/>
      <c r="O53" s="1884" t="s">
        <v>1041</v>
      </c>
      <c r="P53" s="1885" t="s">
        <v>1540</v>
      </c>
      <c r="Q53" s="1886">
        <f ca="1">Q47+Q48</f>
        <v>9862918</v>
      </c>
      <c r="R53" s="1886" t="s">
        <v>1042</v>
      </c>
    </row>
    <row r="54" spans="1:18" s="1842" customFormat="1" ht="13.5" thickBot="1">
      <c r="A54" s="1194"/>
      <c r="B54" s="1940" t="s">
        <v>1594</v>
      </c>
      <c r="C54" s="1178"/>
      <c r="D54" s="1824"/>
      <c r="E54" s="296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67"/>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1550649</v>
      </c>
      <c r="D56" s="1913"/>
      <c r="E56" s="1914"/>
      <c r="F56" s="1906"/>
      <c r="I56" s="1915" t="s">
        <v>1545</v>
      </c>
      <c r="J56" s="1916" t="s">
        <v>3052</v>
      </c>
      <c r="K56" s="1887" t="s">
        <v>1546</v>
      </c>
      <c r="L56" s="1890" t="str">
        <f ca="1">IF(L48&lt;J51,"——",L48-J51)</f>
        <v>——</v>
      </c>
      <c r="O56" s="1884" t="s">
        <v>1035</v>
      </c>
      <c r="P56" s="1885" t="s">
        <v>1519</v>
      </c>
      <c r="Q56" s="1886">
        <f ca="1">C40+J29</f>
        <v>9862918</v>
      </c>
      <c r="R56" s="1886" t="s">
        <v>1520</v>
      </c>
    </row>
    <row r="57" spans="1:18" s="1842" customFormat="1" ht="24.75" thickBot="1">
      <c r="A57" s="1917"/>
      <c r="B57" s="1169" t="s">
        <v>1469</v>
      </c>
      <c r="C57" s="282">
        <f ca="1">C29</f>
        <v>2584415</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69508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28416</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21709</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6707</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9862918</v>
      </c>
      <c r="R62" s="1886" t="s">
        <v>1042</v>
      </c>
    </row>
    <row r="63" spans="1:18" s="1842" customFormat="1" ht="13.5" thickBot="1">
      <c r="A63" s="372"/>
      <c r="B63" s="1175"/>
      <c r="C63" s="29"/>
      <c r="D63" s="1185"/>
      <c r="E63" s="1169" t="s">
        <v>1438</v>
      </c>
      <c r="F63" s="348">
        <f t="shared" ca="1" si="0"/>
        <v>4471.24</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38766</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2326</v>
      </c>
      <c r="D65" s="1183" t="s">
        <v>1445</v>
      </c>
      <c r="E65" s="1169" t="s">
        <v>1413</v>
      </c>
      <c r="F65" s="376">
        <f t="shared" ca="1" si="0"/>
        <v>1.5E-3</v>
      </c>
      <c r="I65" s="1928" t="s">
        <v>1570</v>
      </c>
      <c r="J65" s="1929">
        <v>40</v>
      </c>
      <c r="K65" s="1929">
        <v>30</v>
      </c>
      <c r="L65" s="1929">
        <v>50</v>
      </c>
      <c r="M65" s="1931">
        <v>0.02</v>
      </c>
      <c r="O65" s="1884" t="s">
        <v>1035</v>
      </c>
      <c r="P65" s="1885" t="s">
        <v>1519</v>
      </c>
      <c r="Q65" s="1886">
        <f ca="1">C40+J29</f>
        <v>9862918</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-69508</v>
      </c>
      <c r="D67" s="1182" t="s">
        <v>1455</v>
      </c>
      <c r="E67" s="1187"/>
      <c r="F67" s="1188"/>
      <c r="O67" s="1894" t="s">
        <v>1037</v>
      </c>
      <c r="P67" s="1885" t="s">
        <v>1553</v>
      </c>
      <c r="Q67" s="1932">
        <f ca="1">L51</f>
        <v>7071233</v>
      </c>
      <c r="R67" s="1886" t="s">
        <v>1573</v>
      </c>
    </row>
    <row r="68" spans="1:18" s="1842" customFormat="1" ht="16.5" thickBot="1">
      <c r="A68" s="1166" t="s">
        <v>1027</v>
      </c>
      <c r="B68" s="1167" t="s">
        <v>1476</v>
      </c>
      <c r="C68" s="346">
        <f ca="1">ROUND(C67*(1-((1+F70)/(1+F68))^F69)/(F68-F70),0)</f>
        <v>-1051189</v>
      </c>
      <c r="D68" s="1184" t="s">
        <v>1460</v>
      </c>
      <c r="E68" s="1169" t="s">
        <v>1461</v>
      </c>
      <c r="F68" s="357">
        <f ca="1">F40</f>
        <v>0.05</v>
      </c>
      <c r="O68" s="1894" t="s">
        <v>1038</v>
      </c>
      <c r="P68" s="1933" t="s">
        <v>1574</v>
      </c>
      <c r="Q68" s="1886">
        <f ca="1">ROUND(Q69-Q70*Q71,0)</f>
        <v>543623</v>
      </c>
      <c r="R68" s="1886" t="s">
        <v>1046</v>
      </c>
    </row>
    <row r="69" spans="1:18" s="1842" customFormat="1" ht="13.5" thickBot="1">
      <c r="A69" s="1170"/>
      <c r="B69" s="1171"/>
      <c r="C69" s="351"/>
      <c r="D69" s="1189" t="s">
        <v>1464</v>
      </c>
      <c r="E69" s="1169" t="s">
        <v>1465</v>
      </c>
      <c r="F69" s="379">
        <f ca="1">F41</f>
        <v>18.73</v>
      </c>
      <c r="O69" s="1894" t="s">
        <v>1043</v>
      </c>
      <c r="P69" s="1933" t="s">
        <v>1575</v>
      </c>
      <c r="Q69" s="1886">
        <f ca="1">C39</f>
        <v>652168</v>
      </c>
      <c r="R69" s="1886" t="s">
        <v>1520</v>
      </c>
    </row>
    <row r="70" spans="1:18" s="1842" customFormat="1" ht="13.5" thickBot="1">
      <c r="A70" s="1173"/>
      <c r="B70" s="1174"/>
      <c r="C70" s="355"/>
      <c r="D70" s="1185"/>
      <c r="E70" s="1169" t="s">
        <v>1468</v>
      </c>
      <c r="F70" s="1275">
        <f ca="1">F42</f>
        <v>0.03</v>
      </c>
      <c r="O70" s="1894" t="s">
        <v>1044</v>
      </c>
      <c r="P70" s="1933" t="s">
        <v>1576</v>
      </c>
      <c r="Q70" s="1886">
        <f ca="1">C13</f>
        <v>1550649</v>
      </c>
      <c r="R70" s="1886" t="s">
        <v>1520</v>
      </c>
    </row>
    <row r="71" spans="1:18" s="1842" customFormat="1" ht="13.5" thickBot="1">
      <c r="A71" s="1190" t="s">
        <v>1028</v>
      </c>
      <c r="B71" s="1191" t="s">
        <v>1478</v>
      </c>
      <c r="C71" s="382">
        <f ca="1">ROUND(C68/F71,0)</f>
        <v>-948</v>
      </c>
      <c r="D71" s="1192" t="s">
        <v>1479</v>
      </c>
      <c r="E71" s="1193" t="s">
        <v>1480</v>
      </c>
      <c r="F71" s="385">
        <f ca="1">F43</f>
        <v>1108.4000000000001</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108545</v>
      </c>
      <c r="D75" s="1842"/>
      <c r="E75" s="1842"/>
      <c r="F75" s="1842"/>
      <c r="K75" s="1868"/>
      <c r="L75" s="1842"/>
      <c r="O75" s="1884" t="s">
        <v>1041</v>
      </c>
      <c r="P75" s="1885" t="s">
        <v>1540</v>
      </c>
      <c r="Q75" s="1886">
        <f ca="1">Q65+Q66</f>
        <v>9862918</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0.83399999999999996</v>
      </c>
    </row>
    <row r="80" spans="1:18">
      <c r="B80" s="386" t="s">
        <v>1502</v>
      </c>
      <c r="C80" s="318">
        <f ca="1">ROUND(C75/C39,3)</f>
        <v>0.16600000000000001</v>
      </c>
    </row>
    <row r="81" spans="2:3">
      <c r="B81" s="314" t="s">
        <v>1503</v>
      </c>
      <c r="C81" s="282"/>
    </row>
    <row r="82" spans="2:3">
      <c r="B82" s="317" t="s">
        <v>1504</v>
      </c>
      <c r="C82" s="319">
        <f ca="1">1-C83</f>
        <v>0.84299999999999997</v>
      </c>
    </row>
    <row r="83" spans="2:3">
      <c r="B83" s="317" t="s">
        <v>1505</v>
      </c>
      <c r="C83" s="318">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2633</v>
      </c>
      <c r="C1" s="1634" t="s">
        <v>2521</v>
      </c>
      <c r="D1" s="1621" t="s">
        <v>3095</v>
      </c>
      <c r="E1" s="2654"/>
      <c r="F1" s="2581" t="s">
        <v>3159</v>
      </c>
      <c r="G1" s="1631" t="s">
        <v>2634</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2318</v>
      </c>
      <c r="B2" s="1418">
        <f>IF(C2="——",ROUND(C49*D3/10000,0),ROUND(C49*D3/10000,0)-D2)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2320</v>
      </c>
      <c r="B3" s="609">
        <f>IF(C2="——",C49,ROUND(B2*10000/D3,0))</f>
        <v>2.5</v>
      </c>
      <c r="C3" s="400" t="s">
        <v>2635</v>
      </c>
      <c r="D3" s="399">
        <f>IF(D1="",'数据-汇总表'!E3,SUMIF('数据-汇总表'!$C19:$C33,D1,'数据-汇总表'!$E19:$E33))</f>
        <v>42.7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75" t="s">
        <v>2639</v>
      </c>
      <c r="AC4" s="3245" t="s">
        <v>2640</v>
      </c>
    </row>
    <row r="5" spans="1:29"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75"/>
      <c r="AC5" s="3246"/>
    </row>
    <row r="6" spans="1:29" ht="15.75" thickBot="1">
      <c r="A6" s="406"/>
      <c r="B6" s="407"/>
      <c r="C6" s="3291" t="str">
        <f>项目基本情况!F10</f>
        <v>怀柔区庙城镇郑重庄636号</v>
      </c>
      <c r="D6" s="3259"/>
      <c r="E6" s="3292" t="s">
        <v>3124</v>
      </c>
      <c r="F6" s="3261"/>
      <c r="G6" s="3293" t="s">
        <v>3123</v>
      </c>
      <c r="H6" s="3259"/>
      <c r="I6" s="3293" t="s">
        <v>3122</v>
      </c>
      <c r="J6" s="3259"/>
      <c r="K6" s="610" t="s">
        <v>2538</v>
      </c>
      <c r="L6" s="1130"/>
      <c r="M6" s="1131"/>
      <c r="N6" s="1131"/>
      <c r="O6" s="1131"/>
      <c r="P6" s="3271"/>
      <c r="Q6" s="3272"/>
      <c r="R6" s="3252"/>
      <c r="S6" s="3253"/>
      <c r="T6" s="3273"/>
      <c r="U6" s="3274"/>
      <c r="V6" s="3275"/>
      <c r="W6" s="3275"/>
      <c r="X6" s="1813"/>
      <c r="Y6" s="3273"/>
      <c r="Z6" s="3274"/>
      <c r="AA6" s="3247"/>
      <c r="AB6" s="3275"/>
      <c r="AC6" s="3247"/>
    </row>
    <row r="7" spans="1:29" s="117" customFormat="1" ht="15.75" thickBot="1">
      <c r="A7" s="408" t="s">
        <v>2539</v>
      </c>
      <c r="B7" s="409"/>
      <c r="C7" s="410">
        <f>'数据-取费表'!B2</f>
        <v>43922</v>
      </c>
      <c r="D7" s="411">
        <v>100</v>
      </c>
      <c r="E7" s="412">
        <v>43896</v>
      </c>
      <c r="F7" s="413">
        <f>SUMIF(58:58,YEAR(E7)&amp;"-"&amp;MONTH(E7),59:59)</f>
        <v>100</v>
      </c>
      <c r="G7" s="412">
        <v>43913</v>
      </c>
      <c r="H7" s="411">
        <f>SUMIF(58:58,YEAR(G7)&amp;"-"&amp;MONTH(G7),59:59)</f>
        <v>100</v>
      </c>
      <c r="I7" s="412">
        <v>43922</v>
      </c>
      <c r="J7" s="411">
        <f>SUMIF(58:58,YEAR(I7)&amp;"-"&amp;MONTH(I7),59:59)</f>
        <v>100</v>
      </c>
      <c r="K7" s="611"/>
      <c r="L7" s="1132"/>
      <c r="M7" s="1133"/>
      <c r="N7" s="1133"/>
      <c r="O7" s="1133"/>
      <c r="P7" s="3248" t="s">
        <v>2540</v>
      </c>
      <c r="Q7" s="3276"/>
      <c r="R7" s="770" t="s">
        <v>17</v>
      </c>
      <c r="S7" s="771">
        <f t="shared" ref="S7:S15" si="0">F7</f>
        <v>100</v>
      </c>
      <c r="T7" s="770" t="s">
        <v>17</v>
      </c>
      <c r="U7" s="771">
        <f t="shared" ref="U7:U15" si="1">H7</f>
        <v>100</v>
      </c>
      <c r="V7" s="770" t="s">
        <v>17</v>
      </c>
      <c r="W7" s="771">
        <f t="shared" ref="W7:W15" si="2">J7</f>
        <v>100</v>
      </c>
      <c r="X7" s="772"/>
      <c r="Y7" s="3248" t="s">
        <v>2540</v>
      </c>
      <c r="Z7" s="3249"/>
      <c r="AA7" s="773">
        <f>D7/F7</f>
        <v>1</v>
      </c>
      <c r="AB7" s="773">
        <f>D7/H7</f>
        <v>1</v>
      </c>
      <c r="AC7" s="773">
        <f>D7/J7</f>
        <v>1</v>
      </c>
    </row>
    <row r="8" spans="1:29" s="117" customFormat="1" ht="15.75" thickBot="1">
      <c r="A8" s="408" t="s">
        <v>2541</v>
      </c>
      <c r="B8" s="409"/>
      <c r="C8" s="414" t="s">
        <v>2643</v>
      </c>
      <c r="D8" s="411">
        <v>100</v>
      </c>
      <c r="E8" s="414" t="s">
        <v>3109</v>
      </c>
      <c r="F8" s="413">
        <f>SUMIF(61:61,E8,62:62)-SUMIF(61:61,C8,62:62)+100</f>
        <v>100</v>
      </c>
      <c r="G8" s="414" t="s">
        <v>3109</v>
      </c>
      <c r="H8" s="411">
        <f>SUMIF(61:61,G8,62:62)-SUMIF(61:61,C8,62:62)+100</f>
        <v>100</v>
      </c>
      <c r="I8" s="414" t="s">
        <v>3109</v>
      </c>
      <c r="J8" s="411">
        <f>SUMIF(61:61,I8,62:62)-SUMIF(61:61,C8,62:62)+100</f>
        <v>100</v>
      </c>
      <c r="K8" s="611"/>
      <c r="L8" s="1132"/>
      <c r="M8" s="1133"/>
      <c r="N8" s="1133"/>
      <c r="O8" s="1133"/>
      <c r="P8" s="3248" t="s">
        <v>2543</v>
      </c>
      <c r="Q8" s="3249"/>
      <c r="R8" s="770" t="s">
        <v>17</v>
      </c>
      <c r="S8" s="771">
        <f t="shared" si="0"/>
        <v>100</v>
      </c>
      <c r="T8" s="770" t="s">
        <v>17</v>
      </c>
      <c r="U8" s="771">
        <f t="shared" si="1"/>
        <v>100</v>
      </c>
      <c r="V8" s="770" t="s">
        <v>17</v>
      </c>
      <c r="W8" s="771">
        <f t="shared" si="2"/>
        <v>100</v>
      </c>
      <c r="X8" s="772"/>
      <c r="Y8" s="3248" t="s">
        <v>2543</v>
      </c>
      <c r="Z8" s="3249"/>
      <c r="AA8" s="773">
        <f t="shared" ref="AA8:AA46" si="3">D8/F8</f>
        <v>1</v>
      </c>
      <c r="AB8" s="773">
        <f t="shared" ref="AB8:AB46" si="4">D8/H8</f>
        <v>1</v>
      </c>
      <c r="AC8" s="773">
        <f t="shared" ref="AC8:AC46" si="5">D8/J8</f>
        <v>1</v>
      </c>
    </row>
    <row r="9" spans="1:29" s="117" customFormat="1">
      <c r="A9" s="415" t="s">
        <v>2544</v>
      </c>
      <c r="B9" s="71" t="s">
        <v>2545</v>
      </c>
      <c r="C9" s="3001" t="s">
        <v>3108</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262"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773">
        <f t="shared" si="5"/>
        <v>1</v>
      </c>
    </row>
    <row r="10" spans="1:29" s="427" customFormat="1" ht="27" hidden="1">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75" thickBot="1">
      <c r="A11" s="428"/>
      <c r="B11" s="422" t="s">
        <v>2549</v>
      </c>
      <c r="C11" s="429">
        <f>'数据-汇总表'!I5</f>
        <v>0.25</v>
      </c>
      <c r="D11" s="136">
        <v>100</v>
      </c>
      <c r="E11" s="430">
        <v>2</v>
      </c>
      <c r="F11" s="425">
        <f>LOOKUP(E11,68:68,69:69)-LOOKUP(C11,68:68,69:69)+100</f>
        <v>95</v>
      </c>
      <c r="G11" s="429">
        <v>2</v>
      </c>
      <c r="H11" s="136">
        <f>LOOKUP(G11,68:68,69:69)-LOOKUP(C11,68:68,69:69)+100</f>
        <v>95</v>
      </c>
      <c r="I11" s="429">
        <v>2</v>
      </c>
      <c r="J11" s="136">
        <f>LOOKUP(I11,68:68,69:69)-LOOKUP(C11,68:68,69:69)+100</f>
        <v>95</v>
      </c>
      <c r="K11" s="612">
        <v>5</v>
      </c>
      <c r="L11" s="1138"/>
      <c r="M11" s="1131"/>
      <c r="N11" s="1131"/>
      <c r="O11" s="1131"/>
      <c r="P11" s="3262"/>
      <c r="Q11" s="1795" t="str">
        <f t="shared" si="6"/>
        <v>容积率</v>
      </c>
      <c r="R11" s="770" t="s">
        <v>17</v>
      </c>
      <c r="S11" s="771">
        <f t="shared" si="0"/>
        <v>95</v>
      </c>
      <c r="T11" s="770" t="s">
        <v>17</v>
      </c>
      <c r="U11" s="771">
        <f t="shared" si="1"/>
        <v>95</v>
      </c>
      <c r="V11" s="770" t="s">
        <v>17</v>
      </c>
      <c r="W11" s="771">
        <f t="shared" si="2"/>
        <v>95</v>
      </c>
      <c r="X11" s="772"/>
      <c r="Y11" s="3085"/>
      <c r="Z11" s="55" t="str">
        <f t="shared" si="7"/>
        <v>容积率</v>
      </c>
      <c r="AA11" s="773">
        <f t="shared" si="3"/>
        <v>1.0526315789473684</v>
      </c>
      <c r="AB11" s="773">
        <f t="shared" si="4"/>
        <v>1.0526315789473684</v>
      </c>
      <c r="AC11" s="773">
        <f t="shared" si="5"/>
        <v>1.0526315789473684</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2"/>
      <c r="Q14" s="1795">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63" customHeight="1">
      <c r="A15" s="440" t="s">
        <v>2550</v>
      </c>
      <c r="B15" s="69" t="s">
        <v>2644</v>
      </c>
      <c r="C15" s="2600" t="str">
        <f>估价对象房地状况!C4</f>
        <v>估价对象周边商业氛围较成熟，人流量较少，商业繁华度一般</v>
      </c>
      <c r="D15" s="441">
        <v>100</v>
      </c>
      <c r="E15" s="442"/>
      <c r="F15" s="443">
        <f>SUMIF(76:76,E16,77:77)-SUMIF(76:76,C16,77:77)+100</f>
        <v>101</v>
      </c>
      <c r="G15" s="444"/>
      <c r="H15" s="441">
        <f>SUMIF(76:76,G16,77:77)-SUMIF(76:76,C16,77:77)+100</f>
        <v>101</v>
      </c>
      <c r="I15" s="442"/>
      <c r="J15" s="441">
        <f>SUMIF(76:76,I16,77:77)-SUMIF(76:76,C16,77:77)+100</f>
        <v>101</v>
      </c>
      <c r="K15" s="614">
        <v>1</v>
      </c>
      <c r="L15" s="1140"/>
      <c r="M15" s="1131"/>
      <c r="N15" s="1131"/>
      <c r="O15" s="1131"/>
      <c r="P15" s="3289" t="s">
        <v>2551</v>
      </c>
      <c r="Q15" s="1810" t="str">
        <f t="shared" si="6"/>
        <v>商业繁华度</v>
      </c>
      <c r="R15" s="774" t="s">
        <v>17</v>
      </c>
      <c r="S15" s="775">
        <f t="shared" si="0"/>
        <v>101</v>
      </c>
      <c r="T15" s="774" t="s">
        <v>17</v>
      </c>
      <c r="U15" s="775">
        <f t="shared" si="1"/>
        <v>101</v>
      </c>
      <c r="V15" s="774" t="s">
        <v>17</v>
      </c>
      <c r="W15" s="775">
        <f t="shared" si="2"/>
        <v>101</v>
      </c>
      <c r="X15" s="1813"/>
      <c r="Y15" s="3282" t="s">
        <v>2551</v>
      </c>
      <c r="Z15" s="1814" t="str">
        <f t="shared" si="7"/>
        <v>商业繁华度</v>
      </c>
      <c r="AA15" s="1811">
        <f t="shared" si="3"/>
        <v>0.99009900990099009</v>
      </c>
      <c r="AB15" s="1811">
        <f t="shared" si="4"/>
        <v>0.99009900990099009</v>
      </c>
      <c r="AC15" s="1811">
        <f t="shared" si="5"/>
        <v>0.99009900990099009</v>
      </c>
    </row>
    <row r="16" spans="1:29" ht="15">
      <c r="A16" s="428"/>
      <c r="B16" s="446"/>
      <c r="C16" s="447" t="s">
        <v>3120</v>
      </c>
      <c r="D16" s="448"/>
      <c r="E16" s="447" t="s">
        <v>3121</v>
      </c>
      <c r="F16" s="449"/>
      <c r="G16" s="447" t="s">
        <v>3121</v>
      </c>
      <c r="H16" s="450"/>
      <c r="I16" s="447" t="s">
        <v>3121</v>
      </c>
      <c r="J16" s="448"/>
      <c r="K16" s="615"/>
      <c r="L16" s="1140"/>
      <c r="M16" s="1131"/>
      <c r="N16" s="1131"/>
      <c r="O16" s="1131"/>
      <c r="P16" s="3290"/>
      <c r="Q16" s="1810"/>
      <c r="R16" s="774"/>
      <c r="S16" s="775"/>
      <c r="T16" s="774"/>
      <c r="U16" s="775"/>
      <c r="V16" s="774"/>
      <c r="W16" s="775"/>
      <c r="X16" s="1813"/>
      <c r="Y16" s="3283"/>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0"/>
      <c r="Q17" s="1810" t="str">
        <f>B17</f>
        <v>交通便捷度</v>
      </c>
      <c r="R17" s="774" t="s">
        <v>17</v>
      </c>
      <c r="S17" s="775">
        <f>F17</f>
        <v>100</v>
      </c>
      <c r="T17" s="774" t="s">
        <v>17</v>
      </c>
      <c r="U17" s="775">
        <f>H17</f>
        <v>100</v>
      </c>
      <c r="V17" s="774" t="s">
        <v>17</v>
      </c>
      <c r="W17" s="775">
        <f>J17</f>
        <v>100</v>
      </c>
      <c r="X17" s="1813"/>
      <c r="Y17" s="3283"/>
      <c r="Z17" s="1814" t="str">
        <f>Q17</f>
        <v>交通便捷度</v>
      </c>
      <c r="AA17" s="1811">
        <f t="shared" si="3"/>
        <v>1</v>
      </c>
      <c r="AB17" s="1811">
        <f t="shared" si="4"/>
        <v>1</v>
      </c>
      <c r="AC17" s="1811">
        <f t="shared" si="5"/>
        <v>1</v>
      </c>
    </row>
    <row r="18" spans="1:29" ht="15">
      <c r="A18" s="428"/>
      <c r="B18" s="456"/>
      <c r="C18" s="2605" t="s">
        <v>3120</v>
      </c>
      <c r="D18" s="450"/>
      <c r="E18" s="2607" t="s">
        <v>3120</v>
      </c>
      <c r="F18" s="453"/>
      <c r="G18" s="2606" t="s">
        <v>3120</v>
      </c>
      <c r="H18" s="448"/>
      <c r="I18" s="2607" t="s">
        <v>3120</v>
      </c>
      <c r="J18" s="448"/>
      <c r="K18" s="615"/>
      <c r="L18" s="1140"/>
      <c r="M18" s="1131"/>
      <c r="N18" s="1131"/>
      <c r="O18" s="1131"/>
      <c r="P18" s="3290"/>
      <c r="Q18" s="1810"/>
      <c r="R18" s="774"/>
      <c r="S18" s="775"/>
      <c r="T18" s="774"/>
      <c r="U18" s="775"/>
      <c r="V18" s="774"/>
      <c r="W18" s="775"/>
      <c r="X18" s="1813"/>
      <c r="Y18" s="3283"/>
      <c r="Z18" s="1814"/>
      <c r="AA18" s="1811">
        <v>1</v>
      </c>
      <c r="AB18" s="1811">
        <v>1</v>
      </c>
      <c r="AC18" s="1811">
        <v>1</v>
      </c>
    </row>
    <row r="19" spans="1:29" ht="42.75">
      <c r="A19" s="428"/>
      <c r="B19" s="451" t="s">
        <v>2645</v>
      </c>
      <c r="C19" s="2604" t="str">
        <f>估价对象房地状况!C7</f>
        <v>估价对象所在区域公共配套设施齐备情况一般</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290"/>
      <c r="Q19" s="1810" t="str">
        <f>B19</f>
        <v>公共配套设施</v>
      </c>
      <c r="R19" s="774" t="s">
        <v>17</v>
      </c>
      <c r="S19" s="775">
        <f>F19</f>
        <v>101</v>
      </c>
      <c r="T19" s="774" t="s">
        <v>17</v>
      </c>
      <c r="U19" s="775">
        <f>H19</f>
        <v>101</v>
      </c>
      <c r="V19" s="774" t="s">
        <v>17</v>
      </c>
      <c r="W19" s="775">
        <f>J19</f>
        <v>101</v>
      </c>
      <c r="X19" s="1813"/>
      <c r="Y19" s="3283"/>
      <c r="Z19" s="1814" t="str">
        <f>Q19</f>
        <v>公共配套设施</v>
      </c>
      <c r="AA19" s="1811">
        <f t="shared" si="3"/>
        <v>0.99009900990099009</v>
      </c>
      <c r="AB19" s="1811">
        <f t="shared" si="4"/>
        <v>0.99009900990099009</v>
      </c>
      <c r="AC19" s="1811">
        <f t="shared" si="5"/>
        <v>0.99009900990099009</v>
      </c>
    </row>
    <row r="20" spans="1:29" ht="15">
      <c r="A20" s="428"/>
      <c r="B20" s="456"/>
      <c r="C20" s="447" t="s">
        <v>3120</v>
      </c>
      <c r="D20" s="448"/>
      <c r="E20" s="2602" t="s">
        <v>3121</v>
      </c>
      <c r="F20" s="449"/>
      <c r="G20" s="2601" t="s">
        <v>3121</v>
      </c>
      <c r="H20" s="448"/>
      <c r="I20" s="2602" t="s">
        <v>3121</v>
      </c>
      <c r="J20" s="448"/>
      <c r="K20" s="615"/>
      <c r="L20" s="1140"/>
      <c r="M20" s="1131"/>
      <c r="N20" s="1131"/>
      <c r="O20" s="1131"/>
      <c r="P20" s="3290"/>
      <c r="Q20" s="1810"/>
      <c r="R20" s="774"/>
      <c r="S20" s="775"/>
      <c r="T20" s="774"/>
      <c r="U20" s="775"/>
      <c r="V20" s="774"/>
      <c r="W20" s="775"/>
      <c r="X20" s="1813"/>
      <c r="Y20" s="3283"/>
      <c r="Z20" s="1814"/>
      <c r="AA20" s="1811">
        <v>1</v>
      </c>
      <c r="AB20" s="1811">
        <v>1</v>
      </c>
      <c r="AC20" s="1811">
        <v>1</v>
      </c>
    </row>
    <row r="21" spans="1:29" ht="15">
      <c r="A21" s="428"/>
      <c r="B21" s="1384" t="s">
        <v>2646</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0"/>
      <c r="Q21" s="1810" t="str">
        <f>B21</f>
        <v>基础设施水平</v>
      </c>
      <c r="R21" s="774" t="s">
        <v>17</v>
      </c>
      <c r="S21" s="775">
        <f>F21</f>
        <v>100</v>
      </c>
      <c r="T21" s="774" t="s">
        <v>17</v>
      </c>
      <c r="U21" s="775">
        <f>H21</f>
        <v>100</v>
      </c>
      <c r="V21" s="774" t="s">
        <v>17</v>
      </c>
      <c r="W21" s="775">
        <f>J21</f>
        <v>100</v>
      </c>
      <c r="X21" s="1813"/>
      <c r="Y21" s="3283"/>
      <c r="Z21" s="1814" t="str">
        <f>Q21</f>
        <v>基础设施水平</v>
      </c>
      <c r="AA21" s="1811">
        <f t="shared" ref="AA21" si="8">D21/F21</f>
        <v>1</v>
      </c>
      <c r="AB21" s="1811">
        <f t="shared" ref="AB21" si="9">D21/H21</f>
        <v>1</v>
      </c>
      <c r="AC21" s="1811">
        <f t="shared" ref="AC21" si="10">D21/J21</f>
        <v>1</v>
      </c>
    </row>
    <row r="22" spans="1:29" ht="15">
      <c r="A22" s="428"/>
      <c r="B22" s="1384"/>
      <c r="C22" s="2605" t="s">
        <v>3116</v>
      </c>
      <c r="D22" s="448"/>
      <c r="E22" s="447" t="s">
        <v>3116</v>
      </c>
      <c r="F22" s="449"/>
      <c r="G22" s="447" t="s">
        <v>3116</v>
      </c>
      <c r="H22" s="448"/>
      <c r="I22" s="447" t="s">
        <v>3116</v>
      </c>
      <c r="J22" s="448"/>
      <c r="K22" s="1383"/>
      <c r="L22" s="1140"/>
      <c r="M22" s="1131"/>
      <c r="N22" s="1131"/>
      <c r="O22" s="1131"/>
      <c r="P22" s="3290"/>
      <c r="Q22" s="1810"/>
      <c r="R22" s="774"/>
      <c r="S22" s="775"/>
      <c r="T22" s="774"/>
      <c r="U22" s="775"/>
      <c r="V22" s="774"/>
      <c r="W22" s="775"/>
      <c r="X22" s="1813"/>
      <c r="Y22" s="3283"/>
      <c r="Z22" s="1814"/>
      <c r="AA22" s="1811">
        <v>1</v>
      </c>
      <c r="AB22" s="1811">
        <v>1</v>
      </c>
      <c r="AC22" s="1811">
        <v>1</v>
      </c>
    </row>
    <row r="23" spans="1:29" ht="85.5">
      <c r="A23" s="428"/>
      <c r="B23" s="451" t="s">
        <v>2093</v>
      </c>
      <c r="C23" s="2661" t="str">
        <f>估价对象房地状况!C9</f>
        <v>区域自然环境：城南公园、怀河；人文环境：郑重庄社区村委会；综合评价环境状况一般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0"/>
      <c r="Q23" s="1810" t="str">
        <f>B23</f>
        <v>自然及人文环境</v>
      </c>
      <c r="R23" s="774" t="s">
        <v>17</v>
      </c>
      <c r="S23" s="775">
        <f>F23</f>
        <v>100</v>
      </c>
      <c r="T23" s="774" t="s">
        <v>17</v>
      </c>
      <c r="U23" s="775">
        <f>H23</f>
        <v>100</v>
      </c>
      <c r="V23" s="774" t="s">
        <v>17</v>
      </c>
      <c r="W23" s="775">
        <f>J23</f>
        <v>100</v>
      </c>
      <c r="X23" s="1813"/>
      <c r="Y23" s="3283"/>
      <c r="Z23" s="1814" t="str">
        <f>Q23</f>
        <v>自然及人文环境</v>
      </c>
      <c r="AA23" s="1811">
        <f t="shared" si="3"/>
        <v>1</v>
      </c>
      <c r="AB23" s="1811">
        <f t="shared" si="4"/>
        <v>1</v>
      </c>
      <c r="AC23" s="1811">
        <f t="shared" si="5"/>
        <v>1</v>
      </c>
    </row>
    <row r="24" spans="1:29" ht="15">
      <c r="A24" s="428"/>
      <c r="B24" s="456"/>
      <c r="C24" s="447" t="s">
        <v>3120</v>
      </c>
      <c r="D24" s="448"/>
      <c r="E24" s="2602" t="s">
        <v>3120</v>
      </c>
      <c r="F24" s="449"/>
      <c r="G24" s="2601" t="s">
        <v>3120</v>
      </c>
      <c r="H24" s="448"/>
      <c r="I24" s="2602" t="s">
        <v>3120</v>
      </c>
      <c r="J24" s="448"/>
      <c r="K24" s="615"/>
      <c r="L24" s="1140"/>
      <c r="M24" s="1131"/>
      <c r="N24" s="1131"/>
      <c r="O24" s="1131"/>
      <c r="P24" s="3290"/>
      <c r="Q24" s="1810"/>
      <c r="R24" s="774"/>
      <c r="S24" s="775"/>
      <c r="T24" s="774"/>
      <c r="U24" s="775"/>
      <c r="V24" s="774"/>
      <c r="W24" s="775"/>
      <c r="X24" s="1813"/>
      <c r="Y24" s="3283"/>
      <c r="Z24" s="1814"/>
      <c r="AA24" s="1811">
        <v>1</v>
      </c>
      <c r="AB24" s="1811">
        <v>1</v>
      </c>
      <c r="AC24" s="1811">
        <v>1</v>
      </c>
    </row>
    <row r="25" spans="1:29" ht="15">
      <c r="A25" s="428"/>
      <c r="B25" s="422" t="s">
        <v>2647</v>
      </c>
      <c r="C25" s="616" t="s">
        <v>3125</v>
      </c>
      <c r="D25" s="435">
        <v>100</v>
      </c>
      <c r="E25" s="616" t="s">
        <v>3125</v>
      </c>
      <c r="F25" s="461">
        <f>SUMIF(86:86,E25,87:87)-SUMIF(86:86,C25,87:87)+100</f>
        <v>100</v>
      </c>
      <c r="G25" s="616" t="s">
        <v>3125</v>
      </c>
      <c r="H25" s="435">
        <f>SUMIF(86:86,G25,87:87)-SUMIF(86:86,C25,87:87)+100</f>
        <v>100</v>
      </c>
      <c r="I25" s="616" t="s">
        <v>3125</v>
      </c>
      <c r="J25" s="435">
        <f>SUMIF(86:86,I25,87:87)-SUMIF(86:86,C25,87:87)+100</f>
        <v>100</v>
      </c>
      <c r="K25" s="612">
        <v>2</v>
      </c>
      <c r="L25" s="1140"/>
      <c r="M25" s="1131"/>
      <c r="N25" s="1131"/>
      <c r="O25" s="1131"/>
      <c r="P25" s="3290"/>
      <c r="Q25" s="1810" t="str">
        <f t="shared" ref="Q25:Q46" si="11">B25</f>
        <v>临街状况</v>
      </c>
      <c r="R25" s="774" t="s">
        <v>17</v>
      </c>
      <c r="S25" s="775">
        <f>F25</f>
        <v>100</v>
      </c>
      <c r="T25" s="774" t="s">
        <v>17</v>
      </c>
      <c r="U25" s="775">
        <f>H25</f>
        <v>100</v>
      </c>
      <c r="V25" s="774" t="s">
        <v>17</v>
      </c>
      <c r="W25" s="775">
        <f>J25</f>
        <v>100</v>
      </c>
      <c r="X25" s="1813"/>
      <c r="Y25" s="3283"/>
      <c r="Z25" s="1814" t="str">
        <f>Q25</f>
        <v>临街状况</v>
      </c>
      <c r="AA25" s="1811">
        <f t="shared" si="3"/>
        <v>1</v>
      </c>
      <c r="AB25" s="1811">
        <f t="shared" si="4"/>
        <v>1</v>
      </c>
      <c r="AC25" s="1811">
        <f t="shared" si="5"/>
        <v>1</v>
      </c>
    </row>
    <row r="26" spans="1:29" ht="15" hidden="1">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0"/>
      <c r="Q26" s="1810" t="str">
        <f t="shared" si="11"/>
        <v>平面位置/可视性</v>
      </c>
      <c r="R26" s="774" t="s">
        <v>17</v>
      </c>
      <c r="S26" s="775">
        <f>F26</f>
        <v>100</v>
      </c>
      <c r="T26" s="774" t="s">
        <v>17</v>
      </c>
      <c r="U26" s="775">
        <f>H26</f>
        <v>100</v>
      </c>
      <c r="V26" s="774" t="s">
        <v>17</v>
      </c>
      <c r="W26" s="775">
        <f>J26</f>
        <v>100</v>
      </c>
      <c r="X26" s="1813"/>
      <c r="Y26" s="3283"/>
      <c r="Z26" s="1814" t="str">
        <f>Q26</f>
        <v>平面位置/可视性</v>
      </c>
      <c r="AA26" s="1811">
        <f t="shared" si="3"/>
        <v>1</v>
      </c>
      <c r="AB26" s="1811">
        <f t="shared" si="4"/>
        <v>1</v>
      </c>
      <c r="AC26" s="1811">
        <f t="shared" si="5"/>
        <v>1</v>
      </c>
    </row>
    <row r="27" spans="1:29" s="117" customFormat="1" ht="15" hidden="1">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90"/>
      <c r="Q27" s="1795" t="str">
        <f t="shared" si="11"/>
        <v>人流量</v>
      </c>
      <c r="R27" s="770" t="s">
        <v>17</v>
      </c>
      <c r="S27" s="771">
        <f>F27</f>
        <v>100</v>
      </c>
      <c r="T27" s="770" t="s">
        <v>17</v>
      </c>
      <c r="U27" s="771">
        <f>H27</f>
        <v>100</v>
      </c>
      <c r="V27" s="770" t="s">
        <v>17</v>
      </c>
      <c r="W27" s="771">
        <f>J27</f>
        <v>100</v>
      </c>
      <c r="X27" s="772"/>
      <c r="Y27" s="3283"/>
      <c r="Z27" s="55" t="str">
        <f>Q27</f>
        <v>人流量</v>
      </c>
      <c r="AA27" s="1811">
        <f>D27/F27</f>
        <v>1</v>
      </c>
      <c r="AB27" s="1811">
        <f>D27/H27</f>
        <v>1</v>
      </c>
      <c r="AC27" s="1811">
        <f>D27/J27</f>
        <v>1</v>
      </c>
    </row>
    <row r="28" spans="1:29" ht="15.75" thickBot="1">
      <c r="A28" s="428"/>
      <c r="B28" s="422" t="s">
        <v>2650</v>
      </c>
      <c r="C28" s="616" t="s">
        <v>3129</v>
      </c>
      <c r="D28" s="435">
        <v>100</v>
      </c>
      <c r="E28" s="616" t="s">
        <v>3129</v>
      </c>
      <c r="F28" s="461">
        <f>SUMIF(92:92,E28,93:93)-SUMIF(92:92,C28,93:93)+100</f>
        <v>100</v>
      </c>
      <c r="G28" s="616" t="s">
        <v>3129</v>
      </c>
      <c r="H28" s="435">
        <f>SUMIF(92:92,G28,93:93)-SUMIF(92:92,C28,93:93)+100</f>
        <v>100</v>
      </c>
      <c r="I28" s="616" t="s">
        <v>3129</v>
      </c>
      <c r="J28" s="435">
        <f>SUMIF(92:92,I28,93:93)-SUMIF(92:92,C28,93:93)+100</f>
        <v>100</v>
      </c>
      <c r="K28" s="613"/>
      <c r="L28" s="1140"/>
      <c r="M28" s="1131"/>
      <c r="N28" s="1131"/>
      <c r="O28" s="1131"/>
      <c r="P28" s="329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83"/>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0"/>
      <c r="Q29" s="1810">
        <f t="shared" si="11"/>
        <v>111</v>
      </c>
      <c r="R29" s="774" t="s">
        <v>17</v>
      </c>
      <c r="S29" s="775">
        <f t="shared" si="12"/>
        <v>100</v>
      </c>
      <c r="T29" s="774" t="s">
        <v>17</v>
      </c>
      <c r="U29" s="775">
        <f t="shared" si="13"/>
        <v>100</v>
      </c>
      <c r="V29" s="774" t="s">
        <v>17</v>
      </c>
      <c r="W29" s="775">
        <f t="shared" si="14"/>
        <v>100</v>
      </c>
      <c r="X29" s="1813"/>
      <c r="Y29" s="3283"/>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0"/>
      <c r="Q30" s="1810">
        <f t="shared" si="11"/>
        <v>111</v>
      </c>
      <c r="R30" s="774" t="s">
        <v>17</v>
      </c>
      <c r="S30" s="775">
        <f t="shared" si="12"/>
        <v>100</v>
      </c>
      <c r="T30" s="774" t="s">
        <v>17</v>
      </c>
      <c r="U30" s="775">
        <f t="shared" si="13"/>
        <v>100</v>
      </c>
      <c r="V30" s="774" t="s">
        <v>17</v>
      </c>
      <c r="W30" s="775">
        <f t="shared" si="14"/>
        <v>100</v>
      </c>
      <c r="X30" s="1813"/>
      <c r="Y30" s="3283"/>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0"/>
      <c r="Q31" s="1810">
        <f t="shared" si="11"/>
        <v>111</v>
      </c>
      <c r="R31" s="774" t="s">
        <v>17</v>
      </c>
      <c r="S31" s="775">
        <f t="shared" si="12"/>
        <v>100</v>
      </c>
      <c r="T31" s="774" t="s">
        <v>17</v>
      </c>
      <c r="U31" s="775">
        <f t="shared" si="13"/>
        <v>100</v>
      </c>
      <c r="V31" s="774" t="s">
        <v>17</v>
      </c>
      <c r="W31" s="775">
        <f t="shared" si="14"/>
        <v>100</v>
      </c>
      <c r="X31" s="1813"/>
      <c r="Y31" s="3283"/>
      <c r="Z31" s="1814">
        <f t="shared" si="15"/>
        <v>111</v>
      </c>
      <c r="AA31" s="1811">
        <f t="shared" si="3"/>
        <v>1</v>
      </c>
      <c r="AB31" s="1811">
        <f t="shared" si="4"/>
        <v>1</v>
      </c>
      <c r="AC31" s="1811">
        <f t="shared" si="5"/>
        <v>1</v>
      </c>
    </row>
    <row r="32" spans="1:29" ht="15">
      <c r="A32" s="440" t="s">
        <v>2554</v>
      </c>
      <c r="B32" s="71" t="s">
        <v>2651</v>
      </c>
      <c r="C32" s="2614" t="s">
        <v>3130</v>
      </c>
      <c r="D32" s="467">
        <v>100</v>
      </c>
      <c r="E32" s="2614" t="s">
        <v>3132</v>
      </c>
      <c r="F32" s="461">
        <f>SUMIF(100:100,E32,101:101)-SUMIF(100:100,C32,101:101)+100</f>
        <v>95</v>
      </c>
      <c r="G32" s="2614" t="s">
        <v>3132</v>
      </c>
      <c r="H32" s="435">
        <f>SUMIF(100:100,G32,101:101)-SUMIF(100:100,C32,101:101)+100</f>
        <v>95</v>
      </c>
      <c r="I32" s="2614" t="s">
        <v>3132</v>
      </c>
      <c r="J32" s="467">
        <f>SUMIF(100:100,I32,101:101)-SUMIF(100:100,C32,101:101)+100</f>
        <v>95</v>
      </c>
      <c r="K32" s="612">
        <v>5</v>
      </c>
      <c r="L32" s="1140"/>
      <c r="M32" s="1131"/>
      <c r="N32" s="1131"/>
      <c r="O32" s="1131"/>
      <c r="P32" s="3284" t="s">
        <v>2556</v>
      </c>
      <c r="Q32" s="1810" t="str">
        <f t="shared" si="11"/>
        <v>商业类型</v>
      </c>
      <c r="R32" s="774" t="s">
        <v>17</v>
      </c>
      <c r="S32" s="775">
        <f t="shared" si="12"/>
        <v>95</v>
      </c>
      <c r="T32" s="774" t="s">
        <v>17</v>
      </c>
      <c r="U32" s="775">
        <f t="shared" si="13"/>
        <v>95</v>
      </c>
      <c r="V32" s="774" t="s">
        <v>17</v>
      </c>
      <c r="W32" s="775">
        <f t="shared" si="14"/>
        <v>95</v>
      </c>
      <c r="X32" s="1813"/>
      <c r="Y32" s="3287" t="s">
        <v>2556</v>
      </c>
      <c r="Z32" s="1814" t="str">
        <f t="shared" si="15"/>
        <v>商业类型</v>
      </c>
      <c r="AA32" s="1811">
        <f t="shared" si="3"/>
        <v>1.0526315789473684</v>
      </c>
      <c r="AB32" s="1811">
        <f t="shared" si="4"/>
        <v>1.0526315789473684</v>
      </c>
      <c r="AC32" s="1811">
        <f t="shared" si="5"/>
        <v>1.0526315789473684</v>
      </c>
    </row>
    <row r="33" spans="1:29" s="471" customFormat="1" ht="15">
      <c r="A33" s="468"/>
      <c r="B33" s="422" t="s">
        <v>2557</v>
      </c>
      <c r="C33" s="469">
        <f>'数据-基础表'!I13</f>
        <v>42.7</v>
      </c>
      <c r="D33" s="136">
        <v>100</v>
      </c>
      <c r="E33" s="430">
        <v>287</v>
      </c>
      <c r="F33" s="425">
        <f>LOOKUP(E33,103:103,104:104)-LOOKUP(C33,103:103,104:104)+100</f>
        <v>99</v>
      </c>
      <c r="G33" s="429">
        <v>300</v>
      </c>
      <c r="H33" s="136">
        <f>LOOKUP(G33,103:103,104:104)-LOOKUP(C33,103:103,104:104)+100</f>
        <v>99</v>
      </c>
      <c r="I33" s="429">
        <v>518</v>
      </c>
      <c r="J33" s="136">
        <f>LOOKUP(I33,103:103,104:104)-LOOKUP(C33,103:103,104:104)+100</f>
        <v>98</v>
      </c>
      <c r="K33" s="613"/>
      <c r="L33" s="1138"/>
      <c r="M33" s="1141"/>
      <c r="N33" s="1141"/>
      <c r="O33" s="1141"/>
      <c r="P33" s="3285"/>
      <c r="Q33" s="776" t="str">
        <f t="shared" si="11"/>
        <v>项目建筑规模</v>
      </c>
      <c r="R33" s="777" t="s">
        <v>17</v>
      </c>
      <c r="S33" s="778">
        <f t="shared" si="12"/>
        <v>99</v>
      </c>
      <c r="T33" s="777" t="s">
        <v>17</v>
      </c>
      <c r="U33" s="778">
        <f t="shared" si="13"/>
        <v>99</v>
      </c>
      <c r="V33" s="777" t="s">
        <v>17</v>
      </c>
      <c r="W33" s="778">
        <f t="shared" si="14"/>
        <v>98</v>
      </c>
      <c r="X33" s="779"/>
      <c r="Y33" s="3287"/>
      <c r="Z33" s="780" t="str">
        <f t="shared" si="15"/>
        <v>项目建筑规模</v>
      </c>
      <c r="AA33" s="1811">
        <f t="shared" si="3"/>
        <v>1.0101010101010102</v>
      </c>
      <c r="AB33" s="1811">
        <f t="shared" si="4"/>
        <v>1.0101010101010102</v>
      </c>
      <c r="AC33" s="1811">
        <f t="shared" si="5"/>
        <v>1.0204081632653061</v>
      </c>
    </row>
    <row r="34" spans="1:29" ht="15">
      <c r="A34" s="472"/>
      <c r="B34" s="422" t="s">
        <v>2558</v>
      </c>
      <c r="C34" s="2616" t="s">
        <v>3134</v>
      </c>
      <c r="D34" s="435">
        <v>100</v>
      </c>
      <c r="E34" s="2616" t="s">
        <v>3134</v>
      </c>
      <c r="F34" s="461">
        <f>SUMIF(105:105,E34,106:106)-SUMIF(105:105,C34,106:106)+100</f>
        <v>100</v>
      </c>
      <c r="G34" s="2616" t="s">
        <v>3134</v>
      </c>
      <c r="H34" s="435">
        <f>SUMIF(105:105,G34,106:106)-SUMIF(105:105,C34,106:106)+100</f>
        <v>100</v>
      </c>
      <c r="I34" s="2616" t="s">
        <v>3134</v>
      </c>
      <c r="J34" s="435">
        <f>SUMIF(105:105,I34,106:106)-SUMIF(105:105,C34,106:106)+100</f>
        <v>100</v>
      </c>
      <c r="K34" s="612"/>
      <c r="L34" s="1140"/>
      <c r="M34" s="1131"/>
      <c r="N34" s="1131"/>
      <c r="O34" s="1131"/>
      <c r="P34" s="3285"/>
      <c r="Q34" s="1810" t="str">
        <f t="shared" si="11"/>
        <v>建筑结构</v>
      </c>
      <c r="R34" s="774" t="s">
        <v>17</v>
      </c>
      <c r="S34" s="775">
        <f t="shared" si="12"/>
        <v>100</v>
      </c>
      <c r="T34" s="774" t="s">
        <v>17</v>
      </c>
      <c r="U34" s="775">
        <f t="shared" si="13"/>
        <v>100</v>
      </c>
      <c r="V34" s="774" t="s">
        <v>17</v>
      </c>
      <c r="W34" s="775">
        <f t="shared" si="14"/>
        <v>100</v>
      </c>
      <c r="X34" s="1813"/>
      <c r="Y34" s="3287"/>
      <c r="Z34" s="1814" t="str">
        <f t="shared" si="15"/>
        <v>建筑结构</v>
      </c>
      <c r="AA34" s="1811">
        <f t="shared" si="3"/>
        <v>1</v>
      </c>
      <c r="AB34" s="1811">
        <f t="shared" si="4"/>
        <v>1</v>
      </c>
      <c r="AC34" s="1811">
        <f t="shared" si="5"/>
        <v>1</v>
      </c>
    </row>
    <row r="35" spans="1:29" ht="15">
      <c r="A35" s="472"/>
      <c r="B35" s="422" t="s">
        <v>2652</v>
      </c>
      <c r="C35" s="2610" t="s">
        <v>3143</v>
      </c>
      <c r="D35" s="435">
        <v>100</v>
      </c>
      <c r="E35" s="2610" t="s">
        <v>3136</v>
      </c>
      <c r="F35" s="461">
        <f>SUMIF(107:107,E35,108:108)-SUMIF(107:107,C35,108:108)+100</f>
        <v>101</v>
      </c>
      <c r="G35" s="2610" t="s">
        <v>3136</v>
      </c>
      <c r="H35" s="435">
        <f>SUMIF(107:107,G35,108:108)-SUMIF(107:107,C35,108:108)+100</f>
        <v>101</v>
      </c>
      <c r="I35" s="2610" t="s">
        <v>3136</v>
      </c>
      <c r="J35" s="435">
        <f>SUMIF(107:107,I35,108:108)-SUMIF(107:107,C35,108:108)+100</f>
        <v>101</v>
      </c>
      <c r="K35" s="612">
        <v>1</v>
      </c>
      <c r="L35" s="1140"/>
      <c r="M35" s="1131"/>
      <c r="N35" s="1131"/>
      <c r="O35" s="1131"/>
      <c r="P35" s="3285"/>
      <c r="Q35" s="1810" t="str">
        <f t="shared" si="11"/>
        <v>公共部分装修</v>
      </c>
      <c r="R35" s="774" t="s">
        <v>17</v>
      </c>
      <c r="S35" s="775">
        <f t="shared" si="12"/>
        <v>101</v>
      </c>
      <c r="T35" s="774" t="s">
        <v>17</v>
      </c>
      <c r="U35" s="775">
        <f t="shared" si="13"/>
        <v>101</v>
      </c>
      <c r="V35" s="774" t="s">
        <v>17</v>
      </c>
      <c r="W35" s="775">
        <f t="shared" si="14"/>
        <v>101</v>
      </c>
      <c r="X35" s="1813"/>
      <c r="Y35" s="3287"/>
      <c r="Z35" s="1814" t="str">
        <f t="shared" si="15"/>
        <v>公共部分装修</v>
      </c>
      <c r="AA35" s="1811">
        <f t="shared" si="3"/>
        <v>0.99009900990099009</v>
      </c>
      <c r="AB35" s="1811">
        <f t="shared" si="4"/>
        <v>0.99009900990099009</v>
      </c>
      <c r="AC35" s="1811">
        <f t="shared" si="5"/>
        <v>0.99009900990099009</v>
      </c>
    </row>
    <row r="36" spans="1:29" ht="15">
      <c r="A36" s="472"/>
      <c r="B36" s="422" t="s">
        <v>2653</v>
      </c>
      <c r="C36" s="474">
        <v>0.6</v>
      </c>
      <c r="D36" s="435">
        <v>100</v>
      </c>
      <c r="E36" s="474">
        <v>0.7</v>
      </c>
      <c r="F36" s="461">
        <f>LOOKUP(E36,110:110,111:111)-LOOKUP(C36,110:110,111:111)+100</f>
        <v>101</v>
      </c>
      <c r="G36" s="474">
        <v>0.7</v>
      </c>
      <c r="H36" s="461">
        <f>LOOKUP(G36,110:110,111:111)-LOOKUP(C36,110:110,111:111)+100</f>
        <v>101</v>
      </c>
      <c r="I36" s="474">
        <v>0.7</v>
      </c>
      <c r="J36" s="435">
        <f>LOOKUP(I36,110:110,111:111)-LOOKUP(C36,110:110,111:111)+100</f>
        <v>101</v>
      </c>
      <c r="K36" s="612">
        <v>1</v>
      </c>
      <c r="L36" s="1140"/>
      <c r="M36" s="1131"/>
      <c r="N36" s="1131"/>
      <c r="O36" s="1131"/>
      <c r="P36" s="3285"/>
      <c r="Q36" s="1810" t="str">
        <f t="shared" si="11"/>
        <v>成新度</v>
      </c>
      <c r="R36" s="774" t="s">
        <v>17</v>
      </c>
      <c r="S36" s="775">
        <f t="shared" si="12"/>
        <v>101</v>
      </c>
      <c r="T36" s="774" t="s">
        <v>17</v>
      </c>
      <c r="U36" s="775">
        <f t="shared" si="13"/>
        <v>101</v>
      </c>
      <c r="V36" s="774" t="s">
        <v>17</v>
      </c>
      <c r="W36" s="775">
        <f t="shared" si="14"/>
        <v>101</v>
      </c>
      <c r="X36" s="1813"/>
      <c r="Y36" s="3287"/>
      <c r="Z36" s="1814" t="str">
        <f t="shared" si="15"/>
        <v>成新度</v>
      </c>
      <c r="AA36" s="1811">
        <f t="shared" si="3"/>
        <v>0.99009900990099009</v>
      </c>
      <c r="AB36" s="1811">
        <f t="shared" si="4"/>
        <v>0.99009900990099009</v>
      </c>
      <c r="AC36" s="1811">
        <f t="shared" si="5"/>
        <v>0.99009900990099009</v>
      </c>
    </row>
    <row r="37" spans="1:29" s="117" customFormat="1" ht="15">
      <c r="A37" s="473"/>
      <c r="B37" s="422" t="s">
        <v>2654</v>
      </c>
      <c r="C37" s="2610" t="s">
        <v>3116</v>
      </c>
      <c r="D37" s="136">
        <v>100</v>
      </c>
      <c r="E37" s="2610" t="s">
        <v>3116</v>
      </c>
      <c r="F37" s="461">
        <f>SUMIF(112:112,E37,113:113)-SUMIF(112:112,C37,113:113)+100</f>
        <v>100</v>
      </c>
      <c r="G37" s="2610" t="s">
        <v>3116</v>
      </c>
      <c r="H37" s="435">
        <f>SUMIF(112:112,G37,113:113)-SUMIF(112:112,C37,113:113)+100</f>
        <v>100</v>
      </c>
      <c r="I37" s="2610" t="s">
        <v>3116</v>
      </c>
      <c r="J37" s="435">
        <f>SUMIF(112:112,I37,113:113)-SUMIF(112:112,C37,113:113)+100</f>
        <v>100</v>
      </c>
      <c r="K37" s="612"/>
      <c r="L37" s="1132"/>
      <c r="M37" s="1133"/>
      <c r="N37" s="1133"/>
      <c r="O37" s="1133"/>
      <c r="P37" s="3285"/>
      <c r="Q37" s="1795" t="str">
        <f t="shared" si="11"/>
        <v>市政基础设施</v>
      </c>
      <c r="R37" s="770" t="s">
        <v>17</v>
      </c>
      <c r="S37" s="771">
        <f t="shared" si="12"/>
        <v>100</v>
      </c>
      <c r="T37" s="770" t="s">
        <v>17</v>
      </c>
      <c r="U37" s="771">
        <f t="shared" si="13"/>
        <v>100</v>
      </c>
      <c r="V37" s="770" t="s">
        <v>17</v>
      </c>
      <c r="W37" s="771">
        <f t="shared" si="14"/>
        <v>100</v>
      </c>
      <c r="X37" s="772"/>
      <c r="Y37" s="3287"/>
      <c r="Z37" s="55" t="str">
        <f t="shared" si="15"/>
        <v>市政基础设施</v>
      </c>
      <c r="AA37" s="773">
        <f t="shared" si="3"/>
        <v>1</v>
      </c>
      <c r="AB37" s="773">
        <f t="shared" si="4"/>
        <v>1</v>
      </c>
      <c r="AC37" s="773">
        <f t="shared" si="5"/>
        <v>1</v>
      </c>
    </row>
    <row r="38" spans="1:29" ht="15" hidden="1">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85" t="s">
        <v>2556</v>
      </c>
      <c r="Q38" s="1810" t="str">
        <f t="shared" si="11"/>
        <v>业态</v>
      </c>
      <c r="R38" s="774" t="s">
        <v>17</v>
      </c>
      <c r="S38" s="775">
        <f t="shared" si="12"/>
        <v>100</v>
      </c>
      <c r="T38" s="774" t="s">
        <v>17</v>
      </c>
      <c r="U38" s="775">
        <f t="shared" si="13"/>
        <v>100</v>
      </c>
      <c r="V38" s="774" t="s">
        <v>17</v>
      </c>
      <c r="W38" s="775">
        <f t="shared" si="14"/>
        <v>100</v>
      </c>
      <c r="X38" s="1813"/>
      <c r="Y38" s="3287" t="s">
        <v>2556</v>
      </c>
      <c r="Z38" s="1814" t="str">
        <f t="shared" si="15"/>
        <v>业态</v>
      </c>
      <c r="AA38" s="1811">
        <f t="shared" si="3"/>
        <v>1</v>
      </c>
      <c r="AB38" s="1811">
        <f t="shared" si="4"/>
        <v>1</v>
      </c>
      <c r="AC38" s="1811">
        <f t="shared" si="5"/>
        <v>1</v>
      </c>
    </row>
    <row r="39" spans="1:29" ht="15">
      <c r="A39" s="472"/>
      <c r="B39" s="422" t="s">
        <v>2656</v>
      </c>
      <c r="C39" s="2610" t="s">
        <v>3140</v>
      </c>
      <c r="D39" s="435">
        <v>100</v>
      </c>
      <c r="E39" s="2610" t="s">
        <v>3140</v>
      </c>
      <c r="F39" s="461">
        <f>SUMIF(116:116,E39,117:117)-SUMIF(116:116,C39,117:117)+100</f>
        <v>100</v>
      </c>
      <c r="G39" s="2610" t="s">
        <v>3140</v>
      </c>
      <c r="H39" s="435">
        <f>SUMIF(116:116,G39,117:117)-SUMIF(116:116,C39,117:117)+100</f>
        <v>100</v>
      </c>
      <c r="I39" s="2610" t="s">
        <v>3140</v>
      </c>
      <c r="J39" s="435">
        <f>SUMIF(116:116,I39,117:117)-SUMIF(116:116,C39,117:117)+100</f>
        <v>100</v>
      </c>
      <c r="K39" s="612"/>
      <c r="L39" s="1140"/>
      <c r="M39" s="1131"/>
      <c r="N39" s="1131"/>
      <c r="O39" s="1131"/>
      <c r="P39" s="3285"/>
      <c r="Q39" s="1810" t="str">
        <f t="shared" si="11"/>
        <v>层高</v>
      </c>
      <c r="R39" s="774" t="s">
        <v>17</v>
      </c>
      <c r="S39" s="775">
        <f t="shared" si="12"/>
        <v>100</v>
      </c>
      <c r="T39" s="774" t="s">
        <v>17</v>
      </c>
      <c r="U39" s="775">
        <f t="shared" si="13"/>
        <v>100</v>
      </c>
      <c r="V39" s="774" t="s">
        <v>17</v>
      </c>
      <c r="W39" s="775">
        <f t="shared" si="14"/>
        <v>100</v>
      </c>
      <c r="X39" s="1813"/>
      <c r="Y39" s="3287"/>
      <c r="Z39" s="1814" t="str">
        <f t="shared" si="15"/>
        <v>层高</v>
      </c>
      <c r="AA39" s="1811">
        <f t="shared" si="3"/>
        <v>1</v>
      </c>
      <c r="AB39" s="1811">
        <f t="shared" si="4"/>
        <v>1</v>
      </c>
      <c r="AC39" s="181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5"/>
      <c r="Q40" s="1810" t="str">
        <f t="shared" si="11"/>
        <v>单套建筑面积</v>
      </c>
      <c r="R40" s="774" t="s">
        <v>17</v>
      </c>
      <c r="S40" s="775">
        <f t="shared" si="12"/>
        <v>100</v>
      </c>
      <c r="T40" s="774" t="s">
        <v>17</v>
      </c>
      <c r="U40" s="775">
        <f t="shared" si="13"/>
        <v>100</v>
      </c>
      <c r="V40" s="774" t="s">
        <v>17</v>
      </c>
      <c r="W40" s="775">
        <f t="shared" si="14"/>
        <v>100</v>
      </c>
      <c r="X40" s="1813"/>
      <c r="Y40" s="3287"/>
      <c r="Z40" s="1814" t="str">
        <f t="shared" si="15"/>
        <v>单套建筑面积</v>
      </c>
      <c r="AA40" s="1811">
        <f t="shared" si="3"/>
        <v>1</v>
      </c>
      <c r="AB40" s="1811">
        <f t="shared" si="4"/>
        <v>1</v>
      </c>
      <c r="AC40" s="1811">
        <f t="shared" si="5"/>
        <v>1</v>
      </c>
    </row>
    <row r="41" spans="1:29" s="471" customFormat="1" ht="15" hidden="1">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5"/>
      <c r="Q41" s="776" t="str">
        <f t="shared" si="11"/>
        <v>进深比</v>
      </c>
      <c r="R41" s="777" t="s">
        <v>17</v>
      </c>
      <c r="S41" s="778">
        <f t="shared" si="12"/>
        <v>100</v>
      </c>
      <c r="T41" s="777" t="s">
        <v>17</v>
      </c>
      <c r="U41" s="778">
        <f t="shared" si="13"/>
        <v>100</v>
      </c>
      <c r="V41" s="777" t="s">
        <v>17</v>
      </c>
      <c r="W41" s="778">
        <f t="shared" si="14"/>
        <v>100</v>
      </c>
      <c r="X41" s="779"/>
      <c r="Y41" s="3287"/>
      <c r="Z41" s="780" t="str">
        <f t="shared" si="15"/>
        <v>进深比</v>
      </c>
      <c r="AA41" s="1811">
        <f t="shared" si="3"/>
        <v>1</v>
      </c>
      <c r="AB41" s="1811">
        <f t="shared" si="4"/>
        <v>1</v>
      </c>
      <c r="AC41" s="1811">
        <f t="shared" si="5"/>
        <v>1</v>
      </c>
    </row>
    <row r="42" spans="1:29" ht="15">
      <c r="A42" s="472"/>
      <c r="B42" s="422" t="s">
        <v>2659</v>
      </c>
      <c r="C42" s="2610" t="s">
        <v>3143</v>
      </c>
      <c r="D42" s="435">
        <v>100</v>
      </c>
      <c r="E42" s="2610" t="s">
        <v>3136</v>
      </c>
      <c r="F42" s="461">
        <f>SUMIF(122:122,E42,123:123)-SUMIF(122:122,C42,123:123)+100</f>
        <v>102</v>
      </c>
      <c r="G42" s="2610" t="s">
        <v>3136</v>
      </c>
      <c r="H42" s="435">
        <f>SUMIF(122:122,G42,123:123)-SUMIF(122:122,C42,123:123)+100</f>
        <v>102</v>
      </c>
      <c r="I42" s="2610" t="s">
        <v>3136</v>
      </c>
      <c r="J42" s="435">
        <f>SUMIF(122:122,I42,123:123)-SUMIF(122:122,C42,123:123)+100</f>
        <v>102</v>
      </c>
      <c r="K42" s="612">
        <v>2</v>
      </c>
      <c r="L42" s="1140"/>
      <c r="M42" s="1131"/>
      <c r="N42" s="1131"/>
      <c r="O42" s="1131"/>
      <c r="P42" s="3285"/>
      <c r="Q42" s="1810" t="str">
        <f t="shared" si="11"/>
        <v>内部装修</v>
      </c>
      <c r="R42" s="774" t="s">
        <v>17</v>
      </c>
      <c r="S42" s="775">
        <f t="shared" si="12"/>
        <v>102</v>
      </c>
      <c r="T42" s="774" t="s">
        <v>17</v>
      </c>
      <c r="U42" s="775">
        <f t="shared" si="13"/>
        <v>102</v>
      </c>
      <c r="V42" s="774" t="s">
        <v>17</v>
      </c>
      <c r="W42" s="775">
        <f t="shared" si="14"/>
        <v>102</v>
      </c>
      <c r="X42" s="1813"/>
      <c r="Y42" s="3287"/>
      <c r="Z42" s="1814" t="str">
        <f t="shared" si="15"/>
        <v>内部装修</v>
      </c>
      <c r="AA42" s="1811">
        <f t="shared" si="3"/>
        <v>0.98039215686274506</v>
      </c>
      <c r="AB42" s="1811">
        <f t="shared" si="4"/>
        <v>0.98039215686274506</v>
      </c>
      <c r="AC42" s="1811">
        <f t="shared" si="5"/>
        <v>0.98039215686274506</v>
      </c>
    </row>
    <row r="43" spans="1:29" ht="15.75" thickBot="1">
      <c r="A43" s="472"/>
      <c r="B43" s="422" t="s">
        <v>2567</v>
      </c>
      <c r="C43" s="2610" t="s">
        <v>3120</v>
      </c>
      <c r="D43" s="435">
        <v>100</v>
      </c>
      <c r="E43" s="2610" t="s">
        <v>3121</v>
      </c>
      <c r="F43" s="461">
        <f>SUMIF(124:124,E43,125:125)-SUMIF(124:124,C43,125:125)+100</f>
        <v>101</v>
      </c>
      <c r="G43" s="2610" t="s">
        <v>3121</v>
      </c>
      <c r="H43" s="435">
        <f>SUMIF(124:124,G43,125:125)-SUMIF(124:124,C43,125:125)+100</f>
        <v>101</v>
      </c>
      <c r="I43" s="2610" t="s">
        <v>3121</v>
      </c>
      <c r="J43" s="435">
        <f>SUMIF(124:124,I43,125:125)-SUMIF(124:124,C43,125:125)+100</f>
        <v>101</v>
      </c>
      <c r="K43" s="612">
        <v>1</v>
      </c>
      <c r="L43" s="1140"/>
      <c r="M43" s="1131"/>
      <c r="N43" s="1131"/>
      <c r="O43" s="1131"/>
      <c r="P43" s="3285"/>
      <c r="Q43" s="1810" t="str">
        <f t="shared" si="11"/>
        <v>内部装修维护情况</v>
      </c>
      <c r="R43" s="774" t="s">
        <v>17</v>
      </c>
      <c r="S43" s="775">
        <f t="shared" si="12"/>
        <v>101</v>
      </c>
      <c r="T43" s="774" t="s">
        <v>17</v>
      </c>
      <c r="U43" s="775">
        <f t="shared" si="13"/>
        <v>101</v>
      </c>
      <c r="V43" s="774" t="s">
        <v>17</v>
      </c>
      <c r="W43" s="775">
        <f t="shared" si="14"/>
        <v>101</v>
      </c>
      <c r="X43" s="1813"/>
      <c r="Y43" s="3287"/>
      <c r="Z43" s="1814" t="str">
        <f t="shared" si="15"/>
        <v>内部装修维护情况</v>
      </c>
      <c r="AA43" s="1811">
        <f t="shared" si="3"/>
        <v>0.99009900990099009</v>
      </c>
      <c r="AB43" s="1811">
        <f t="shared" si="4"/>
        <v>0.99009900990099009</v>
      </c>
      <c r="AC43" s="1811">
        <f t="shared" si="5"/>
        <v>0.99009900990099009</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5"/>
      <c r="Q44" s="1795">
        <f t="shared" si="11"/>
        <v>111</v>
      </c>
      <c r="R44" s="770" t="s">
        <v>17</v>
      </c>
      <c r="S44" s="771">
        <f t="shared" si="12"/>
        <v>100</v>
      </c>
      <c r="T44" s="770" t="s">
        <v>17</v>
      </c>
      <c r="U44" s="771">
        <f t="shared" si="13"/>
        <v>100</v>
      </c>
      <c r="V44" s="770" t="s">
        <v>17</v>
      </c>
      <c r="W44" s="771">
        <f t="shared" si="14"/>
        <v>100</v>
      </c>
      <c r="X44" s="772"/>
      <c r="Y44" s="3287"/>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5"/>
      <c r="Q45" s="1810">
        <f t="shared" si="11"/>
        <v>111</v>
      </c>
      <c r="R45" s="774" t="s">
        <v>17</v>
      </c>
      <c r="S45" s="775">
        <f t="shared" si="12"/>
        <v>100</v>
      </c>
      <c r="T45" s="774" t="s">
        <v>17</v>
      </c>
      <c r="U45" s="775">
        <f t="shared" si="13"/>
        <v>100</v>
      </c>
      <c r="V45" s="774" t="s">
        <v>17</v>
      </c>
      <c r="W45" s="775">
        <f t="shared" si="14"/>
        <v>100</v>
      </c>
      <c r="X45" s="1813"/>
      <c r="Y45" s="3287"/>
      <c r="Z45" s="1814">
        <f t="shared" si="15"/>
        <v>111</v>
      </c>
      <c r="AA45" s="1811">
        <f t="shared" si="3"/>
        <v>1</v>
      </c>
      <c r="AB45" s="1811">
        <f t="shared" si="4"/>
        <v>1</v>
      </c>
      <c r="AC45" s="1811">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6"/>
      <c r="Q46" s="1810">
        <f t="shared" si="11"/>
        <v>111</v>
      </c>
      <c r="R46" s="774" t="s">
        <v>17</v>
      </c>
      <c r="S46" s="775">
        <f t="shared" si="12"/>
        <v>100</v>
      </c>
      <c r="T46" s="774" t="s">
        <v>17</v>
      </c>
      <c r="U46" s="775">
        <f t="shared" si="13"/>
        <v>100</v>
      </c>
      <c r="V46" s="774" t="s">
        <v>17</v>
      </c>
      <c r="W46" s="775">
        <f t="shared" si="14"/>
        <v>100</v>
      </c>
      <c r="X46" s="1813"/>
      <c r="Y46" s="3288"/>
      <c r="Z46" s="1814">
        <f t="shared" si="15"/>
        <v>111</v>
      </c>
      <c r="AA46" s="1811">
        <f t="shared" si="3"/>
        <v>1</v>
      </c>
      <c r="AB46" s="1811">
        <f t="shared" si="4"/>
        <v>1</v>
      </c>
      <c r="AC46" s="1811">
        <f t="shared" si="5"/>
        <v>1</v>
      </c>
    </row>
    <row r="47" spans="1:29" ht="15">
      <c r="A47" s="479" t="s">
        <v>2568</v>
      </c>
      <c r="B47" s="480"/>
      <c r="C47" s="1407" t="s">
        <v>1</v>
      </c>
      <c r="D47" s="1408"/>
      <c r="E47" s="1409">
        <v>2.2000000000000002</v>
      </c>
      <c r="F47" s="1410"/>
      <c r="G47" s="1411">
        <v>2.6</v>
      </c>
      <c r="H47" s="1412"/>
      <c r="I47" s="1409">
        <v>2.5</v>
      </c>
      <c r="J47" s="1412"/>
      <c r="K47" s="783"/>
      <c r="L47" s="1143"/>
      <c r="M47" s="1144"/>
      <c r="N47" s="1131"/>
      <c r="O47" s="1144"/>
      <c r="P47" s="3280" t="str">
        <f>A47</f>
        <v>成交单价（元/平方米）</v>
      </c>
      <c r="Q47" s="3280"/>
      <c r="R47" s="3275">
        <f>E47</f>
        <v>2.2000000000000002</v>
      </c>
      <c r="S47" s="3275"/>
      <c r="T47" s="3275">
        <f>G47</f>
        <v>2.6</v>
      </c>
      <c r="U47" s="3275"/>
      <c r="V47" s="3275">
        <f>I47</f>
        <v>2.5</v>
      </c>
      <c r="W47" s="3275"/>
      <c r="X47" s="759"/>
      <c r="Y47" s="781"/>
      <c r="Z47" s="759"/>
      <c r="AA47" s="759"/>
      <c r="AB47" s="759"/>
      <c r="AC47" s="759"/>
    </row>
    <row r="48" spans="1:29" ht="15.75" thickBot="1">
      <c r="A48" s="486" t="s">
        <v>2660</v>
      </c>
      <c r="B48" s="487"/>
      <c r="C48" s="1413">
        <f>R49</f>
        <v>2.5</v>
      </c>
      <c r="D48" s="1414"/>
      <c r="E48" s="1415">
        <f>R48</f>
        <v>2.2999999999999998</v>
      </c>
      <c r="F48" s="1415"/>
      <c r="G48" s="1413">
        <f>T48</f>
        <v>2.7</v>
      </c>
      <c r="H48" s="1414"/>
      <c r="I48" s="1415">
        <f>V48</f>
        <v>2.6</v>
      </c>
      <c r="J48" s="1414"/>
      <c r="K48" s="784"/>
      <c r="L48" s="1143"/>
      <c r="M48" s="1144"/>
      <c r="N48" s="1131"/>
      <c r="O48" s="1144"/>
      <c r="P48" s="3280" t="str">
        <f>A48</f>
        <v>比较价值（元/平方米）</v>
      </c>
      <c r="Q48" s="3280"/>
      <c r="R48" s="3281">
        <f>IF(F1="售价",ROUND(PRODUCT(R47,AA7:AA46),0),ROUND(PRODUCT(R47,AA7:AA46),1))</f>
        <v>2.2999999999999998</v>
      </c>
      <c r="S48" s="3281"/>
      <c r="T48" s="3281">
        <f>IF(F1="售价",ROUND(PRODUCT(T47,AB7:AB46),0),ROUND(PRODUCT(T47,AB7:AB46),1))</f>
        <v>2.7</v>
      </c>
      <c r="U48" s="3281"/>
      <c r="V48" s="3281">
        <f>IF(F1="售价",ROUND(PRODUCT(V47,AC7:AC46),0),ROUND(PRODUCT(V47,AC7:AC46),1))</f>
        <v>2.6</v>
      </c>
      <c r="W48" s="3281"/>
      <c r="X48" s="759"/>
      <c r="Y48" s="759"/>
      <c r="Z48" s="759"/>
      <c r="AA48" s="759"/>
      <c r="AB48" s="759"/>
      <c r="AC48" s="759"/>
    </row>
    <row r="49" spans="1:29" ht="15.75" thickBot="1">
      <c r="A49" s="492" t="s">
        <v>3146</v>
      </c>
      <c r="B49" s="493"/>
      <c r="C49" s="1417">
        <f>R49</f>
        <v>2.5</v>
      </c>
      <c r="D49" s="1417"/>
      <c r="E49" s="1417"/>
      <c r="F49" s="1417"/>
      <c r="G49" s="1417"/>
      <c r="H49" s="1417"/>
      <c r="I49" s="1417"/>
      <c r="J49" s="1417"/>
      <c r="K49" s="785"/>
      <c r="L49" s="1143"/>
      <c r="M49" s="1144"/>
      <c r="N49" s="1131"/>
      <c r="O49" s="1144"/>
      <c r="P49" s="3277" t="str">
        <f>A49</f>
        <v>估价对象商业用房的比较价值（楼面单价，元/平方米）</v>
      </c>
      <c r="Q49" s="3278"/>
      <c r="R49" s="3279">
        <f>IF(F1="售价",ROUND(AVERAGE(R48:V48),0),ROUND(AVERAGE(R48:V48),1))</f>
        <v>2.5</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f>IF(E47&lt;E48,E48/E47-1,E47/E48-1)</f>
        <v>4.5454545454545192E-2</v>
      </c>
      <c r="F52" s="500" t="str">
        <f>IF(OR(E52&gt;=0.3,E52&lt;=-0.3),"超过30%","")</f>
        <v/>
      </c>
      <c r="G52" s="499">
        <f>IF(G47&lt;G48,G48/G47-1,G47/G48-1)</f>
        <v>3.8461538461538547E-2</v>
      </c>
      <c r="H52" s="500" t="str">
        <f>IF(OR(G52&gt;=0.3,G52&lt;=-0.3),"超过30%","")</f>
        <v/>
      </c>
      <c r="I52" s="499">
        <f>IF(I47&lt;I48,I48/I47-1,I47/I48-1)</f>
        <v>4.0000000000000036E-2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f>IF(E48&lt;G48,G48/E48-1,E48/G48-1)</f>
        <v>0.17391304347826098</v>
      </c>
      <c r="F53" s="500" t="str">
        <f>IF(OR(E53&gt;=0.2,E53&lt;=-0.2),"超过20%","")</f>
        <v/>
      </c>
      <c r="G53" s="499">
        <f>IF(G48&lt;I48,I48/G48-1,G48/I48-1)</f>
        <v>3.8461538461538547E-2</v>
      </c>
      <c r="H53" s="500" t="str">
        <f>IF(OR(G53&gt;=0.2,G53&lt;=-0.2),"超过20%","")</f>
        <v/>
      </c>
      <c r="I53" s="499">
        <f>IF(I48&lt;E48,E48/I48-1,I48/E48-1)</f>
        <v>0.13043478260869579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f>IF(E47&lt;G47,G47/E47-1,E47/G47-1)</f>
        <v>0.18181818181818166</v>
      </c>
      <c r="F54" s="500" t="str">
        <f>IF(OR(E54&gt;=0.3,E54&lt;=-0.3),"超过30%","")</f>
        <v/>
      </c>
      <c r="G54" s="499">
        <f>IF(G47&lt;I47,I47/G47-1,G47/I47-1)</f>
        <v>4.0000000000000036E-2</v>
      </c>
      <c r="H54" s="500" t="str">
        <f>IF(OR(G54&gt;=0.3,G54&lt;=-0.3),"超过30%","")</f>
        <v/>
      </c>
      <c r="I54" s="499">
        <f>IF(I47&lt;E47,E47/I47-1,I47/E47-1)</f>
        <v>0.13636363636363624</v>
      </c>
      <c r="J54" s="500" t="str">
        <f>IF(OR(I54&gt;=0.3,I54&lt;=-0.3),"超过30%","")</f>
        <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2539</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t="str">
        <f>C9</f>
        <v>商业</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2549</v>
      </c>
      <c r="C67" s="547" t="str">
        <f>C68&amp;"（含）"&amp;"-"&amp;D68</f>
        <v>0（含）-1</v>
      </c>
      <c r="D67" s="547" t="str">
        <f t="shared" ref="D67:L67" si="17">D68&amp;"（含）"&amp;"-"&amp;E68</f>
        <v>1（含）-5</v>
      </c>
      <c r="E67" s="547" t="str">
        <f t="shared" si="17"/>
        <v>5（含）-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v>0</v>
      </c>
      <c r="D68" s="549">
        <v>1</v>
      </c>
      <c r="E68" s="549">
        <v>5</v>
      </c>
      <c r="F68" s="549"/>
      <c r="G68" s="549"/>
      <c r="H68" s="549"/>
      <c r="I68" s="549"/>
      <c r="J68" s="549"/>
      <c r="K68" s="550"/>
      <c r="L68" s="551"/>
      <c r="M68" s="552"/>
      <c r="N68" s="1152"/>
      <c r="O68" s="1152"/>
      <c r="P68" s="2627"/>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2671</v>
      </c>
      <c r="C86" s="3005" t="s">
        <v>3126</v>
      </c>
      <c r="D86" s="3005" t="s">
        <v>3127</v>
      </c>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t="s">
        <v>3128</v>
      </c>
      <c r="D92" s="554"/>
      <c r="E92" s="554"/>
      <c r="F92" s="554"/>
      <c r="G92" s="554"/>
      <c r="H92" s="554"/>
      <c r="I92" s="554"/>
      <c r="J92" s="554"/>
      <c r="K92" s="554"/>
      <c r="L92" s="580"/>
      <c r="M92" s="581"/>
      <c r="N92" s="1152"/>
      <c r="O92" s="1152"/>
      <c r="P92" s="2627"/>
      <c r="Q92" s="504"/>
    </row>
    <row r="93" spans="1:17" ht="15.75" thickBot="1">
      <c r="A93" s="534"/>
      <c r="B93" s="543"/>
      <c r="C93" s="536">
        <v>100</v>
      </c>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2554</v>
      </c>
      <c r="B100" s="528" t="s">
        <v>2672</v>
      </c>
      <c r="C100" s="3006" t="s">
        <v>3131</v>
      </c>
      <c r="D100" s="3006" t="s">
        <v>3133</v>
      </c>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7"/>
      <c r="Q101" s="504"/>
    </row>
    <row r="102" spans="1:17" ht="15.75" thickTop="1">
      <c r="A102" s="534"/>
      <c r="B102" s="538" t="s">
        <v>2604</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8"/>
      <c r="Q103" s="559"/>
    </row>
    <row r="104" spans="1:17" s="471" customFormat="1" ht="15.75" thickBot="1">
      <c r="A104" s="553"/>
      <c r="B104" s="543"/>
      <c r="C104" s="560">
        <v>100</v>
      </c>
      <c r="D104" s="536">
        <v>99</v>
      </c>
      <c r="E104" s="536">
        <v>98</v>
      </c>
      <c r="F104" s="536">
        <v>97</v>
      </c>
      <c r="G104" s="536"/>
      <c r="H104" s="536"/>
      <c r="I104" s="536"/>
      <c r="J104" s="536"/>
      <c r="K104" s="536"/>
      <c r="L104" s="536"/>
      <c r="M104" s="537"/>
      <c r="N104" s="1153"/>
      <c r="O104" s="1153"/>
      <c r="P104" s="2628"/>
      <c r="Q104" s="559"/>
    </row>
    <row r="105" spans="1:17" ht="15" thickTop="1">
      <c r="A105" s="599"/>
      <c r="B105" s="538" t="s">
        <v>2605</v>
      </c>
      <c r="C105" s="3005" t="s">
        <v>3135</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2607</v>
      </c>
      <c r="C107" s="3005" t="s">
        <v>3137</v>
      </c>
      <c r="D107" s="3005" t="s">
        <v>3145</v>
      </c>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7"/>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7"/>
      <c r="Q111" s="504"/>
    </row>
    <row r="112" spans="1:17" s="471" customFormat="1" ht="15" thickTop="1">
      <c r="A112" s="593"/>
      <c r="B112" s="538" t="s">
        <v>2609</v>
      </c>
      <c r="C112" s="3005" t="s">
        <v>3138</v>
      </c>
      <c r="D112" s="3005" t="s">
        <v>3139</v>
      </c>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2673</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2674</v>
      </c>
      <c r="C116" s="3005" t="s">
        <v>3141</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2675</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2611</v>
      </c>
      <c r="C122" s="3005" t="s">
        <v>3142</v>
      </c>
      <c r="D122" s="3005" t="s">
        <v>3144</v>
      </c>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I36" sqref="I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2677</v>
      </c>
      <c r="C1" s="1620" t="s">
        <v>2521</v>
      </c>
      <c r="D1" s="1621" t="s">
        <v>3150</v>
      </c>
      <c r="E1" s="1630"/>
      <c r="F1" s="2581" t="s">
        <v>3159</v>
      </c>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f>IF(C2="——",ROUND(C50*D3/10000,0),ROUND(C50*D3/10000,0)-D2)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2</v>
      </c>
      <c r="C3" s="400" t="s">
        <v>2635</v>
      </c>
      <c r="D3" s="399">
        <f>IF(D1="",'数据-汇总表'!E3,SUMIF('数据-汇总表'!$C19:$C33,D1,'数据-汇总表'!$E19:$E33))</f>
        <v>1108.4000000000001</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300" t="s">
        <v>2642</v>
      </c>
      <c r="Q4" s="3301"/>
      <c r="R4" s="3295" t="s">
        <v>2638</v>
      </c>
      <c r="S4" s="3296"/>
      <c r="T4" s="3295" t="s">
        <v>2639</v>
      </c>
      <c r="U4" s="3296"/>
      <c r="V4" s="3304" t="s">
        <v>2640</v>
      </c>
      <c r="W4" s="3304"/>
      <c r="X4" s="2667"/>
      <c r="Y4" s="3295" t="s">
        <v>2642</v>
      </c>
      <c r="Z4" s="3296"/>
      <c r="AA4" s="3294" t="s">
        <v>2638</v>
      </c>
      <c r="AB4" s="3294" t="s">
        <v>2639</v>
      </c>
      <c r="AC4" s="3297" t="s">
        <v>2640</v>
      </c>
    </row>
    <row r="5" spans="1:29" ht="15">
      <c r="A5" s="404"/>
      <c r="B5" s="405"/>
      <c r="C5" s="3256" t="s">
        <v>2533</v>
      </c>
      <c r="D5" s="3257"/>
      <c r="E5" s="3254" t="s">
        <v>2534</v>
      </c>
      <c r="F5" s="3255"/>
      <c r="G5" s="3256" t="s">
        <v>2535</v>
      </c>
      <c r="H5" s="3257"/>
      <c r="I5" s="3256" t="s">
        <v>2536</v>
      </c>
      <c r="J5" s="3257"/>
      <c r="K5" s="610"/>
      <c r="L5" s="1130"/>
      <c r="M5" s="1131"/>
      <c r="N5" s="1131"/>
      <c r="O5" s="1131"/>
      <c r="P5" s="3302"/>
      <c r="Q5" s="3270"/>
      <c r="R5" s="3252"/>
      <c r="S5" s="3253"/>
      <c r="T5" s="3252"/>
      <c r="U5" s="3253"/>
      <c r="V5" s="3275"/>
      <c r="W5" s="3275"/>
      <c r="X5" s="1813"/>
      <c r="Y5" s="3252"/>
      <c r="Z5" s="3253"/>
      <c r="AA5" s="3246"/>
      <c r="AB5" s="3246"/>
      <c r="AC5" s="3298"/>
    </row>
    <row r="6" spans="1:29" ht="15.75" thickBot="1">
      <c r="A6" s="406"/>
      <c r="B6" s="407"/>
      <c r="C6" s="3291" t="str">
        <f>'比较法（商业1）'!C6:D6</f>
        <v>怀柔区庙城镇郑重庄636号</v>
      </c>
      <c r="D6" s="3259"/>
      <c r="E6" s="3292" t="s">
        <v>3161</v>
      </c>
      <c r="F6" s="3261"/>
      <c r="G6" s="3293" t="s">
        <v>3162</v>
      </c>
      <c r="H6" s="3259"/>
      <c r="I6" s="3293" t="s">
        <v>3163</v>
      </c>
      <c r="J6" s="3259"/>
      <c r="K6" s="610" t="s">
        <v>2538</v>
      </c>
      <c r="L6" s="1130"/>
      <c r="M6" s="1131"/>
      <c r="N6" s="1131"/>
      <c r="O6" s="1131"/>
      <c r="P6" s="3303"/>
      <c r="Q6" s="3272"/>
      <c r="R6" s="3252"/>
      <c r="S6" s="3253"/>
      <c r="T6" s="3273"/>
      <c r="U6" s="3274"/>
      <c r="V6" s="3275"/>
      <c r="W6" s="3275"/>
      <c r="X6" s="1813"/>
      <c r="Y6" s="3273"/>
      <c r="Z6" s="3274"/>
      <c r="AA6" s="3247"/>
      <c r="AB6" s="3247"/>
      <c r="AC6" s="3299"/>
    </row>
    <row r="7" spans="1:29" s="117" customFormat="1" ht="15.75" thickBot="1">
      <c r="A7" s="408" t="s">
        <v>2539</v>
      </c>
      <c r="B7" s="409"/>
      <c r="C7" s="410">
        <f>'数据-取费表'!B2</f>
        <v>43922</v>
      </c>
      <c r="D7" s="411">
        <v>100</v>
      </c>
      <c r="E7" s="412">
        <v>43922</v>
      </c>
      <c r="F7" s="413">
        <f>SUMIF(59:59,YEAR(E7)&amp;"-"&amp;MONTH(E7),60:60)</f>
        <v>100</v>
      </c>
      <c r="G7" s="412">
        <v>43912</v>
      </c>
      <c r="H7" s="411">
        <f>SUMIF(59:59,YEAR(G7)&amp;"-"&amp;MONTH(G7),60:60)</f>
        <v>100</v>
      </c>
      <c r="I7" s="412">
        <v>43908</v>
      </c>
      <c r="J7" s="411">
        <f>SUMIF(59:59,YEAR(I7)&amp;"-"&amp;MONTH(I7),60:60)</f>
        <v>100</v>
      </c>
      <c r="K7" s="611"/>
      <c r="L7" s="1132"/>
      <c r="M7" s="1133"/>
      <c r="N7" s="1133"/>
      <c r="O7" s="1133"/>
      <c r="P7" s="3305" t="s">
        <v>2540</v>
      </c>
      <c r="Q7" s="3276"/>
      <c r="R7" s="770" t="s">
        <v>17</v>
      </c>
      <c r="S7" s="771">
        <f t="shared" ref="S7:S15" si="0">F7</f>
        <v>100</v>
      </c>
      <c r="T7" s="770" t="s">
        <v>17</v>
      </c>
      <c r="U7" s="771">
        <f t="shared" ref="U7:U15" si="1">H7</f>
        <v>100</v>
      </c>
      <c r="V7" s="770" t="s">
        <v>17</v>
      </c>
      <c r="W7" s="771">
        <f t="shared" ref="W7:W15" si="2">J7</f>
        <v>100</v>
      </c>
      <c r="X7" s="772"/>
      <c r="Y7" s="3248" t="s">
        <v>2540</v>
      </c>
      <c r="Z7" s="3249"/>
      <c r="AA7" s="773">
        <f>D7/F7</f>
        <v>1</v>
      </c>
      <c r="AB7" s="773">
        <f>D7/H7</f>
        <v>1</v>
      </c>
      <c r="AC7" s="2668">
        <f>D7/J7</f>
        <v>1</v>
      </c>
    </row>
    <row r="8" spans="1:29" s="117" customFormat="1" ht="15.75" thickBot="1">
      <c r="A8" s="408" t="s">
        <v>2541</v>
      </c>
      <c r="B8" s="409"/>
      <c r="C8" s="414" t="s">
        <v>2643</v>
      </c>
      <c r="D8" s="411">
        <v>100</v>
      </c>
      <c r="E8" s="414" t="s">
        <v>3109</v>
      </c>
      <c r="F8" s="413">
        <f>SUMIF(62:62,E8,63:63)-SUMIF(62:62,C8,63:63)+100</f>
        <v>100</v>
      </c>
      <c r="G8" s="414" t="s">
        <v>3109</v>
      </c>
      <c r="H8" s="411">
        <f>SUMIF(62:62,G8,63:63)-SUMIF(62:62,C8,63:63)+100</f>
        <v>100</v>
      </c>
      <c r="I8" s="414" t="s">
        <v>3109</v>
      </c>
      <c r="J8" s="411">
        <f>SUMIF(62:62,I8,63:63)-SUMIF(62:62,C8,63:63)+100</f>
        <v>100</v>
      </c>
      <c r="K8" s="611"/>
      <c r="L8" s="1132"/>
      <c r="M8" s="1133"/>
      <c r="N8" s="1133"/>
      <c r="O8" s="1133"/>
      <c r="P8" s="3305" t="s">
        <v>2543</v>
      </c>
      <c r="Q8" s="3249"/>
      <c r="R8" s="770" t="s">
        <v>17</v>
      </c>
      <c r="S8" s="771">
        <f t="shared" si="0"/>
        <v>100</v>
      </c>
      <c r="T8" s="770" t="s">
        <v>17</v>
      </c>
      <c r="U8" s="771">
        <f t="shared" si="1"/>
        <v>100</v>
      </c>
      <c r="V8" s="770" t="s">
        <v>17</v>
      </c>
      <c r="W8" s="771">
        <f t="shared" si="2"/>
        <v>100</v>
      </c>
      <c r="X8" s="772"/>
      <c r="Y8" s="3248" t="s">
        <v>2543</v>
      </c>
      <c r="Z8" s="3249"/>
      <c r="AA8" s="773">
        <f t="shared" ref="AA8:AA47" si="3">D8/F8</f>
        <v>1</v>
      </c>
      <c r="AB8" s="773">
        <f t="shared" ref="AB8:AB47" si="4">D8/H8</f>
        <v>1</v>
      </c>
      <c r="AC8" s="2668">
        <f t="shared" ref="AC8:AC47" si="5">D8/J8</f>
        <v>1</v>
      </c>
    </row>
    <row r="9" spans="1:29" s="117" customFormat="1">
      <c r="A9" s="415" t="s">
        <v>2544</v>
      </c>
      <c r="B9" s="71" t="s">
        <v>2545</v>
      </c>
      <c r="C9" s="3001" t="s">
        <v>3152</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62"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2668">
        <f t="shared" si="5"/>
        <v>1</v>
      </c>
    </row>
    <row r="10" spans="1:29" s="427" customFormat="1" ht="27" hidden="1">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2668">
        <f t="shared" si="5"/>
        <v>1</v>
      </c>
    </row>
    <row r="11" spans="1:29" ht="15.75" thickBot="1">
      <c r="A11" s="428"/>
      <c r="B11" s="422" t="s">
        <v>2549</v>
      </c>
      <c r="C11" s="429">
        <f>'比较法（商业1）'!C11</f>
        <v>0.25</v>
      </c>
      <c r="D11" s="136">
        <v>100</v>
      </c>
      <c r="E11" s="429">
        <v>2</v>
      </c>
      <c r="F11" s="136">
        <f>LOOKUP(E11,69:69,70:70)-LOOKUP(C11,69:69,70:70)+100</f>
        <v>95</v>
      </c>
      <c r="G11" s="430">
        <v>2</v>
      </c>
      <c r="H11" s="136">
        <f>LOOKUP(G11,69:69,70:70)-LOOKUP(C11,69:69,70:70)+100</f>
        <v>95</v>
      </c>
      <c r="I11" s="429">
        <v>2</v>
      </c>
      <c r="J11" s="136">
        <f>LOOKUP(I11,69:69,70:70)-LOOKUP(C11,69:69,70:70)+100</f>
        <v>95</v>
      </c>
      <c r="K11" s="612">
        <v>5</v>
      </c>
      <c r="L11" s="1138"/>
      <c r="M11" s="1131"/>
      <c r="N11" s="1131"/>
      <c r="O11" s="1131"/>
      <c r="P11" s="3262"/>
      <c r="Q11" s="1795" t="str">
        <f t="shared" si="6"/>
        <v>容积率</v>
      </c>
      <c r="R11" s="770" t="s">
        <v>17</v>
      </c>
      <c r="S11" s="771">
        <f t="shared" si="0"/>
        <v>95</v>
      </c>
      <c r="T11" s="770" t="s">
        <v>17</v>
      </c>
      <c r="U11" s="771">
        <f t="shared" si="1"/>
        <v>95</v>
      </c>
      <c r="V11" s="770" t="s">
        <v>17</v>
      </c>
      <c r="W11" s="771">
        <f t="shared" si="2"/>
        <v>95</v>
      </c>
      <c r="X11" s="772"/>
      <c r="Y11" s="3085"/>
      <c r="Z11" s="55" t="str">
        <f t="shared" si="7"/>
        <v>容积率</v>
      </c>
      <c r="AA11" s="773">
        <f t="shared" si="3"/>
        <v>1.0526315789473684</v>
      </c>
      <c r="AB11" s="773">
        <f t="shared" si="4"/>
        <v>1.0526315789473684</v>
      </c>
      <c r="AC11" s="2668">
        <f t="shared" si="5"/>
        <v>1.0526315789473684</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62"/>
      <c r="Q14" s="1795">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2668">
        <f t="shared" si="5"/>
        <v>1</v>
      </c>
    </row>
    <row r="15" spans="1:29" ht="57">
      <c r="A15" s="440" t="s">
        <v>2550</v>
      </c>
      <c r="B15" s="629" t="s">
        <v>2678</v>
      </c>
      <c r="C15" s="2670" t="str">
        <f>估价对象房地状况!C5</f>
        <v>估价对象周边办公楼项目较少，入驻率一般，办公集聚程度一般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1</v>
      </c>
      <c r="L15" s="1140"/>
      <c r="M15" s="1131"/>
      <c r="N15" s="1131"/>
      <c r="O15" s="1131"/>
      <c r="P15" s="3289" t="s">
        <v>2551</v>
      </c>
      <c r="Q15" s="1810" t="str">
        <f t="shared" si="6"/>
        <v>办公集聚程度</v>
      </c>
      <c r="R15" s="774" t="s">
        <v>17</v>
      </c>
      <c r="S15" s="775">
        <f t="shared" si="0"/>
        <v>100</v>
      </c>
      <c r="T15" s="774" t="s">
        <v>17</v>
      </c>
      <c r="U15" s="775">
        <f t="shared" si="1"/>
        <v>100</v>
      </c>
      <c r="V15" s="774" t="s">
        <v>17</v>
      </c>
      <c r="W15" s="775">
        <f t="shared" si="2"/>
        <v>100</v>
      </c>
      <c r="X15" s="1813"/>
      <c r="Y15" s="3282" t="s">
        <v>2551</v>
      </c>
      <c r="Z15" s="1814" t="str">
        <f t="shared" si="7"/>
        <v>办公集聚程度</v>
      </c>
      <c r="AA15" s="1811">
        <f t="shared" si="3"/>
        <v>1</v>
      </c>
      <c r="AB15" s="1811">
        <f t="shared" si="4"/>
        <v>1</v>
      </c>
      <c r="AC15" s="2671">
        <f t="shared" si="5"/>
        <v>1</v>
      </c>
    </row>
    <row r="16" spans="1:29" ht="15">
      <c r="A16" s="428"/>
      <c r="B16" s="630"/>
      <c r="C16" s="2608" t="s">
        <v>3120</v>
      </c>
      <c r="D16" s="448"/>
      <c r="E16" s="447" t="s">
        <v>3120</v>
      </c>
      <c r="F16" s="448"/>
      <c r="G16" s="2608" t="s">
        <v>3120</v>
      </c>
      <c r="H16" s="450"/>
      <c r="I16" s="447" t="s">
        <v>3120</v>
      </c>
      <c r="J16" s="448"/>
      <c r="K16" s="615"/>
      <c r="L16" s="1140"/>
      <c r="M16" s="1131"/>
      <c r="N16" s="1131"/>
      <c r="O16" s="1131"/>
      <c r="P16" s="3290"/>
      <c r="Q16" s="1810"/>
      <c r="R16" s="774"/>
      <c r="S16" s="775"/>
      <c r="T16" s="774"/>
      <c r="U16" s="775"/>
      <c r="V16" s="774"/>
      <c r="W16" s="775"/>
      <c r="X16" s="1813"/>
      <c r="Y16" s="3283"/>
      <c r="Z16" s="1814"/>
      <c r="AA16" s="1811">
        <v>1</v>
      </c>
      <c r="AB16" s="1811">
        <v>1</v>
      </c>
      <c r="AC16" s="2671">
        <v>1</v>
      </c>
    </row>
    <row r="17" spans="1:29" ht="99.75">
      <c r="A17" s="428"/>
      <c r="B17" s="631" t="s">
        <v>2088</v>
      </c>
      <c r="C17" s="2672" t="str">
        <f>估价对象房地状况!C6</f>
        <v>估价对象周边有h08路、h40路、h63路、h70路等多条公交线路、项目内可停车，综合评价交通便捷度一般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0"/>
      <c r="Q17" s="1810" t="str">
        <f>B17</f>
        <v>交通便捷度</v>
      </c>
      <c r="R17" s="774" t="s">
        <v>17</v>
      </c>
      <c r="S17" s="775">
        <f>F17</f>
        <v>100</v>
      </c>
      <c r="T17" s="774" t="s">
        <v>17</v>
      </c>
      <c r="U17" s="775">
        <f>H17</f>
        <v>100</v>
      </c>
      <c r="V17" s="774" t="s">
        <v>17</v>
      </c>
      <c r="W17" s="775">
        <f>J17</f>
        <v>100</v>
      </c>
      <c r="X17" s="1813"/>
      <c r="Y17" s="3283"/>
      <c r="Z17" s="1814" t="str">
        <f>Q17</f>
        <v>交通便捷度</v>
      </c>
      <c r="AA17" s="1811">
        <f t="shared" si="3"/>
        <v>1</v>
      </c>
      <c r="AB17" s="1811">
        <f t="shared" si="4"/>
        <v>1</v>
      </c>
      <c r="AC17" s="2671">
        <f t="shared" si="5"/>
        <v>1</v>
      </c>
    </row>
    <row r="18" spans="1:29" ht="15">
      <c r="A18" s="428"/>
      <c r="B18" s="632"/>
      <c r="C18" s="2673" t="s">
        <v>3120</v>
      </c>
      <c r="D18" s="450"/>
      <c r="E18" s="2606" t="s">
        <v>3120</v>
      </c>
      <c r="F18" s="450"/>
      <c r="G18" s="2607" t="s">
        <v>3120</v>
      </c>
      <c r="H18" s="448"/>
      <c r="I18" s="2607" t="s">
        <v>3120</v>
      </c>
      <c r="J18" s="448"/>
      <c r="K18" s="615"/>
      <c r="L18" s="1140"/>
      <c r="M18" s="1131"/>
      <c r="N18" s="1131"/>
      <c r="O18" s="1131"/>
      <c r="P18" s="3290"/>
      <c r="Q18" s="1810"/>
      <c r="R18" s="774"/>
      <c r="S18" s="775"/>
      <c r="T18" s="774"/>
      <c r="U18" s="775"/>
      <c r="V18" s="774"/>
      <c r="W18" s="775"/>
      <c r="X18" s="1813"/>
      <c r="Y18" s="3283"/>
      <c r="Z18" s="1814"/>
      <c r="AA18" s="1811">
        <v>1</v>
      </c>
      <c r="AB18" s="1811">
        <v>1</v>
      </c>
      <c r="AC18" s="2671">
        <v>1</v>
      </c>
    </row>
    <row r="19" spans="1:29" ht="42.75">
      <c r="A19" s="428"/>
      <c r="B19" s="631" t="s">
        <v>2679</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0"/>
      <c r="Q19" s="1810" t="str">
        <f>B19</f>
        <v>公共配套设施</v>
      </c>
      <c r="R19" s="774" t="s">
        <v>17</v>
      </c>
      <c r="S19" s="775">
        <f>F19</f>
        <v>100</v>
      </c>
      <c r="T19" s="774" t="s">
        <v>17</v>
      </c>
      <c r="U19" s="775">
        <f>H19</f>
        <v>100</v>
      </c>
      <c r="V19" s="774" t="s">
        <v>17</v>
      </c>
      <c r="W19" s="775">
        <f>J19</f>
        <v>100</v>
      </c>
      <c r="X19" s="1813"/>
      <c r="Y19" s="3283"/>
      <c r="Z19" s="1814" t="str">
        <f>Q19</f>
        <v>公共配套设施</v>
      </c>
      <c r="AA19" s="1811">
        <f t="shared" si="3"/>
        <v>1</v>
      </c>
      <c r="AB19" s="1811">
        <f t="shared" si="4"/>
        <v>1</v>
      </c>
      <c r="AC19" s="2671">
        <f t="shared" si="5"/>
        <v>1</v>
      </c>
    </row>
    <row r="20" spans="1:29" ht="15">
      <c r="A20" s="428"/>
      <c r="B20" s="632"/>
      <c r="C20" s="2608" t="s">
        <v>3120</v>
      </c>
      <c r="D20" s="448"/>
      <c r="E20" s="2601" t="s">
        <v>3120</v>
      </c>
      <c r="F20" s="448"/>
      <c r="G20" s="2602" t="s">
        <v>3120</v>
      </c>
      <c r="H20" s="448"/>
      <c r="I20" s="2602" t="s">
        <v>3120</v>
      </c>
      <c r="J20" s="448"/>
      <c r="K20" s="615"/>
      <c r="L20" s="1140"/>
      <c r="M20" s="1131"/>
      <c r="N20" s="1131"/>
      <c r="O20" s="1131"/>
      <c r="P20" s="3290"/>
      <c r="Q20" s="1810"/>
      <c r="R20" s="774"/>
      <c r="S20" s="775"/>
      <c r="T20" s="774"/>
      <c r="U20" s="775"/>
      <c r="V20" s="774"/>
      <c r="W20" s="775"/>
      <c r="X20" s="1813"/>
      <c r="Y20" s="3283"/>
      <c r="Z20" s="1814"/>
      <c r="AA20" s="1811">
        <v>1</v>
      </c>
      <c r="AB20" s="1811">
        <v>1</v>
      </c>
      <c r="AC20" s="2671">
        <v>1</v>
      </c>
    </row>
    <row r="21" spans="1:29" ht="15">
      <c r="A21" s="428"/>
      <c r="B21" s="633" t="s">
        <v>2680</v>
      </c>
      <c r="C21" s="2672"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0"/>
      <c r="Q21" s="1810" t="str">
        <f>B21</f>
        <v>基础设施水平</v>
      </c>
      <c r="R21" s="774" t="s">
        <v>17</v>
      </c>
      <c r="S21" s="775">
        <f>F21</f>
        <v>100</v>
      </c>
      <c r="T21" s="774" t="s">
        <v>17</v>
      </c>
      <c r="U21" s="775">
        <f>H21</f>
        <v>100</v>
      </c>
      <c r="V21" s="774" t="s">
        <v>17</v>
      </c>
      <c r="W21" s="775">
        <f>J21</f>
        <v>100</v>
      </c>
      <c r="X21" s="1813"/>
      <c r="Y21" s="3283"/>
      <c r="Z21" s="1814" t="str">
        <f>Q21</f>
        <v>基础设施水平</v>
      </c>
      <c r="AA21" s="1811">
        <f t="shared" ref="AA21" si="8">D21/F21</f>
        <v>1</v>
      </c>
      <c r="AB21" s="1811">
        <f t="shared" ref="AB21" si="9">D21/H21</f>
        <v>1</v>
      </c>
      <c r="AC21" s="2671">
        <f t="shared" ref="AC21" si="10">D21/J21</f>
        <v>1</v>
      </c>
    </row>
    <row r="22" spans="1:29" ht="15">
      <c r="A22" s="428"/>
      <c r="B22" s="633"/>
      <c r="C22" s="2673" t="s">
        <v>3116</v>
      </c>
      <c r="D22" s="448"/>
      <c r="E22" s="447" t="s">
        <v>3116</v>
      </c>
      <c r="F22" s="448"/>
      <c r="G22" s="2608" t="s">
        <v>3116</v>
      </c>
      <c r="H22" s="448"/>
      <c r="I22" s="2608" t="s">
        <v>3116</v>
      </c>
      <c r="J22" s="448"/>
      <c r="K22" s="1383"/>
      <c r="L22" s="1140"/>
      <c r="M22" s="1131"/>
      <c r="N22" s="1131"/>
      <c r="O22" s="1131"/>
      <c r="P22" s="3290"/>
      <c r="Q22" s="1810"/>
      <c r="R22" s="774"/>
      <c r="S22" s="775"/>
      <c r="T22" s="774"/>
      <c r="U22" s="775"/>
      <c r="V22" s="774"/>
      <c r="W22" s="775"/>
      <c r="X22" s="1813"/>
      <c r="Y22" s="3283"/>
      <c r="Z22" s="1814"/>
      <c r="AA22" s="1811">
        <v>1</v>
      </c>
      <c r="AB22" s="1811">
        <v>1</v>
      </c>
      <c r="AC22" s="2671">
        <v>1</v>
      </c>
    </row>
    <row r="23" spans="1:29" ht="71.25">
      <c r="A23" s="428"/>
      <c r="B23" s="631" t="s">
        <v>2681</v>
      </c>
      <c r="C23" s="2672" t="str">
        <f>估价对象房地状况!C9</f>
        <v>区域自然环境：城南公园、怀河；人文环境：郑重庄社区村委会；综合评价环境状况一般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0"/>
      <c r="Q23" s="1810" t="str">
        <f>B23</f>
        <v>环境质量</v>
      </c>
      <c r="R23" s="774" t="s">
        <v>17</v>
      </c>
      <c r="S23" s="775">
        <f>F23</f>
        <v>100</v>
      </c>
      <c r="T23" s="774" t="s">
        <v>17</v>
      </c>
      <c r="U23" s="775">
        <f>H23</f>
        <v>100</v>
      </c>
      <c r="V23" s="774" t="s">
        <v>17</v>
      </c>
      <c r="W23" s="775">
        <f>J23</f>
        <v>100</v>
      </c>
      <c r="X23" s="1813"/>
      <c r="Y23" s="3283"/>
      <c r="Z23" s="1814" t="str">
        <f>Q23</f>
        <v>环境质量</v>
      </c>
      <c r="AA23" s="1811">
        <f t="shared" si="3"/>
        <v>1</v>
      </c>
      <c r="AB23" s="1811">
        <f t="shared" si="4"/>
        <v>1</v>
      </c>
      <c r="AC23" s="2671">
        <f t="shared" si="5"/>
        <v>1</v>
      </c>
    </row>
    <row r="24" spans="1:29" ht="15.75" thickBot="1">
      <c r="A24" s="428"/>
      <c r="B24" s="633"/>
      <c r="C24" s="2608" t="s">
        <v>3120</v>
      </c>
      <c r="D24" s="448"/>
      <c r="E24" s="2601" t="s">
        <v>3120</v>
      </c>
      <c r="F24" s="448"/>
      <c r="G24" s="2602" t="s">
        <v>3120</v>
      </c>
      <c r="H24" s="448"/>
      <c r="I24" s="2602" t="s">
        <v>3120</v>
      </c>
      <c r="J24" s="448"/>
      <c r="K24" s="615"/>
      <c r="L24" s="1140"/>
      <c r="M24" s="1131"/>
      <c r="N24" s="1131"/>
      <c r="O24" s="1131"/>
      <c r="P24" s="3290"/>
      <c r="Q24" s="1810"/>
      <c r="R24" s="774"/>
      <c r="S24" s="775"/>
      <c r="T24" s="774"/>
      <c r="U24" s="775"/>
      <c r="V24" s="774"/>
      <c r="W24" s="775"/>
      <c r="X24" s="1813"/>
      <c r="Y24" s="3283"/>
      <c r="Z24" s="1814"/>
      <c r="AA24" s="1811">
        <v>1</v>
      </c>
      <c r="AB24" s="1811">
        <v>1</v>
      </c>
      <c r="AC24" s="2671">
        <v>1</v>
      </c>
    </row>
    <row r="25" spans="1:29" ht="27" hidden="1">
      <c r="A25" s="404"/>
      <c r="B25" s="631" t="s">
        <v>2682</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90"/>
      <c r="Q25" s="1810" t="str">
        <f>B25</f>
        <v>毗邻道路的类型与等级</v>
      </c>
      <c r="R25" s="774" t="s">
        <v>17</v>
      </c>
      <c r="S25" s="775">
        <f>F25</f>
        <v>100</v>
      </c>
      <c r="T25" s="774" t="s">
        <v>17</v>
      </c>
      <c r="U25" s="775">
        <f>H25</f>
        <v>100</v>
      </c>
      <c r="V25" s="774" t="s">
        <v>17</v>
      </c>
      <c r="W25" s="775">
        <f>J25</f>
        <v>100</v>
      </c>
      <c r="X25" s="1813"/>
      <c r="Y25" s="3283"/>
      <c r="Z25" s="1814" t="str">
        <f>Q25</f>
        <v>毗邻道路的类型与等级</v>
      </c>
      <c r="AA25" s="1811">
        <f t="shared" si="3"/>
        <v>1</v>
      </c>
      <c r="AB25" s="1811">
        <f t="shared" si="4"/>
        <v>1</v>
      </c>
      <c r="AC25" s="2671">
        <f t="shared" si="5"/>
        <v>1</v>
      </c>
    </row>
    <row r="26" spans="1:29" ht="15" hidden="1">
      <c r="A26" s="404"/>
      <c r="B26" s="632"/>
      <c r="C26" s="634"/>
      <c r="D26" s="435"/>
      <c r="E26" s="616"/>
      <c r="F26" s="435"/>
      <c r="G26" s="634"/>
      <c r="H26" s="435"/>
      <c r="I26" s="616"/>
      <c r="J26" s="435"/>
      <c r="K26" s="615"/>
      <c r="L26" s="1140"/>
      <c r="M26" s="1131"/>
      <c r="N26" s="1131"/>
      <c r="O26" s="1131"/>
      <c r="P26" s="3290"/>
      <c r="Q26" s="1810"/>
      <c r="R26" s="774"/>
      <c r="S26" s="775"/>
      <c r="T26" s="774"/>
      <c r="U26" s="775"/>
      <c r="V26" s="774"/>
      <c r="W26" s="775"/>
      <c r="X26" s="1813"/>
      <c r="Y26" s="3283"/>
      <c r="Z26" s="1814"/>
      <c r="AA26" s="1811">
        <v>1</v>
      </c>
      <c r="AB26" s="1811">
        <v>1</v>
      </c>
      <c r="AC26" s="2671">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0"/>
      <c r="Q27" s="1810" t="str">
        <f t="shared" ref="Q27:Q47" si="11">B27</f>
        <v>楼层</v>
      </c>
      <c r="R27" s="774" t="s">
        <v>17</v>
      </c>
      <c r="S27" s="775">
        <f>F27</f>
        <v>100</v>
      </c>
      <c r="T27" s="774" t="s">
        <v>17</v>
      </c>
      <c r="U27" s="775">
        <f>H27</f>
        <v>100</v>
      </c>
      <c r="V27" s="774" t="s">
        <v>17</v>
      </c>
      <c r="W27" s="775">
        <f>J27</f>
        <v>100</v>
      </c>
      <c r="X27" s="1813"/>
      <c r="Y27" s="3283"/>
      <c r="Z27" s="1814" t="str">
        <f>Q27</f>
        <v>楼层</v>
      </c>
      <c r="AA27" s="1811">
        <f t="shared" si="3"/>
        <v>1</v>
      </c>
      <c r="AB27" s="1811">
        <f t="shared" si="4"/>
        <v>1</v>
      </c>
      <c r="AC27" s="2671">
        <f t="shared" si="5"/>
        <v>1</v>
      </c>
    </row>
    <row r="28" spans="1:29" s="117" customFormat="1" ht="15" hidden="1">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90"/>
      <c r="Q28" s="1795" t="str">
        <f t="shared" si="11"/>
        <v>朝向</v>
      </c>
      <c r="R28" s="770" t="s">
        <v>17</v>
      </c>
      <c r="S28" s="771">
        <f>F28</f>
        <v>100</v>
      </c>
      <c r="T28" s="770" t="s">
        <v>17</v>
      </c>
      <c r="U28" s="771">
        <f>H28</f>
        <v>100</v>
      </c>
      <c r="V28" s="770" t="s">
        <v>17</v>
      </c>
      <c r="W28" s="771">
        <f>J28</f>
        <v>100</v>
      </c>
      <c r="X28" s="772"/>
      <c r="Y28" s="3283"/>
      <c r="Z28" s="55" t="str">
        <f>Q28</f>
        <v>朝向</v>
      </c>
      <c r="AA28" s="1811">
        <f>D28/F28</f>
        <v>1</v>
      </c>
      <c r="AB28" s="1811">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90"/>
      <c r="Q29" s="1810">
        <f t="shared" si="11"/>
        <v>111</v>
      </c>
      <c r="R29" s="774" t="s">
        <v>17</v>
      </c>
      <c r="S29" s="775">
        <f t="shared" ref="S29:S47" si="12">F29</f>
        <v>100</v>
      </c>
      <c r="T29" s="774" t="s">
        <v>17</v>
      </c>
      <c r="U29" s="775">
        <f t="shared" ref="U29:U47" si="13">H29</f>
        <v>100</v>
      </c>
      <c r="V29" s="774" t="s">
        <v>17</v>
      </c>
      <c r="W29" s="775">
        <f t="shared" ref="W29:W47" si="14">J29</f>
        <v>100</v>
      </c>
      <c r="X29" s="1813"/>
      <c r="Y29" s="3283"/>
      <c r="Z29" s="1814">
        <f t="shared" ref="Z29:Z47" si="15">Q29</f>
        <v>111</v>
      </c>
      <c r="AA29" s="1811">
        <f t="shared" si="3"/>
        <v>1</v>
      </c>
      <c r="AB29" s="1811">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90"/>
      <c r="Q30" s="1810">
        <f t="shared" si="11"/>
        <v>111</v>
      </c>
      <c r="R30" s="774" t="s">
        <v>17</v>
      </c>
      <c r="S30" s="775">
        <f t="shared" si="12"/>
        <v>100</v>
      </c>
      <c r="T30" s="774" t="s">
        <v>17</v>
      </c>
      <c r="U30" s="775">
        <f t="shared" si="13"/>
        <v>100</v>
      </c>
      <c r="V30" s="774" t="s">
        <v>17</v>
      </c>
      <c r="W30" s="775">
        <f t="shared" si="14"/>
        <v>100</v>
      </c>
      <c r="X30" s="1813"/>
      <c r="Y30" s="3283"/>
      <c r="Z30" s="1814">
        <f t="shared" si="15"/>
        <v>111</v>
      </c>
      <c r="AA30" s="1811">
        <f t="shared" si="3"/>
        <v>1</v>
      </c>
      <c r="AB30" s="1811">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90"/>
      <c r="Q31" s="1810">
        <f t="shared" si="11"/>
        <v>111</v>
      </c>
      <c r="R31" s="774" t="s">
        <v>17</v>
      </c>
      <c r="S31" s="775">
        <f t="shared" si="12"/>
        <v>100</v>
      </c>
      <c r="T31" s="774" t="s">
        <v>17</v>
      </c>
      <c r="U31" s="775">
        <f t="shared" si="13"/>
        <v>100</v>
      </c>
      <c r="V31" s="774" t="s">
        <v>17</v>
      </c>
      <c r="W31" s="775">
        <f t="shared" si="14"/>
        <v>100</v>
      </c>
      <c r="X31" s="1813"/>
      <c r="Y31" s="3283"/>
      <c r="Z31" s="1814">
        <f t="shared" si="15"/>
        <v>111</v>
      </c>
      <c r="AA31" s="1811">
        <f t="shared" si="3"/>
        <v>1</v>
      </c>
      <c r="AB31" s="1811">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90"/>
      <c r="Q32" s="1810">
        <f t="shared" si="11"/>
        <v>111</v>
      </c>
      <c r="R32" s="774" t="s">
        <v>17</v>
      </c>
      <c r="S32" s="775">
        <f t="shared" si="12"/>
        <v>100</v>
      </c>
      <c r="T32" s="774" t="s">
        <v>17</v>
      </c>
      <c r="U32" s="775">
        <f t="shared" si="13"/>
        <v>100</v>
      </c>
      <c r="V32" s="774" t="s">
        <v>17</v>
      </c>
      <c r="W32" s="775">
        <f t="shared" si="14"/>
        <v>100</v>
      </c>
      <c r="X32" s="1813"/>
      <c r="Y32" s="3283"/>
      <c r="Z32" s="1814">
        <f t="shared" si="15"/>
        <v>111</v>
      </c>
      <c r="AA32" s="1811">
        <f t="shared" si="3"/>
        <v>1</v>
      </c>
      <c r="AB32" s="1811">
        <f t="shared" si="4"/>
        <v>1</v>
      </c>
      <c r="AC32" s="2671">
        <f t="shared" si="5"/>
        <v>1</v>
      </c>
    </row>
    <row r="33" spans="1:29" ht="15">
      <c r="A33" s="440" t="s">
        <v>2554</v>
      </c>
      <c r="B33" s="71" t="s">
        <v>2684</v>
      </c>
      <c r="C33" s="2676" t="s">
        <v>3054</v>
      </c>
      <c r="D33" s="467">
        <v>100</v>
      </c>
      <c r="E33" s="2676" t="s">
        <v>3056</v>
      </c>
      <c r="F33" s="461">
        <f>SUMIF(101:101,E33,102:102)-SUMIF(101:101,C33,102:102)+100</f>
        <v>100</v>
      </c>
      <c r="G33" s="2676" t="s">
        <v>3056</v>
      </c>
      <c r="H33" s="435">
        <f>SUMIF(101:101,G33,102:102)-SUMIF(101:101,C33,102:102)+100</f>
        <v>100</v>
      </c>
      <c r="I33" s="2676" t="s">
        <v>3056</v>
      </c>
      <c r="J33" s="467">
        <f>SUMIF(101:101,I33,102:102)-SUMIF(101:101,C33,102:102)+100</f>
        <v>100</v>
      </c>
      <c r="K33" s="612">
        <v>0</v>
      </c>
      <c r="L33" s="1140"/>
      <c r="M33" s="1131"/>
      <c r="N33" s="1131"/>
      <c r="O33" s="1131"/>
      <c r="P33" s="3284" t="s">
        <v>2556</v>
      </c>
      <c r="Q33" s="1810" t="str">
        <f t="shared" si="11"/>
        <v>建筑类型</v>
      </c>
      <c r="R33" s="774" t="s">
        <v>17</v>
      </c>
      <c r="S33" s="775">
        <f t="shared" si="12"/>
        <v>100</v>
      </c>
      <c r="T33" s="774" t="s">
        <v>17</v>
      </c>
      <c r="U33" s="775">
        <f t="shared" si="13"/>
        <v>100</v>
      </c>
      <c r="V33" s="774" t="s">
        <v>17</v>
      </c>
      <c r="W33" s="775">
        <f t="shared" si="14"/>
        <v>100</v>
      </c>
      <c r="X33" s="1813"/>
      <c r="Y33" s="3287" t="s">
        <v>2556</v>
      </c>
      <c r="Z33" s="1814" t="str">
        <f t="shared" si="15"/>
        <v>建筑类型</v>
      </c>
      <c r="AA33" s="1811">
        <f t="shared" si="3"/>
        <v>1</v>
      </c>
      <c r="AB33" s="1811">
        <f t="shared" si="4"/>
        <v>1</v>
      </c>
      <c r="AC33" s="2671">
        <f t="shared" si="5"/>
        <v>1</v>
      </c>
    </row>
    <row r="34" spans="1:29" s="471" customFormat="1" ht="15">
      <c r="A34" s="468"/>
      <c r="B34" s="422" t="s">
        <v>2557</v>
      </c>
      <c r="C34" s="469">
        <f>'数据-基础表'!M5</f>
        <v>1108.4000000000001</v>
      </c>
      <c r="D34" s="136">
        <v>100</v>
      </c>
      <c r="E34" s="430">
        <v>100</v>
      </c>
      <c r="F34" s="425">
        <f>LOOKUP(E34,104:104,105:105)-LOOKUP(C34,104:104,105:105)+100</f>
        <v>101</v>
      </c>
      <c r="G34" s="429">
        <v>870</v>
      </c>
      <c r="H34" s="136">
        <f>LOOKUP(G34,104:104,105:105)-LOOKUP(C34,104:104,105:105)+100</f>
        <v>100</v>
      </c>
      <c r="I34" s="429">
        <v>32</v>
      </c>
      <c r="J34" s="136">
        <f>LOOKUP(I34,104:104,105:105)-LOOKUP(C34,104:104,105:105)+100</f>
        <v>101</v>
      </c>
      <c r="K34" s="613"/>
      <c r="L34" s="1138"/>
      <c r="M34" s="1141"/>
      <c r="N34" s="1141"/>
      <c r="O34" s="1141"/>
      <c r="P34" s="3285"/>
      <c r="Q34" s="776" t="str">
        <f t="shared" si="11"/>
        <v>项目建筑规模</v>
      </c>
      <c r="R34" s="777" t="s">
        <v>17</v>
      </c>
      <c r="S34" s="778">
        <f t="shared" si="12"/>
        <v>101</v>
      </c>
      <c r="T34" s="777" t="s">
        <v>17</v>
      </c>
      <c r="U34" s="778">
        <f t="shared" si="13"/>
        <v>100</v>
      </c>
      <c r="V34" s="777" t="s">
        <v>17</v>
      </c>
      <c r="W34" s="778">
        <f t="shared" si="14"/>
        <v>101</v>
      </c>
      <c r="X34" s="779"/>
      <c r="Y34" s="3287"/>
      <c r="Z34" s="780" t="str">
        <f t="shared" si="15"/>
        <v>项目建筑规模</v>
      </c>
      <c r="AA34" s="1811">
        <f t="shared" si="3"/>
        <v>0.99009900990099009</v>
      </c>
      <c r="AB34" s="1811">
        <f t="shared" si="4"/>
        <v>1</v>
      </c>
      <c r="AC34" s="2671">
        <f t="shared" si="5"/>
        <v>0.99009900990099009</v>
      </c>
    </row>
    <row r="35" spans="1:29" ht="15" hidden="1">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5"/>
      <c r="Q35" s="1810" t="str">
        <f t="shared" si="11"/>
        <v>建筑结构</v>
      </c>
      <c r="R35" s="774" t="s">
        <v>17</v>
      </c>
      <c r="S35" s="775">
        <f t="shared" si="12"/>
        <v>100</v>
      </c>
      <c r="T35" s="774" t="s">
        <v>17</v>
      </c>
      <c r="U35" s="775">
        <f t="shared" si="13"/>
        <v>100</v>
      </c>
      <c r="V35" s="774" t="s">
        <v>17</v>
      </c>
      <c r="W35" s="775">
        <f t="shared" si="14"/>
        <v>100</v>
      </c>
      <c r="X35" s="1813"/>
      <c r="Y35" s="3287"/>
      <c r="Z35" s="1814" t="str">
        <f t="shared" si="15"/>
        <v>建筑结构</v>
      </c>
      <c r="AA35" s="1811">
        <f t="shared" si="3"/>
        <v>1</v>
      </c>
      <c r="AB35" s="1811">
        <f t="shared" si="4"/>
        <v>1</v>
      </c>
      <c r="AC35" s="2671">
        <f t="shared" si="5"/>
        <v>1</v>
      </c>
    </row>
    <row r="36" spans="1:29" ht="15">
      <c r="A36" s="472"/>
      <c r="B36" s="422" t="s">
        <v>2652</v>
      </c>
      <c r="C36" s="460" t="s">
        <v>3143</v>
      </c>
      <c r="D36" s="435">
        <v>100</v>
      </c>
      <c r="E36" s="460" t="s">
        <v>3143</v>
      </c>
      <c r="F36" s="461">
        <f>SUMIF(108:108,E36,109:109)-SUMIF(108:108,C36,109:109)+100</f>
        <v>100</v>
      </c>
      <c r="G36" s="460" t="s">
        <v>3143</v>
      </c>
      <c r="H36" s="435">
        <f>SUMIF(108:108,G36,109:109)-SUMIF(108:108,C36,109:109)+100</f>
        <v>100</v>
      </c>
      <c r="I36" s="460" t="s">
        <v>3143</v>
      </c>
      <c r="J36" s="435">
        <f>SUMIF(108:108,I36,109:109)-SUMIF(108:108,C36,109:109)+100</f>
        <v>100</v>
      </c>
      <c r="K36" s="612">
        <v>1</v>
      </c>
      <c r="L36" s="1140"/>
      <c r="M36" s="1131"/>
      <c r="N36" s="1131"/>
      <c r="O36" s="1131"/>
      <c r="P36" s="3285"/>
      <c r="Q36" s="1810" t="str">
        <f t="shared" si="11"/>
        <v>公共部分装修</v>
      </c>
      <c r="R36" s="774" t="s">
        <v>17</v>
      </c>
      <c r="S36" s="775">
        <f t="shared" si="12"/>
        <v>100</v>
      </c>
      <c r="T36" s="774" t="s">
        <v>17</v>
      </c>
      <c r="U36" s="775">
        <f t="shared" si="13"/>
        <v>100</v>
      </c>
      <c r="V36" s="774" t="s">
        <v>17</v>
      </c>
      <c r="W36" s="775">
        <f t="shared" si="14"/>
        <v>100</v>
      </c>
      <c r="X36" s="1813"/>
      <c r="Y36" s="3287"/>
      <c r="Z36" s="1814" t="str">
        <f t="shared" si="15"/>
        <v>公共部分装修</v>
      </c>
      <c r="AA36" s="1811">
        <f t="shared" si="3"/>
        <v>1</v>
      </c>
      <c r="AB36" s="1811">
        <f t="shared" si="4"/>
        <v>1</v>
      </c>
      <c r="AC36" s="2671">
        <f t="shared" si="5"/>
        <v>1</v>
      </c>
    </row>
    <row r="37" spans="1:29" ht="15">
      <c r="A37" s="472"/>
      <c r="B37" s="422" t="s">
        <v>2653</v>
      </c>
      <c r="C37" s="474">
        <v>0.6</v>
      </c>
      <c r="D37" s="435">
        <v>100</v>
      </c>
      <c r="E37" s="474">
        <v>0.7</v>
      </c>
      <c r="F37" s="461">
        <f>LOOKUP(E37,111:111,112:112)-LOOKUP(C37,111:111,112:112)+100</f>
        <v>101</v>
      </c>
      <c r="G37" s="474">
        <v>0.7</v>
      </c>
      <c r="H37" s="461">
        <f>LOOKUP(G37,111:111,112:112)-LOOKUP(C37,111:111,112:112)+100</f>
        <v>101</v>
      </c>
      <c r="I37" s="474">
        <v>0.7</v>
      </c>
      <c r="J37" s="435">
        <f>LOOKUP(I37,111:111,112:112)-LOOKUP(C37,111:111,112:112)+100</f>
        <v>101</v>
      </c>
      <c r="K37" s="612">
        <v>1</v>
      </c>
      <c r="L37" s="1140"/>
      <c r="M37" s="1131"/>
      <c r="N37" s="1131"/>
      <c r="O37" s="1131"/>
      <c r="P37" s="3285"/>
      <c r="Q37" s="1810" t="str">
        <f t="shared" si="11"/>
        <v>成新度</v>
      </c>
      <c r="R37" s="774" t="s">
        <v>17</v>
      </c>
      <c r="S37" s="775">
        <f t="shared" si="12"/>
        <v>101</v>
      </c>
      <c r="T37" s="774" t="s">
        <v>17</v>
      </c>
      <c r="U37" s="775">
        <f t="shared" si="13"/>
        <v>101</v>
      </c>
      <c r="V37" s="774" t="s">
        <v>17</v>
      </c>
      <c r="W37" s="775">
        <f t="shared" si="14"/>
        <v>101</v>
      </c>
      <c r="X37" s="1813"/>
      <c r="Y37" s="3287"/>
      <c r="Z37" s="1814" t="str">
        <f t="shared" si="15"/>
        <v>成新度</v>
      </c>
      <c r="AA37" s="1811">
        <f t="shared" si="3"/>
        <v>0.99009900990099009</v>
      </c>
      <c r="AB37" s="1811">
        <f t="shared" si="4"/>
        <v>0.99009900990099009</v>
      </c>
      <c r="AC37" s="2671">
        <f t="shared" si="5"/>
        <v>0.99009900990099009</v>
      </c>
    </row>
    <row r="38" spans="1:29" s="117" customFormat="1" ht="15" hidden="1">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5"/>
      <c r="Q38" s="1795" t="str">
        <f t="shared" si="11"/>
        <v>写字楼等级</v>
      </c>
      <c r="R38" s="770" t="s">
        <v>17</v>
      </c>
      <c r="S38" s="771">
        <f t="shared" si="12"/>
        <v>100</v>
      </c>
      <c r="T38" s="770" t="s">
        <v>17</v>
      </c>
      <c r="U38" s="771">
        <f t="shared" si="13"/>
        <v>100</v>
      </c>
      <c r="V38" s="770" t="s">
        <v>17</v>
      </c>
      <c r="W38" s="771">
        <f t="shared" si="14"/>
        <v>100</v>
      </c>
      <c r="X38" s="772"/>
      <c r="Y38" s="3287"/>
      <c r="Z38" s="55" t="str">
        <f t="shared" si="15"/>
        <v>写字楼等级</v>
      </c>
      <c r="AA38" s="773">
        <f t="shared" si="3"/>
        <v>1</v>
      </c>
      <c r="AB38" s="773">
        <f t="shared" si="4"/>
        <v>1</v>
      </c>
      <c r="AC38" s="2668">
        <f t="shared" si="5"/>
        <v>1</v>
      </c>
    </row>
    <row r="39" spans="1:29" ht="15" hidden="1">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5" t="s">
        <v>2556</v>
      </c>
      <c r="Q39" s="1810" t="str">
        <f t="shared" si="11"/>
        <v>物业管理</v>
      </c>
      <c r="R39" s="774" t="s">
        <v>17</v>
      </c>
      <c r="S39" s="775">
        <f t="shared" si="12"/>
        <v>100</v>
      </c>
      <c r="T39" s="774" t="s">
        <v>17</v>
      </c>
      <c r="U39" s="775">
        <f t="shared" si="13"/>
        <v>100</v>
      </c>
      <c r="V39" s="774" t="s">
        <v>17</v>
      </c>
      <c r="W39" s="775">
        <f t="shared" si="14"/>
        <v>100</v>
      </c>
      <c r="X39" s="1813"/>
      <c r="Y39" s="3287" t="s">
        <v>2556</v>
      </c>
      <c r="Z39" s="1814" t="str">
        <f t="shared" si="15"/>
        <v>物业管理</v>
      </c>
      <c r="AA39" s="1811">
        <f t="shared" si="3"/>
        <v>1</v>
      </c>
      <c r="AB39" s="1811">
        <f t="shared" si="4"/>
        <v>1</v>
      </c>
      <c r="AC39" s="2671">
        <f t="shared" si="5"/>
        <v>1</v>
      </c>
    </row>
    <row r="40" spans="1:29" ht="15" hidden="1">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5"/>
      <c r="Q40" s="1810" t="str">
        <f t="shared" si="11"/>
        <v>市政基础设施</v>
      </c>
      <c r="R40" s="774" t="s">
        <v>17</v>
      </c>
      <c r="S40" s="775">
        <f t="shared" si="12"/>
        <v>100</v>
      </c>
      <c r="T40" s="774" t="s">
        <v>17</v>
      </c>
      <c r="U40" s="775">
        <f t="shared" si="13"/>
        <v>100</v>
      </c>
      <c r="V40" s="774" t="s">
        <v>17</v>
      </c>
      <c r="W40" s="775">
        <f t="shared" si="14"/>
        <v>100</v>
      </c>
      <c r="X40" s="1813"/>
      <c r="Y40" s="3287"/>
      <c r="Z40" s="1814" t="str">
        <f t="shared" si="15"/>
        <v>市政基础设施</v>
      </c>
      <c r="AA40" s="1811">
        <f t="shared" si="3"/>
        <v>1</v>
      </c>
      <c r="AB40" s="1811">
        <f t="shared" si="4"/>
        <v>1</v>
      </c>
      <c r="AC40" s="2671">
        <f t="shared" si="5"/>
        <v>1</v>
      </c>
    </row>
    <row r="41" spans="1:29" ht="15">
      <c r="A41" s="472"/>
      <c r="B41" s="422" t="s">
        <v>2656</v>
      </c>
      <c r="C41" s="616" t="s">
        <v>3140</v>
      </c>
      <c r="D41" s="435">
        <v>100</v>
      </c>
      <c r="E41" s="616" t="s">
        <v>3140</v>
      </c>
      <c r="F41" s="461">
        <f>SUMIF(119:119,E41,120:120)-SUMIF(119:119,C41,120:120)+100</f>
        <v>100</v>
      </c>
      <c r="G41" s="616" t="s">
        <v>3140</v>
      </c>
      <c r="H41" s="435">
        <f>SUMIF(119:119,G41,120:120)-SUMIF(119:119,C41,120:120)+100</f>
        <v>100</v>
      </c>
      <c r="I41" s="616" t="s">
        <v>3140</v>
      </c>
      <c r="J41" s="435">
        <f>SUMIF(119:119,I41,120:120)-SUMIF(119:119,C41,120:120)+100</f>
        <v>100</v>
      </c>
      <c r="K41" s="612"/>
      <c r="L41" s="1140"/>
      <c r="M41" s="1131"/>
      <c r="N41" s="1131"/>
      <c r="O41" s="1131"/>
      <c r="P41" s="3285"/>
      <c r="Q41" s="1810" t="str">
        <f t="shared" si="11"/>
        <v>层高</v>
      </c>
      <c r="R41" s="774" t="s">
        <v>17</v>
      </c>
      <c r="S41" s="775">
        <f t="shared" si="12"/>
        <v>100</v>
      </c>
      <c r="T41" s="774" t="s">
        <v>17</v>
      </c>
      <c r="U41" s="775">
        <f t="shared" si="13"/>
        <v>100</v>
      </c>
      <c r="V41" s="774" t="s">
        <v>17</v>
      </c>
      <c r="W41" s="775">
        <f t="shared" si="14"/>
        <v>100</v>
      </c>
      <c r="X41" s="1813"/>
      <c r="Y41" s="3287"/>
      <c r="Z41" s="1814" t="str">
        <f t="shared" si="15"/>
        <v>层高</v>
      </c>
      <c r="AA41" s="1811">
        <f t="shared" si="3"/>
        <v>1</v>
      </c>
      <c r="AB41" s="1811">
        <f t="shared" si="4"/>
        <v>1</v>
      </c>
      <c r="AC41" s="2671">
        <f t="shared" si="5"/>
        <v>1</v>
      </c>
    </row>
    <row r="42" spans="1:29" s="471" customFormat="1" ht="15" hidden="1">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5"/>
      <c r="Q42" s="776" t="str">
        <f t="shared" si="11"/>
        <v>单套建筑面积</v>
      </c>
      <c r="R42" s="777" t="s">
        <v>17</v>
      </c>
      <c r="S42" s="778">
        <f t="shared" si="12"/>
        <v>100</v>
      </c>
      <c r="T42" s="777" t="s">
        <v>17</v>
      </c>
      <c r="U42" s="778">
        <f t="shared" si="13"/>
        <v>100</v>
      </c>
      <c r="V42" s="777" t="s">
        <v>17</v>
      </c>
      <c r="W42" s="778">
        <f t="shared" si="14"/>
        <v>100</v>
      </c>
      <c r="X42" s="779"/>
      <c r="Y42" s="3287"/>
      <c r="Z42" s="780" t="str">
        <f t="shared" si="15"/>
        <v>单套建筑面积</v>
      </c>
      <c r="AA42" s="1811">
        <f t="shared" si="3"/>
        <v>1</v>
      </c>
      <c r="AB42" s="1811">
        <f t="shared" si="4"/>
        <v>1</v>
      </c>
      <c r="AC42" s="2671">
        <f t="shared" si="5"/>
        <v>1</v>
      </c>
    </row>
    <row r="43" spans="1:29" ht="15">
      <c r="A43" s="472"/>
      <c r="B43" s="422" t="s">
        <v>2659</v>
      </c>
      <c r="C43" s="460" t="s">
        <v>3143</v>
      </c>
      <c r="D43" s="435">
        <v>100</v>
      </c>
      <c r="E43" s="460" t="s">
        <v>3143</v>
      </c>
      <c r="F43" s="461">
        <f>SUMIF(123:123,E43,124:124)-SUMIF(123:123,C43,124:124)+100</f>
        <v>100</v>
      </c>
      <c r="G43" s="460" t="s">
        <v>3136</v>
      </c>
      <c r="H43" s="435">
        <f>SUMIF(123:123,G43,124:124)-SUMIF(123:123,C43,124:124)+100</f>
        <v>102</v>
      </c>
      <c r="I43" s="460" t="s">
        <v>3136</v>
      </c>
      <c r="J43" s="435">
        <f>SUMIF(123:123,I43,124:124)-SUMIF(123:123,C43,124:124)+100</f>
        <v>102</v>
      </c>
      <c r="K43" s="612">
        <v>2</v>
      </c>
      <c r="L43" s="1140"/>
      <c r="M43" s="1131"/>
      <c r="N43" s="1131"/>
      <c r="O43" s="1131"/>
      <c r="P43" s="3285"/>
      <c r="Q43" s="1810" t="str">
        <f t="shared" si="11"/>
        <v>内部装修</v>
      </c>
      <c r="R43" s="774" t="s">
        <v>17</v>
      </c>
      <c r="S43" s="775">
        <f t="shared" si="12"/>
        <v>100</v>
      </c>
      <c r="T43" s="774" t="s">
        <v>17</v>
      </c>
      <c r="U43" s="775">
        <f t="shared" si="13"/>
        <v>102</v>
      </c>
      <c r="V43" s="774" t="s">
        <v>17</v>
      </c>
      <c r="W43" s="775">
        <f t="shared" si="14"/>
        <v>102</v>
      </c>
      <c r="X43" s="1813"/>
      <c r="Y43" s="3287"/>
      <c r="Z43" s="1814" t="str">
        <f t="shared" si="15"/>
        <v>内部装修</v>
      </c>
      <c r="AA43" s="1811">
        <f t="shared" si="3"/>
        <v>1</v>
      </c>
      <c r="AB43" s="1811">
        <f t="shared" si="4"/>
        <v>0.98039215686274506</v>
      </c>
      <c r="AC43" s="2671">
        <f t="shared" si="5"/>
        <v>0.98039215686274506</v>
      </c>
    </row>
    <row r="44" spans="1:29" ht="15.75" thickBot="1">
      <c r="A44" s="472"/>
      <c r="B44" s="422" t="s">
        <v>2567</v>
      </c>
      <c r="C44" s="460" t="s">
        <v>3120</v>
      </c>
      <c r="D44" s="435">
        <v>100</v>
      </c>
      <c r="E44" s="2610" t="s">
        <v>3121</v>
      </c>
      <c r="F44" s="461">
        <f>SUMIF(125:125,E44,126:126)-SUMIF(125:125,C44,126:126)+100</f>
        <v>101</v>
      </c>
      <c r="G44" s="2610" t="s">
        <v>3121</v>
      </c>
      <c r="H44" s="435">
        <f>SUMIF(125:125,G44,126:126)-SUMIF(125:125,C44,126:126)+100</f>
        <v>101</v>
      </c>
      <c r="I44" s="2610" t="s">
        <v>3121</v>
      </c>
      <c r="J44" s="435">
        <f>SUMIF(125:125,I44,126:126)-SUMIF(125:125,C44,126:126)+100</f>
        <v>101</v>
      </c>
      <c r="K44" s="612">
        <v>1</v>
      </c>
      <c r="L44" s="1140"/>
      <c r="M44" s="1131"/>
      <c r="N44" s="1131"/>
      <c r="O44" s="1131"/>
      <c r="P44" s="3285"/>
      <c r="Q44" s="1810" t="str">
        <f t="shared" si="11"/>
        <v>内部装修维护情况</v>
      </c>
      <c r="R44" s="774" t="s">
        <v>17</v>
      </c>
      <c r="S44" s="775">
        <f t="shared" si="12"/>
        <v>101</v>
      </c>
      <c r="T44" s="774" t="s">
        <v>17</v>
      </c>
      <c r="U44" s="775">
        <f t="shared" si="13"/>
        <v>101</v>
      </c>
      <c r="V44" s="774" t="s">
        <v>17</v>
      </c>
      <c r="W44" s="775">
        <f t="shared" si="14"/>
        <v>101</v>
      </c>
      <c r="X44" s="1813"/>
      <c r="Y44" s="3287"/>
      <c r="Z44" s="1814" t="str">
        <f t="shared" si="15"/>
        <v>内部装修维护情况</v>
      </c>
      <c r="AA44" s="1811">
        <f t="shared" si="3"/>
        <v>0.99009900990099009</v>
      </c>
      <c r="AB44" s="1811">
        <f t="shared" si="4"/>
        <v>0.99009900990099009</v>
      </c>
      <c r="AC44" s="2671">
        <f t="shared" si="5"/>
        <v>0.99009900990099009</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5"/>
      <c r="Q45" s="1795">
        <f t="shared" si="11"/>
        <v>111</v>
      </c>
      <c r="R45" s="770" t="s">
        <v>17</v>
      </c>
      <c r="S45" s="771">
        <f t="shared" si="12"/>
        <v>100</v>
      </c>
      <c r="T45" s="770" t="s">
        <v>17</v>
      </c>
      <c r="U45" s="771">
        <f t="shared" si="13"/>
        <v>100</v>
      </c>
      <c r="V45" s="770" t="s">
        <v>17</v>
      </c>
      <c r="W45" s="771">
        <f t="shared" si="14"/>
        <v>100</v>
      </c>
      <c r="X45" s="772"/>
      <c r="Y45" s="3287"/>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5"/>
      <c r="Q46" s="1810">
        <f t="shared" si="11"/>
        <v>111</v>
      </c>
      <c r="R46" s="774" t="s">
        <v>17</v>
      </c>
      <c r="S46" s="775">
        <f t="shared" si="12"/>
        <v>100</v>
      </c>
      <c r="T46" s="774" t="s">
        <v>17</v>
      </c>
      <c r="U46" s="775">
        <f t="shared" si="13"/>
        <v>100</v>
      </c>
      <c r="V46" s="774" t="s">
        <v>17</v>
      </c>
      <c r="W46" s="775">
        <f t="shared" si="14"/>
        <v>100</v>
      </c>
      <c r="X46" s="1813"/>
      <c r="Y46" s="3287"/>
      <c r="Z46" s="1814">
        <f t="shared" si="15"/>
        <v>111</v>
      </c>
      <c r="AA46" s="1811">
        <f t="shared" si="3"/>
        <v>1</v>
      </c>
      <c r="AB46" s="1811">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6"/>
      <c r="Q47" s="1810">
        <f t="shared" si="11"/>
        <v>111</v>
      </c>
      <c r="R47" s="774" t="s">
        <v>17</v>
      </c>
      <c r="S47" s="775">
        <f t="shared" si="12"/>
        <v>100</v>
      </c>
      <c r="T47" s="774" t="s">
        <v>17</v>
      </c>
      <c r="U47" s="775">
        <f t="shared" si="13"/>
        <v>100</v>
      </c>
      <c r="V47" s="774" t="s">
        <v>17</v>
      </c>
      <c r="W47" s="775">
        <f t="shared" si="14"/>
        <v>100</v>
      </c>
      <c r="X47" s="1813"/>
      <c r="Y47" s="3288"/>
      <c r="Z47" s="1814">
        <f t="shared" si="15"/>
        <v>111</v>
      </c>
      <c r="AA47" s="1811">
        <f t="shared" si="3"/>
        <v>1</v>
      </c>
      <c r="AB47" s="1811">
        <f t="shared" si="4"/>
        <v>1</v>
      </c>
      <c r="AC47" s="2671">
        <f t="shared" si="5"/>
        <v>1</v>
      </c>
    </row>
    <row r="48" spans="1:29" ht="15">
      <c r="A48" s="479" t="s">
        <v>2568</v>
      </c>
      <c r="B48" s="480"/>
      <c r="C48" s="1407" t="s">
        <v>1</v>
      </c>
      <c r="D48" s="1408"/>
      <c r="E48" s="1409">
        <v>2</v>
      </c>
      <c r="F48" s="1410"/>
      <c r="G48" s="1411">
        <v>2.1</v>
      </c>
      <c r="H48" s="1412"/>
      <c r="I48" s="1409">
        <v>1.8</v>
      </c>
      <c r="J48" s="485"/>
      <c r="K48" s="783"/>
      <c r="L48" s="1143"/>
      <c r="M48" s="1131"/>
      <c r="N48" s="1131"/>
      <c r="O48" s="1131"/>
      <c r="P48" s="3262" t="str">
        <f>A48</f>
        <v>成交单价（元/平方米）</v>
      </c>
      <c r="Q48" s="3280"/>
      <c r="R48" s="3281">
        <f>E48</f>
        <v>2</v>
      </c>
      <c r="S48" s="3281"/>
      <c r="T48" s="3281">
        <f>G48</f>
        <v>2.1</v>
      </c>
      <c r="U48" s="3281"/>
      <c r="V48" s="3281">
        <f>I48</f>
        <v>1.8</v>
      </c>
      <c r="W48" s="3281"/>
      <c r="X48" s="446"/>
      <c r="Y48" s="781"/>
      <c r="Z48" s="446"/>
      <c r="AA48" s="446"/>
      <c r="AB48" s="446"/>
      <c r="AC48" s="630"/>
    </row>
    <row r="49" spans="1:29" ht="15.75" thickBot="1">
      <c r="A49" s="486" t="s">
        <v>2660</v>
      </c>
      <c r="B49" s="487"/>
      <c r="C49" s="1413">
        <f>R50</f>
        <v>2</v>
      </c>
      <c r="D49" s="1414"/>
      <c r="E49" s="1415">
        <f>R49</f>
        <v>2</v>
      </c>
      <c r="F49" s="1415"/>
      <c r="G49" s="1413">
        <f>T49</f>
        <v>2.1</v>
      </c>
      <c r="H49" s="1414"/>
      <c r="I49" s="1415">
        <f>V49</f>
        <v>1.8</v>
      </c>
      <c r="J49" s="489"/>
      <c r="K49" s="784"/>
      <c r="L49" s="1143"/>
      <c r="M49" s="1131"/>
      <c r="N49" s="1131"/>
      <c r="O49" s="1131"/>
      <c r="P49" s="3262" t="str">
        <f>A49</f>
        <v>比较价值（元/平方米）</v>
      </c>
      <c r="Q49" s="3280"/>
      <c r="R49" s="3281">
        <f>IF(F1="售价",ROUND(PRODUCT(R48,AA7:AA47),0),ROUND(PRODUCT(R48,AA7:AA47),1))</f>
        <v>2</v>
      </c>
      <c r="S49" s="3281"/>
      <c r="T49" s="3281">
        <f>IF(F1="售价",ROUND(PRODUCT(T48,AB7:AB47),0),ROUND(PRODUCT(T48,AB7:AB47),1))</f>
        <v>2.1</v>
      </c>
      <c r="U49" s="3281"/>
      <c r="V49" s="3281">
        <f>IF(F1="售价",ROUND(PRODUCT(V48,AC7:AC47),0),ROUND(PRODUCT(V48,AC7:AC47),1))</f>
        <v>1.8</v>
      </c>
      <c r="W49" s="3281"/>
      <c r="X49" s="446"/>
      <c r="Y49" s="446"/>
      <c r="Z49" s="446"/>
      <c r="AA49" s="446"/>
      <c r="AB49" s="446"/>
      <c r="AC49" s="630"/>
    </row>
    <row r="50" spans="1:29" ht="15.75" thickBot="1">
      <c r="A50" s="492" t="s">
        <v>3160</v>
      </c>
      <c r="B50" s="493"/>
      <c r="C50" s="1417">
        <f>R50</f>
        <v>2</v>
      </c>
      <c r="D50" s="1417"/>
      <c r="E50" s="1417"/>
      <c r="F50" s="1417"/>
      <c r="G50" s="1417"/>
      <c r="H50" s="1417"/>
      <c r="I50" s="1417"/>
      <c r="J50" s="494"/>
      <c r="K50" s="785"/>
      <c r="L50" s="1143"/>
      <c r="M50" s="1131"/>
      <c r="N50" s="1131"/>
      <c r="O50" s="1131"/>
      <c r="P50" s="3306" t="str">
        <f>A50</f>
        <v>估价对象办公用房的比较价值（楼面单价，元/平方米）</v>
      </c>
      <c r="Q50" s="3307"/>
      <c r="R50" s="3308">
        <f>IF(F1="售价",ROUND(AVERAGE(R49:V49),0),ROUND(AVERAGE(R49:V49),1))</f>
        <v>2</v>
      </c>
      <c r="S50" s="3308"/>
      <c r="T50" s="3308"/>
      <c r="U50" s="3308"/>
      <c r="V50" s="3308"/>
      <c r="W50" s="3308"/>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2663</v>
      </c>
      <c r="D54" s="501"/>
      <c r="E54" s="499">
        <f>IF(E49&lt;G49,G49/E49-1,E49/G49-1)</f>
        <v>5.0000000000000044E-2</v>
      </c>
      <c r="F54" s="500" t="str">
        <f>IF(OR(E54&gt;=0.2,E54&lt;=-0.2),"超过20%","")</f>
        <v/>
      </c>
      <c r="G54" s="499">
        <f>IF(G49&lt;I49,I49/G49-1,G49/I49-1)</f>
        <v>0.16666666666666674</v>
      </c>
      <c r="H54" s="500" t="str">
        <f>IF(OR(G54&gt;=0.2,G54&lt;=-0.2),"超过20%","")</f>
        <v/>
      </c>
      <c r="I54" s="499">
        <f>IF(I49&lt;E49,E49/I49-1,I49/E49-1)</f>
        <v>0.11111111111111116</v>
      </c>
      <c r="J54" s="500" t="str">
        <f>IF(OR(I54&gt;=0.2,I54&lt;=-0.2),"超过20%","")</f>
        <v/>
      </c>
      <c r="K54" s="1105"/>
      <c r="L54" s="1106"/>
      <c r="M54" s="1144"/>
      <c r="N54" s="1144"/>
      <c r="O54" s="1144"/>
    </row>
    <row r="55" spans="1:29" s="502" customFormat="1" ht="13.5" customHeight="1">
      <c r="A55" s="1145"/>
      <c r="B55" s="1145"/>
      <c r="C55" s="497" t="s">
        <v>2664</v>
      </c>
      <c r="D55" s="501"/>
      <c r="E55" s="499">
        <f>IF(E48&lt;G48,G48/E48-1,E48/G48-1)</f>
        <v>5.0000000000000044E-2</v>
      </c>
      <c r="F55" s="500" t="str">
        <f>IF(OR(E55&gt;=0.3,E55&lt;=-0.3),"超过30%","")</f>
        <v/>
      </c>
      <c r="G55" s="499">
        <f>IF(G48&lt;I48,I48/G48-1,G48/I48-1)</f>
        <v>0.16666666666666674</v>
      </c>
      <c r="H55" s="500" t="str">
        <f>IF(OR(G55&gt;=0.3,G55&lt;=-0.3),"超过30%","")</f>
        <v/>
      </c>
      <c r="I55" s="499">
        <f>IF(I48&lt;E48,E48/I48-1,I48/E48-1)</f>
        <v>0.11111111111111116</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8"/>
      <c r="Q58" s="504"/>
    </row>
    <row r="59" spans="1:29" s="508" customFormat="1" ht="15">
      <c r="A59" s="505" t="s">
        <v>2539</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2579</v>
      </c>
      <c r="B64" s="528" t="s">
        <v>2545</v>
      </c>
      <c r="C64" s="529" t="str">
        <f>C9</f>
        <v>办公</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2549</v>
      </c>
      <c r="C68" s="547" t="str">
        <f>C69&amp;"（含）"&amp;"-"&amp;D69</f>
        <v>0（含）-1</v>
      </c>
      <c r="D68" s="547" t="str">
        <f t="shared" ref="D68:L68" si="17">D69&amp;"（含）"&amp;"-"&amp;E69</f>
        <v>1（含）-5</v>
      </c>
      <c r="E68" s="547" t="str">
        <f t="shared" si="17"/>
        <v>5（含）-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5</v>
      </c>
      <c r="F69" s="549"/>
      <c r="G69" s="549"/>
      <c r="H69" s="549"/>
      <c r="I69" s="549"/>
      <c r="J69" s="549"/>
      <c r="K69" s="550"/>
      <c r="L69" s="551"/>
      <c r="M69" s="552"/>
      <c r="N69" s="1152"/>
      <c r="O69" s="1152"/>
      <c r="P69" s="2681"/>
      <c r="Q69" s="504"/>
    </row>
    <row r="70" spans="1:17" ht="15.75" thickBot="1">
      <c r="A70" s="534"/>
      <c r="B70" s="535"/>
      <c r="C70" s="544">
        <v>100</v>
      </c>
      <c r="D70" s="544">
        <f t="shared" ref="D70:M70" si="18">C70-$K11</f>
        <v>95</v>
      </c>
      <c r="E70" s="544">
        <f t="shared" si="18"/>
        <v>90</v>
      </c>
      <c r="F70" s="544">
        <f t="shared" si="18"/>
        <v>85</v>
      </c>
      <c r="G70" s="544">
        <f t="shared" si="18"/>
        <v>80</v>
      </c>
      <c r="H70" s="544">
        <f t="shared" si="18"/>
        <v>75</v>
      </c>
      <c r="I70" s="544">
        <f t="shared" si="18"/>
        <v>70</v>
      </c>
      <c r="J70" s="544">
        <f t="shared" si="18"/>
        <v>65</v>
      </c>
      <c r="K70" s="544">
        <f t="shared" si="18"/>
        <v>60</v>
      </c>
      <c r="L70" s="544">
        <f t="shared" si="18"/>
        <v>55</v>
      </c>
      <c r="M70" s="545">
        <f t="shared" si="18"/>
        <v>50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5"/>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2690</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2554</v>
      </c>
      <c r="B101" s="528" t="s">
        <v>2603</v>
      </c>
      <c r="C101" s="3006" t="s">
        <v>3154</v>
      </c>
      <c r="D101" s="3006" t="s">
        <v>3153</v>
      </c>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2604</v>
      </c>
      <c r="C103" s="578" t="str">
        <f>C104&amp;"(含)"&amp;"-"&amp;D104</f>
        <v>0(含)-600</v>
      </c>
      <c r="D103" s="578" t="str">
        <f t="shared" ref="D103:L103" si="23">D104&amp;"(含)"&amp;"-"&amp;E104</f>
        <v>600(含)-1200</v>
      </c>
      <c r="E103" s="578" t="str">
        <f t="shared" si="23"/>
        <v>1200(含)-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0</v>
      </c>
      <c r="D104" s="595">
        <v>600</v>
      </c>
      <c r="E104" s="595">
        <v>1200</v>
      </c>
      <c r="F104" s="595"/>
      <c r="G104" s="595"/>
      <c r="H104" s="595"/>
      <c r="I104" s="595"/>
      <c r="J104" s="596"/>
      <c r="K104" s="596"/>
      <c r="L104" s="597"/>
      <c r="M104" s="598"/>
      <c r="N104" s="1154"/>
      <c r="O104" s="1154"/>
      <c r="P104" s="2682"/>
      <c r="Q104" s="559"/>
    </row>
    <row r="105" spans="1:17" s="471" customFormat="1" ht="15.75" thickBot="1">
      <c r="A105" s="553"/>
      <c r="B105" s="543"/>
      <c r="C105" s="560">
        <v>100</v>
      </c>
      <c r="D105" s="536">
        <v>99</v>
      </c>
      <c r="E105" s="536">
        <v>98</v>
      </c>
      <c r="F105" s="536"/>
      <c r="G105" s="536"/>
      <c r="H105" s="536"/>
      <c r="I105" s="536"/>
      <c r="J105" s="536"/>
      <c r="K105" s="536"/>
      <c r="L105" s="536"/>
      <c r="M105" s="537"/>
      <c r="N105" s="1153"/>
      <c r="O105" s="1153"/>
      <c r="P105" s="2682"/>
      <c r="Q105" s="559"/>
    </row>
    <row r="106" spans="1:17" ht="15" thickTop="1">
      <c r="A106" s="599"/>
      <c r="B106" s="538" t="s">
        <v>2605</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2607</v>
      </c>
      <c r="C108" s="3005" t="s">
        <v>3155</v>
      </c>
      <c r="D108" s="3005" t="s">
        <v>3158</v>
      </c>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1"/>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1"/>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2608</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2609</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2692</v>
      </c>
      <c r="C119" s="3012" t="s">
        <v>3156</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2611</v>
      </c>
      <c r="C123" s="3005" t="s">
        <v>3155</v>
      </c>
      <c r="D123" s="3005" t="s">
        <v>3157</v>
      </c>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148" sqref="A148"/>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2693</v>
      </c>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3"/>
      <c r="D2" s="1124"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2602.9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46" t="s">
        <v>2639</v>
      </c>
      <c r="AC4" s="3245" t="s">
        <v>2640</v>
      </c>
    </row>
    <row r="5" spans="1:29"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46"/>
      <c r="AC5" s="3246"/>
    </row>
    <row r="6" spans="1:29" ht="15.75" thickBot="1">
      <c r="A6" s="406"/>
      <c r="B6" s="407"/>
      <c r="C6" s="3258" t="s">
        <v>2537</v>
      </c>
      <c r="D6" s="3259"/>
      <c r="E6" s="3260" t="s">
        <v>2537</v>
      </c>
      <c r="F6" s="3261"/>
      <c r="G6" s="3258" t="s">
        <v>2537</v>
      </c>
      <c r="H6" s="3259"/>
      <c r="I6" s="3258" t="s">
        <v>2537</v>
      </c>
      <c r="J6" s="3259"/>
      <c r="K6" s="610" t="s">
        <v>2538</v>
      </c>
      <c r="L6" s="1130"/>
      <c r="M6" s="1131"/>
      <c r="N6" s="1131"/>
      <c r="O6" s="1131"/>
      <c r="P6" s="3271"/>
      <c r="Q6" s="3272"/>
      <c r="R6" s="3252"/>
      <c r="S6" s="3253"/>
      <c r="T6" s="3273"/>
      <c r="U6" s="3274"/>
      <c r="V6" s="3275"/>
      <c r="W6" s="3275"/>
      <c r="X6" s="1813"/>
      <c r="Y6" s="3273"/>
      <c r="Z6" s="3274"/>
      <c r="AA6" s="3247"/>
      <c r="AB6" s="3247"/>
      <c r="AC6" s="3247"/>
    </row>
    <row r="7" spans="1:29" s="117" customFormat="1" ht="15.75" thickBot="1">
      <c r="A7" s="408" t="s">
        <v>2539</v>
      </c>
      <c r="B7" s="409"/>
      <c r="C7" s="410">
        <f>'数据-取费表'!B2</f>
        <v>43922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8" t="s">
        <v>2540</v>
      </c>
      <c r="Q7" s="3276"/>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8" t="s">
        <v>2543</v>
      </c>
      <c r="Q8" s="3249"/>
      <c r="R8" s="770" t="s">
        <v>17</v>
      </c>
      <c r="S8" s="771">
        <f t="shared" si="0"/>
        <v>0</v>
      </c>
      <c r="T8" s="770" t="s">
        <v>17</v>
      </c>
      <c r="U8" s="771">
        <f t="shared" si="1"/>
        <v>0</v>
      </c>
      <c r="V8" s="770" t="s">
        <v>17</v>
      </c>
      <c r="W8" s="771">
        <f t="shared" si="2"/>
        <v>0</v>
      </c>
      <c r="X8" s="772"/>
      <c r="Y8" s="3248" t="s">
        <v>2543</v>
      </c>
      <c r="Z8" s="324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0"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0"/>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0"/>
      <c r="Q11" s="1795"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80"/>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80"/>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80"/>
      <c r="Q14" s="1795">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2" t="s">
        <v>2551</v>
      </c>
      <c r="Q15" s="1810" t="str">
        <f t="shared" si="6"/>
        <v>产业集聚程度</v>
      </c>
      <c r="R15" s="774" t="s">
        <v>17</v>
      </c>
      <c r="S15" s="775">
        <f t="shared" si="0"/>
        <v>100</v>
      </c>
      <c r="T15" s="774" t="s">
        <v>17</v>
      </c>
      <c r="U15" s="775">
        <f t="shared" si="1"/>
        <v>100</v>
      </c>
      <c r="V15" s="774" t="s">
        <v>17</v>
      </c>
      <c r="W15" s="775">
        <f t="shared" si="2"/>
        <v>100</v>
      </c>
      <c r="X15" s="1813"/>
      <c r="Y15" s="3282"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83"/>
      <c r="Q16" s="1810"/>
      <c r="R16" s="774"/>
      <c r="S16" s="775"/>
      <c r="T16" s="774"/>
      <c r="U16" s="775"/>
      <c r="V16" s="774"/>
      <c r="W16" s="775"/>
      <c r="X16" s="1813"/>
      <c r="Y16" s="3283"/>
      <c r="Z16" s="1814"/>
      <c r="AA16" s="1811">
        <v>1</v>
      </c>
      <c r="AB16" s="1811">
        <v>1</v>
      </c>
      <c r="AC16" s="1811">
        <v>1</v>
      </c>
    </row>
    <row r="17" spans="1:29" ht="85.5">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3"/>
      <c r="Q17" s="1810" t="str">
        <f>B17</f>
        <v>交通便捷度</v>
      </c>
      <c r="R17" s="774" t="s">
        <v>17</v>
      </c>
      <c r="S17" s="775">
        <f>F17</f>
        <v>100</v>
      </c>
      <c r="T17" s="774" t="s">
        <v>17</v>
      </c>
      <c r="U17" s="775">
        <f>H17</f>
        <v>100</v>
      </c>
      <c r="V17" s="774" t="s">
        <v>17</v>
      </c>
      <c r="W17" s="775">
        <f>J17</f>
        <v>100</v>
      </c>
      <c r="X17" s="1813"/>
      <c r="Y17" s="328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83"/>
      <c r="Q18" s="1810"/>
      <c r="R18" s="774"/>
      <c r="S18" s="775"/>
      <c r="T18" s="774"/>
      <c r="U18" s="775"/>
      <c r="V18" s="774"/>
      <c r="W18" s="775"/>
      <c r="X18" s="1813"/>
      <c r="Y18" s="3283"/>
      <c r="Z18" s="1814"/>
      <c r="AA18" s="1811">
        <v>1</v>
      </c>
      <c r="AB18" s="1811">
        <v>1</v>
      </c>
      <c r="AC18" s="1811">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3"/>
      <c r="Q19" s="1810" t="str">
        <f>B19</f>
        <v>公共配套设施</v>
      </c>
      <c r="R19" s="774" t="s">
        <v>17</v>
      </c>
      <c r="S19" s="775">
        <f>F19</f>
        <v>100</v>
      </c>
      <c r="T19" s="774" t="s">
        <v>17</v>
      </c>
      <c r="U19" s="775">
        <f>H19</f>
        <v>100</v>
      </c>
      <c r="V19" s="774" t="s">
        <v>17</v>
      </c>
      <c r="W19" s="775">
        <f>J19</f>
        <v>100</v>
      </c>
      <c r="X19" s="1813"/>
      <c r="Y19" s="328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83"/>
      <c r="Q20" s="1810"/>
      <c r="R20" s="774"/>
      <c r="S20" s="775"/>
      <c r="T20" s="774"/>
      <c r="U20" s="775"/>
      <c r="V20" s="774"/>
      <c r="W20" s="775"/>
      <c r="X20" s="1813"/>
      <c r="Y20" s="3283"/>
      <c r="Z20" s="1814"/>
      <c r="AA20" s="1811">
        <v>1</v>
      </c>
      <c r="AB20" s="1811">
        <v>1</v>
      </c>
      <c r="AC20" s="1811">
        <v>1</v>
      </c>
    </row>
    <row r="21" spans="1:29" ht="28.5">
      <c r="A21" s="428"/>
      <c r="B21" s="1384"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3"/>
      <c r="Q21" s="1810" t="str">
        <f>B21</f>
        <v>基础设施水平</v>
      </c>
      <c r="R21" s="774" t="s">
        <v>17</v>
      </c>
      <c r="S21" s="775">
        <f>F21</f>
        <v>100</v>
      </c>
      <c r="T21" s="774" t="s">
        <v>17</v>
      </c>
      <c r="U21" s="775">
        <f>H21</f>
        <v>100</v>
      </c>
      <c r="V21" s="774" t="s">
        <v>17</v>
      </c>
      <c r="W21" s="775">
        <f>J21</f>
        <v>100</v>
      </c>
      <c r="X21" s="1813"/>
      <c r="Y21" s="328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83"/>
      <c r="Q22" s="1810"/>
      <c r="R22" s="774"/>
      <c r="S22" s="775"/>
      <c r="T22" s="774"/>
      <c r="U22" s="775"/>
      <c r="V22" s="774"/>
      <c r="W22" s="775"/>
      <c r="X22" s="1813"/>
      <c r="Y22" s="3283"/>
      <c r="Z22" s="1814"/>
      <c r="AA22" s="1811">
        <v>1</v>
      </c>
      <c r="AB22" s="1811">
        <v>1</v>
      </c>
      <c r="AC22" s="1811">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3"/>
      <c r="Q23" s="1810" t="str">
        <f>B23</f>
        <v>环境质量</v>
      </c>
      <c r="R23" s="774" t="s">
        <v>17</v>
      </c>
      <c r="S23" s="775">
        <f>F23</f>
        <v>100</v>
      </c>
      <c r="T23" s="774" t="s">
        <v>17</v>
      </c>
      <c r="U23" s="775">
        <f>H23</f>
        <v>100</v>
      </c>
      <c r="V23" s="774" t="s">
        <v>17</v>
      </c>
      <c r="W23" s="775">
        <f>J23</f>
        <v>100</v>
      </c>
      <c r="X23" s="1813"/>
      <c r="Y23" s="3283"/>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83"/>
      <c r="Q24" s="1810"/>
      <c r="R24" s="774"/>
      <c r="S24" s="775"/>
      <c r="T24" s="774"/>
      <c r="U24" s="775"/>
      <c r="V24" s="774"/>
      <c r="W24" s="775"/>
      <c r="X24" s="1813"/>
      <c r="Y24" s="32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3"/>
      <c r="Q25" s="1810">
        <f>B25</f>
        <v>111</v>
      </c>
      <c r="R25" s="774" t="s">
        <v>17</v>
      </c>
      <c r="S25" s="775">
        <f>F25</f>
        <v>100</v>
      </c>
      <c r="T25" s="774" t="s">
        <v>17</v>
      </c>
      <c r="U25" s="775">
        <f>H25</f>
        <v>100</v>
      </c>
      <c r="V25" s="774" t="s">
        <v>17</v>
      </c>
      <c r="W25" s="775">
        <f>J25</f>
        <v>100</v>
      </c>
      <c r="X25" s="1813"/>
      <c r="Y25" s="32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3"/>
      <c r="Q26" s="1810">
        <f t="shared" ref="Q26:Q40" si="11">B26</f>
        <v>111</v>
      </c>
      <c r="R26" s="774" t="s">
        <v>17</v>
      </c>
      <c r="S26" s="775">
        <f>F26</f>
        <v>100</v>
      </c>
      <c r="T26" s="774" t="s">
        <v>17</v>
      </c>
      <c r="U26" s="775">
        <f>H26</f>
        <v>100</v>
      </c>
      <c r="V26" s="774" t="s">
        <v>17</v>
      </c>
      <c r="W26" s="775">
        <f>J26</f>
        <v>100</v>
      </c>
      <c r="X26" s="1813"/>
      <c r="Y26" s="32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3"/>
      <c r="Q27" s="1795">
        <f t="shared" si="11"/>
        <v>111</v>
      </c>
      <c r="R27" s="770" t="s">
        <v>17</v>
      </c>
      <c r="S27" s="771">
        <f>F27</f>
        <v>100</v>
      </c>
      <c r="T27" s="770" t="s">
        <v>17</v>
      </c>
      <c r="U27" s="771">
        <f>H27</f>
        <v>100</v>
      </c>
      <c r="V27" s="770" t="s">
        <v>17</v>
      </c>
      <c r="W27" s="771">
        <f>J27</f>
        <v>100</v>
      </c>
      <c r="X27" s="772"/>
      <c r="Y27" s="32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3"/>
      <c r="Q28" s="1810">
        <f t="shared" si="11"/>
        <v>111</v>
      </c>
      <c r="R28" s="774" t="s">
        <v>17</v>
      </c>
      <c r="S28" s="775">
        <f t="shared" ref="S28:S40" si="12">F28</f>
        <v>100</v>
      </c>
      <c r="T28" s="774" t="s">
        <v>17</v>
      </c>
      <c r="U28" s="775">
        <f t="shared" ref="U28:U40" si="13">H28</f>
        <v>100</v>
      </c>
      <c r="V28" s="774" t="s">
        <v>17</v>
      </c>
      <c r="W28" s="775">
        <f t="shared" ref="W28:W40" si="14">J28</f>
        <v>100</v>
      </c>
      <c r="X28" s="1813"/>
      <c r="Y28" s="3283"/>
      <c r="Z28" s="1814">
        <f t="shared" ref="Z28:Z40" si="15">Q28</f>
        <v>111</v>
      </c>
      <c r="AA28" s="1811">
        <f t="shared" si="3"/>
        <v>1</v>
      </c>
      <c r="AB28" s="1811">
        <f t="shared" si="4"/>
        <v>1</v>
      </c>
      <c r="AC28" s="1811">
        <f t="shared" si="5"/>
        <v>1</v>
      </c>
    </row>
    <row r="29" spans="1:29" ht="29.2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309" t="s">
        <v>2556</v>
      </c>
      <c r="Q29" s="1810" t="str">
        <f t="shared" si="11"/>
        <v>建筑类型</v>
      </c>
      <c r="R29" s="774" t="s">
        <v>17</v>
      </c>
      <c r="S29" s="775">
        <f t="shared" si="12"/>
        <v>100</v>
      </c>
      <c r="T29" s="774" t="s">
        <v>17</v>
      </c>
      <c r="U29" s="775">
        <f t="shared" si="13"/>
        <v>100</v>
      </c>
      <c r="V29" s="774" t="s">
        <v>17</v>
      </c>
      <c r="W29" s="775">
        <f t="shared" si="14"/>
        <v>100</v>
      </c>
      <c r="X29" s="1813"/>
      <c r="Y29" s="3287"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7"/>
      <c r="Q30" s="776" t="str">
        <f t="shared" si="11"/>
        <v>项目建筑规模</v>
      </c>
      <c r="R30" s="777" t="s">
        <v>17</v>
      </c>
      <c r="S30" s="778" t="e">
        <f t="shared" si="12"/>
        <v>#N/A</v>
      </c>
      <c r="T30" s="777" t="s">
        <v>17</v>
      </c>
      <c r="U30" s="778" t="e">
        <f t="shared" si="13"/>
        <v>#N/A</v>
      </c>
      <c r="V30" s="777" t="s">
        <v>17</v>
      </c>
      <c r="W30" s="778" t="e">
        <f t="shared" si="14"/>
        <v>#N/A</v>
      </c>
      <c r="X30" s="779"/>
      <c r="Y30" s="3287"/>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7"/>
      <c r="Q31" s="1810" t="str">
        <f t="shared" si="11"/>
        <v>建筑结构</v>
      </c>
      <c r="R31" s="774" t="s">
        <v>17</v>
      </c>
      <c r="S31" s="775">
        <f t="shared" si="12"/>
        <v>100</v>
      </c>
      <c r="T31" s="774" t="s">
        <v>17</v>
      </c>
      <c r="U31" s="775">
        <f t="shared" si="13"/>
        <v>100</v>
      </c>
      <c r="V31" s="774" t="s">
        <v>17</v>
      </c>
      <c r="W31" s="775">
        <f t="shared" si="14"/>
        <v>100</v>
      </c>
      <c r="X31" s="1813"/>
      <c r="Y31" s="3287"/>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7"/>
      <c r="Q32" s="1810" t="str">
        <f t="shared" si="11"/>
        <v>公共部分装修</v>
      </c>
      <c r="R32" s="774" t="s">
        <v>17</v>
      </c>
      <c r="S32" s="775">
        <f t="shared" si="12"/>
        <v>100</v>
      </c>
      <c r="T32" s="774" t="s">
        <v>17</v>
      </c>
      <c r="U32" s="775">
        <f t="shared" si="13"/>
        <v>100</v>
      </c>
      <c r="V32" s="774" t="s">
        <v>17</v>
      </c>
      <c r="W32" s="775">
        <f t="shared" si="14"/>
        <v>100</v>
      </c>
      <c r="X32" s="1813"/>
      <c r="Y32" s="3287"/>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7"/>
      <c r="Q33" s="1810" t="str">
        <f t="shared" si="11"/>
        <v>成新度</v>
      </c>
      <c r="R33" s="774" t="s">
        <v>17</v>
      </c>
      <c r="S33" s="775" t="e">
        <f t="shared" si="12"/>
        <v>#N/A</v>
      </c>
      <c r="T33" s="774" t="s">
        <v>17</v>
      </c>
      <c r="U33" s="775" t="e">
        <f t="shared" si="13"/>
        <v>#N/A</v>
      </c>
      <c r="V33" s="774" t="s">
        <v>17</v>
      </c>
      <c r="W33" s="775" t="e">
        <f t="shared" si="14"/>
        <v>#N/A</v>
      </c>
      <c r="X33" s="1813"/>
      <c r="Y33" s="3287"/>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7"/>
      <c r="Q34" s="1795" t="str">
        <f t="shared" si="11"/>
        <v>物业管理</v>
      </c>
      <c r="R34" s="770" t="s">
        <v>17</v>
      </c>
      <c r="S34" s="771">
        <f t="shared" si="12"/>
        <v>100</v>
      </c>
      <c r="T34" s="770" t="s">
        <v>17</v>
      </c>
      <c r="U34" s="771">
        <f t="shared" si="13"/>
        <v>100</v>
      </c>
      <c r="V34" s="770" t="s">
        <v>17</v>
      </c>
      <c r="W34" s="771">
        <f t="shared" si="14"/>
        <v>100</v>
      </c>
      <c r="X34" s="772"/>
      <c r="Y34" s="3287"/>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7" t="s">
        <v>2556</v>
      </c>
      <c r="Q35" s="1810" t="str">
        <f t="shared" si="11"/>
        <v>市政基础设施</v>
      </c>
      <c r="R35" s="774" t="s">
        <v>17</v>
      </c>
      <c r="S35" s="775">
        <f t="shared" si="12"/>
        <v>100</v>
      </c>
      <c r="T35" s="774" t="s">
        <v>17</v>
      </c>
      <c r="U35" s="775">
        <f t="shared" si="13"/>
        <v>100</v>
      </c>
      <c r="V35" s="774" t="s">
        <v>17</v>
      </c>
      <c r="W35" s="775">
        <f t="shared" si="14"/>
        <v>100</v>
      </c>
      <c r="X35" s="1813"/>
      <c r="Y35" s="3287"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7"/>
      <c r="Q36" s="1810" t="str">
        <f t="shared" si="11"/>
        <v>内部装修</v>
      </c>
      <c r="R36" s="774" t="s">
        <v>17</v>
      </c>
      <c r="S36" s="775">
        <f t="shared" si="12"/>
        <v>100</v>
      </c>
      <c r="T36" s="774" t="s">
        <v>17</v>
      </c>
      <c r="U36" s="775">
        <f t="shared" si="13"/>
        <v>100</v>
      </c>
      <c r="V36" s="774" t="s">
        <v>17</v>
      </c>
      <c r="W36" s="775">
        <f t="shared" si="14"/>
        <v>100</v>
      </c>
      <c r="X36" s="1813"/>
      <c r="Y36" s="3287"/>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7"/>
      <c r="Q37" s="1810" t="str">
        <f t="shared" si="11"/>
        <v>内部装修状况</v>
      </c>
      <c r="R37" s="774" t="s">
        <v>17</v>
      </c>
      <c r="S37" s="775">
        <f t="shared" si="12"/>
        <v>100</v>
      </c>
      <c r="T37" s="774" t="s">
        <v>17</v>
      </c>
      <c r="U37" s="775">
        <f t="shared" si="13"/>
        <v>100</v>
      </c>
      <c r="V37" s="774" t="s">
        <v>17</v>
      </c>
      <c r="W37" s="775">
        <f t="shared" si="14"/>
        <v>100</v>
      </c>
      <c r="X37" s="1813"/>
      <c r="Y37" s="328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7"/>
      <c r="Q38" s="776">
        <f t="shared" si="11"/>
        <v>111</v>
      </c>
      <c r="R38" s="777" t="s">
        <v>17</v>
      </c>
      <c r="S38" s="778">
        <f t="shared" si="12"/>
        <v>100</v>
      </c>
      <c r="T38" s="777" t="s">
        <v>17</v>
      </c>
      <c r="U38" s="778">
        <f t="shared" si="13"/>
        <v>100</v>
      </c>
      <c r="V38" s="777" t="s">
        <v>17</v>
      </c>
      <c r="W38" s="778">
        <f t="shared" si="14"/>
        <v>100</v>
      </c>
      <c r="X38" s="779"/>
      <c r="Y38" s="328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7"/>
      <c r="Q39" s="1810">
        <f t="shared" si="11"/>
        <v>111</v>
      </c>
      <c r="R39" s="774" t="s">
        <v>17</v>
      </c>
      <c r="S39" s="775">
        <f t="shared" si="12"/>
        <v>100</v>
      </c>
      <c r="T39" s="774" t="s">
        <v>17</v>
      </c>
      <c r="U39" s="775">
        <f t="shared" si="13"/>
        <v>100</v>
      </c>
      <c r="V39" s="774" t="s">
        <v>17</v>
      </c>
      <c r="W39" s="775">
        <f t="shared" si="14"/>
        <v>100</v>
      </c>
      <c r="X39" s="1813"/>
      <c r="Y39" s="3287"/>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8"/>
      <c r="Q40" s="1810">
        <f t="shared" si="11"/>
        <v>111</v>
      </c>
      <c r="R40" s="774" t="s">
        <v>17</v>
      </c>
      <c r="S40" s="775">
        <f t="shared" si="12"/>
        <v>100</v>
      </c>
      <c r="T40" s="774" t="s">
        <v>17</v>
      </c>
      <c r="U40" s="775">
        <f t="shared" si="13"/>
        <v>100</v>
      </c>
      <c r="V40" s="774" t="s">
        <v>17</v>
      </c>
      <c r="W40" s="775">
        <f t="shared" si="14"/>
        <v>100</v>
      </c>
      <c r="X40" s="1813"/>
      <c r="Y40" s="3288"/>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80" t="str">
        <f>A41</f>
        <v>成交单价（元/平方米）</v>
      </c>
      <c r="Q41" s="3280"/>
      <c r="R41" s="3281">
        <f>E41</f>
        <v>0</v>
      </c>
      <c r="S41" s="3281"/>
      <c r="T41" s="3281">
        <f>G41</f>
        <v>0</v>
      </c>
      <c r="U41" s="3281"/>
      <c r="V41" s="3281">
        <f>I41</f>
        <v>0</v>
      </c>
      <c r="W41" s="3281"/>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80" t="str">
        <f>A42</f>
        <v>比较价值（元/平方米）</v>
      </c>
      <c r="Q42" s="3280"/>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77" t="str">
        <f>A43</f>
        <v>估价对象XX用房的比较价值（楼面单价，元/平方米）</v>
      </c>
      <c r="Q43" s="3278"/>
      <c r="R43" s="3279" t="e">
        <f>IF(F1="售价",ROUND(AVERAGE(R42:V42),0),ROUND(AVERAGE(R42:V42),1))</f>
        <v>#DIV/0!</v>
      </c>
      <c r="S43" s="3279"/>
      <c r="T43" s="3279"/>
      <c r="U43" s="3279"/>
      <c r="V43" s="3279"/>
      <c r="W43" s="32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1"/>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46" t="s">
        <v>2639</v>
      </c>
      <c r="AC4" s="3245" t="s">
        <v>2640</v>
      </c>
    </row>
    <row r="5" spans="1:29"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46"/>
      <c r="AC5" s="3246"/>
    </row>
    <row r="6" spans="1:29" ht="15.75" thickBot="1">
      <c r="A6" s="406"/>
      <c r="B6" s="407"/>
      <c r="C6" s="3258" t="s">
        <v>2537</v>
      </c>
      <c r="D6" s="3259"/>
      <c r="E6" s="3260" t="s">
        <v>2537</v>
      </c>
      <c r="F6" s="3261"/>
      <c r="G6" s="3258" t="s">
        <v>2537</v>
      </c>
      <c r="H6" s="3259"/>
      <c r="I6" s="3258" t="s">
        <v>2537</v>
      </c>
      <c r="J6" s="3259"/>
      <c r="K6" s="610" t="s">
        <v>2538</v>
      </c>
      <c r="L6" s="1130"/>
      <c r="M6" s="1131"/>
      <c r="N6" s="1131"/>
      <c r="O6" s="1131"/>
      <c r="P6" s="3271"/>
      <c r="Q6" s="3272"/>
      <c r="R6" s="3252"/>
      <c r="S6" s="3253"/>
      <c r="T6" s="3273"/>
      <c r="U6" s="3274"/>
      <c r="V6" s="3275"/>
      <c r="W6" s="3275"/>
      <c r="X6" s="1813"/>
      <c r="Y6" s="3273"/>
      <c r="Z6" s="3274"/>
      <c r="AA6" s="3247"/>
      <c r="AB6" s="3247"/>
      <c r="AC6" s="3247"/>
    </row>
    <row r="7" spans="1:29" s="117" customFormat="1" ht="15.75" thickBot="1">
      <c r="A7" s="408" t="s">
        <v>2539</v>
      </c>
      <c r="B7" s="409"/>
      <c r="C7" s="410">
        <f>'数据-取费表'!B2</f>
        <v>43922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8" t="s">
        <v>2540</v>
      </c>
      <c r="Q7" s="3276"/>
      <c r="R7" s="770" t="s">
        <v>17</v>
      </c>
      <c r="S7" s="771">
        <f t="shared" ref="S7:S14" si="0">F7</f>
        <v>0</v>
      </c>
      <c r="T7" s="770" t="s">
        <v>17</v>
      </c>
      <c r="U7" s="771">
        <f t="shared" ref="U7:U14" si="1">H7</f>
        <v>0</v>
      </c>
      <c r="V7" s="770" t="s">
        <v>17</v>
      </c>
      <c r="W7" s="771">
        <f t="shared" ref="W7:W14" si="2">J7</f>
        <v>0</v>
      </c>
      <c r="X7" s="772"/>
      <c r="Y7" s="3248" t="s">
        <v>2540</v>
      </c>
      <c r="Z7" s="324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8" t="s">
        <v>2543</v>
      </c>
      <c r="Q8" s="3249"/>
      <c r="R8" s="770" t="s">
        <v>17</v>
      </c>
      <c r="S8" s="771">
        <f t="shared" si="0"/>
        <v>0</v>
      </c>
      <c r="T8" s="770" t="s">
        <v>17</v>
      </c>
      <c r="U8" s="771">
        <f t="shared" si="1"/>
        <v>0</v>
      </c>
      <c r="V8" s="770" t="s">
        <v>17</v>
      </c>
      <c r="W8" s="771">
        <f t="shared" si="2"/>
        <v>0</v>
      </c>
      <c r="X8" s="772"/>
      <c r="Y8" s="3248" t="s">
        <v>2543</v>
      </c>
      <c r="Z8" s="324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0" t="s">
        <v>2546</v>
      </c>
      <c r="Q9" s="1795" t="str">
        <f t="shared" ref="Q9:Q14" si="6">B9</f>
        <v>用途</v>
      </c>
      <c r="R9" s="770" t="s">
        <v>17</v>
      </c>
      <c r="S9" s="771">
        <f t="shared" si="0"/>
        <v>100</v>
      </c>
      <c r="T9" s="770" t="s">
        <v>17</v>
      </c>
      <c r="U9" s="771">
        <f t="shared" si="1"/>
        <v>100</v>
      </c>
      <c r="V9" s="770" t="s">
        <v>17</v>
      </c>
      <c r="W9" s="771">
        <f t="shared" si="2"/>
        <v>100</v>
      </c>
      <c r="X9" s="772"/>
      <c r="Y9" s="308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0"/>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0"/>
      <c r="Q11" s="1795">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0"/>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0"/>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99.75">
      <c r="A14" s="401" t="s">
        <v>2550</v>
      </c>
      <c r="B14" s="629" t="s">
        <v>2700</v>
      </c>
      <c r="C14" s="2690" t="str">
        <f>IF(B1="工业",估价对象房地状况!G4,估价对象房地状况!C6)</f>
        <v>估价对象周边有h08路、h40路、h63路、h70路等多条公交线路、项目内可停车，综合评价交通便捷度一般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2" t="s">
        <v>2551</v>
      </c>
      <c r="Q14" s="1810" t="str">
        <f t="shared" si="6"/>
        <v>交通便捷度</v>
      </c>
      <c r="R14" s="774" t="s">
        <v>17</v>
      </c>
      <c r="S14" s="775">
        <f t="shared" si="0"/>
        <v>100</v>
      </c>
      <c r="T14" s="774" t="s">
        <v>17</v>
      </c>
      <c r="U14" s="775">
        <f t="shared" si="1"/>
        <v>100</v>
      </c>
      <c r="V14" s="774" t="s">
        <v>17</v>
      </c>
      <c r="W14" s="775">
        <f t="shared" si="2"/>
        <v>100</v>
      </c>
      <c r="X14" s="1813"/>
      <c r="Y14" s="3282"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83"/>
      <c r="Q15" s="1810"/>
      <c r="R15" s="774"/>
      <c r="S15" s="775"/>
      <c r="T15" s="774"/>
      <c r="U15" s="775"/>
      <c r="V15" s="774"/>
      <c r="W15" s="775"/>
      <c r="X15" s="1813"/>
      <c r="Y15" s="3283"/>
      <c r="Z15" s="1814"/>
      <c r="AA15" s="1811">
        <v>1</v>
      </c>
      <c r="AB15" s="1811">
        <v>1</v>
      </c>
      <c r="AC15" s="1811">
        <v>1</v>
      </c>
    </row>
    <row r="16" spans="1:29" ht="42.75">
      <c r="A16" s="404"/>
      <c r="B16" s="631" t="s">
        <v>2679</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3"/>
      <c r="Q16" s="1810" t="str">
        <f>B16</f>
        <v>公共配套设施</v>
      </c>
      <c r="R16" s="774" t="s">
        <v>17</v>
      </c>
      <c r="S16" s="775">
        <f>F16</f>
        <v>100</v>
      </c>
      <c r="T16" s="774" t="s">
        <v>17</v>
      </c>
      <c r="U16" s="775">
        <f>H16</f>
        <v>100</v>
      </c>
      <c r="V16" s="774" t="s">
        <v>17</v>
      </c>
      <c r="W16" s="775">
        <f>J16</f>
        <v>100</v>
      </c>
      <c r="X16" s="1813"/>
      <c r="Y16" s="3283"/>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83"/>
      <c r="Q17" s="1810"/>
      <c r="R17" s="774"/>
      <c r="S17" s="775"/>
      <c r="T17" s="774"/>
      <c r="U17" s="775"/>
      <c r="V17" s="774"/>
      <c r="W17" s="775"/>
      <c r="X17" s="1813"/>
      <c r="Y17" s="3283"/>
      <c r="Z17" s="1814"/>
      <c r="AA17" s="1811">
        <v>1</v>
      </c>
      <c r="AB17" s="1811">
        <v>1</v>
      </c>
      <c r="AC17" s="1811">
        <v>1</v>
      </c>
    </row>
    <row r="18" spans="1:29" ht="15">
      <c r="A18" s="404"/>
      <c r="B18" s="633" t="s">
        <v>2680</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3"/>
      <c r="Q18" s="1810" t="str">
        <f>B18</f>
        <v>基础设施水平</v>
      </c>
      <c r="R18" s="774" t="s">
        <v>17</v>
      </c>
      <c r="S18" s="775">
        <f>F18</f>
        <v>100</v>
      </c>
      <c r="T18" s="774" t="s">
        <v>17</v>
      </c>
      <c r="U18" s="775">
        <f>H18</f>
        <v>100</v>
      </c>
      <c r="V18" s="774" t="s">
        <v>17</v>
      </c>
      <c r="W18" s="775">
        <f>J18</f>
        <v>100</v>
      </c>
      <c r="X18" s="1813"/>
      <c r="Y18" s="3283"/>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83"/>
      <c r="Q19" s="1810"/>
      <c r="R19" s="774"/>
      <c r="S19" s="775"/>
      <c r="T19" s="774"/>
      <c r="U19" s="775"/>
      <c r="V19" s="774"/>
      <c r="W19" s="775"/>
      <c r="X19" s="1813"/>
      <c r="Y19" s="3283"/>
      <c r="Z19" s="1814"/>
      <c r="AA19" s="1811">
        <v>1</v>
      </c>
      <c r="AB19" s="1811">
        <v>1</v>
      </c>
      <c r="AC19" s="1811">
        <v>1</v>
      </c>
    </row>
    <row r="20" spans="1:29" ht="85.5">
      <c r="A20" s="404"/>
      <c r="B20" s="631" t="s">
        <v>2701</v>
      </c>
      <c r="C20" s="2604" t="str">
        <f>IF(B1="工业",估价对象房地状况!G7,估价对象房地状况!C9)</f>
        <v>区域自然环境：城南公园、怀河；人文环境：郑重庄社区村委会；综合评价环境状况一般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3"/>
      <c r="Q20" s="1810" t="str">
        <f>B20</f>
        <v>自然及人文环境</v>
      </c>
      <c r="R20" s="774" t="s">
        <v>17</v>
      </c>
      <c r="S20" s="775">
        <f>F20</f>
        <v>100</v>
      </c>
      <c r="T20" s="774" t="s">
        <v>17</v>
      </c>
      <c r="U20" s="775">
        <f>H20</f>
        <v>100</v>
      </c>
      <c r="V20" s="774" t="s">
        <v>17</v>
      </c>
      <c r="W20" s="775">
        <f>J20</f>
        <v>100</v>
      </c>
      <c r="X20" s="1813"/>
      <c r="Y20" s="32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83"/>
      <c r="Q21" s="1810"/>
      <c r="R21" s="774"/>
      <c r="S21" s="775"/>
      <c r="T21" s="774"/>
      <c r="U21" s="775"/>
      <c r="V21" s="774"/>
      <c r="W21" s="775"/>
      <c r="X21" s="1813"/>
      <c r="Y21" s="3283"/>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3"/>
      <c r="Q22" s="1810" t="str">
        <f>B22</f>
        <v>楼层</v>
      </c>
      <c r="R22" s="774" t="s">
        <v>17</v>
      </c>
      <c r="S22" s="775">
        <f>F22</f>
        <v>100</v>
      </c>
      <c r="T22" s="774" t="s">
        <v>17</v>
      </c>
      <c r="U22" s="775">
        <f>H22</f>
        <v>100</v>
      </c>
      <c r="V22" s="774" t="s">
        <v>17</v>
      </c>
      <c r="W22" s="775">
        <f>J22</f>
        <v>100</v>
      </c>
      <c r="X22" s="1813"/>
      <c r="Y22" s="32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3"/>
      <c r="Q23" s="1810">
        <f>B23</f>
        <v>111</v>
      </c>
      <c r="R23" s="774" t="s">
        <v>17</v>
      </c>
      <c r="S23" s="775">
        <f>F23</f>
        <v>100</v>
      </c>
      <c r="T23" s="774" t="s">
        <v>17</v>
      </c>
      <c r="U23" s="775">
        <f>H23</f>
        <v>100</v>
      </c>
      <c r="V23" s="774" t="s">
        <v>17</v>
      </c>
      <c r="W23" s="775">
        <f>J23</f>
        <v>100</v>
      </c>
      <c r="X23" s="1813"/>
      <c r="Y23" s="32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3"/>
      <c r="Q24" s="1810">
        <f t="shared" ref="Q24:Q36" si="11">B24</f>
        <v>111</v>
      </c>
      <c r="R24" s="774" t="s">
        <v>17</v>
      </c>
      <c r="S24" s="775">
        <f>F24</f>
        <v>100</v>
      </c>
      <c r="T24" s="774" t="s">
        <v>17</v>
      </c>
      <c r="U24" s="775">
        <f>H24</f>
        <v>100</v>
      </c>
      <c r="V24" s="774" t="s">
        <v>17</v>
      </c>
      <c r="W24" s="775">
        <f>J24</f>
        <v>100</v>
      </c>
      <c r="X24" s="1813"/>
      <c r="Y24" s="32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3"/>
      <c r="Q25" s="1795">
        <f t="shared" si="11"/>
        <v>111</v>
      </c>
      <c r="R25" s="770" t="s">
        <v>17</v>
      </c>
      <c r="S25" s="771">
        <f>F25</f>
        <v>100</v>
      </c>
      <c r="T25" s="770" t="s">
        <v>17</v>
      </c>
      <c r="U25" s="771">
        <f>H25</f>
        <v>100</v>
      </c>
      <c r="V25" s="770" t="s">
        <v>17</v>
      </c>
      <c r="W25" s="771">
        <f>J25</f>
        <v>100</v>
      </c>
      <c r="X25" s="772"/>
      <c r="Y25" s="3283"/>
      <c r="Z25" s="55">
        <f>Q25</f>
        <v>111</v>
      </c>
      <c r="AA25" s="1811">
        <f>D25/F25</f>
        <v>1</v>
      </c>
      <c r="AB25" s="1811">
        <f>D25/H25</f>
        <v>1</v>
      </c>
      <c r="AC25" s="1811">
        <f>D25/J25</f>
        <v>1</v>
      </c>
    </row>
    <row r="26" spans="1:29" ht="29.2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9"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87"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7"/>
      <c r="Q27" s="776" t="str">
        <f t="shared" si="11"/>
        <v>项目停车位配比</v>
      </c>
      <c r="R27" s="777" t="s">
        <v>17</v>
      </c>
      <c r="S27" s="778">
        <f t="shared" si="12"/>
        <v>100</v>
      </c>
      <c r="T27" s="777" t="s">
        <v>17</v>
      </c>
      <c r="U27" s="778">
        <f t="shared" si="13"/>
        <v>100</v>
      </c>
      <c r="V27" s="777" t="s">
        <v>17</v>
      </c>
      <c r="W27" s="778">
        <f t="shared" si="14"/>
        <v>100</v>
      </c>
      <c r="X27" s="779"/>
      <c r="Y27" s="3287"/>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7"/>
      <c r="Q28" s="1810" t="str">
        <f t="shared" si="11"/>
        <v>公共部分装修</v>
      </c>
      <c r="R28" s="774" t="s">
        <v>17</v>
      </c>
      <c r="S28" s="775">
        <f t="shared" si="12"/>
        <v>100</v>
      </c>
      <c r="T28" s="774" t="s">
        <v>17</v>
      </c>
      <c r="U28" s="775">
        <f t="shared" si="13"/>
        <v>100</v>
      </c>
      <c r="V28" s="774" t="s">
        <v>17</v>
      </c>
      <c r="W28" s="775">
        <f t="shared" si="14"/>
        <v>100</v>
      </c>
      <c r="X28" s="1813"/>
      <c r="Y28" s="3287"/>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7"/>
      <c r="Q29" s="1810" t="str">
        <f t="shared" si="11"/>
        <v>成新率</v>
      </c>
      <c r="R29" s="774" t="s">
        <v>17</v>
      </c>
      <c r="S29" s="775" t="e">
        <f t="shared" si="12"/>
        <v>#N/A</v>
      </c>
      <c r="T29" s="774" t="s">
        <v>17</v>
      </c>
      <c r="U29" s="775" t="e">
        <f t="shared" si="13"/>
        <v>#N/A</v>
      </c>
      <c r="V29" s="774" t="s">
        <v>17</v>
      </c>
      <c r="W29" s="775" t="e">
        <f t="shared" si="14"/>
        <v>#N/A</v>
      </c>
      <c r="X29" s="1813"/>
      <c r="Y29" s="3287"/>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7"/>
      <c r="Q30" s="1810" t="str">
        <f t="shared" si="11"/>
        <v>物业等级</v>
      </c>
      <c r="R30" s="774" t="s">
        <v>17</v>
      </c>
      <c r="S30" s="775">
        <f t="shared" si="12"/>
        <v>100</v>
      </c>
      <c r="T30" s="774" t="s">
        <v>17</v>
      </c>
      <c r="U30" s="775">
        <f t="shared" si="13"/>
        <v>100</v>
      </c>
      <c r="V30" s="774" t="s">
        <v>17</v>
      </c>
      <c r="W30" s="775">
        <f t="shared" si="14"/>
        <v>100</v>
      </c>
      <c r="X30" s="1813"/>
      <c r="Y30" s="3287"/>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7"/>
      <c r="Q31" s="1795" t="str">
        <f t="shared" si="11"/>
        <v>停车位面积</v>
      </c>
      <c r="R31" s="770" t="s">
        <v>17</v>
      </c>
      <c r="S31" s="771" t="e">
        <f t="shared" si="12"/>
        <v>#N/A</v>
      </c>
      <c r="T31" s="770" t="s">
        <v>17</v>
      </c>
      <c r="U31" s="771" t="e">
        <f t="shared" si="13"/>
        <v>#N/A</v>
      </c>
      <c r="V31" s="770" t="s">
        <v>17</v>
      </c>
      <c r="W31" s="771" t="e">
        <f t="shared" si="14"/>
        <v>#N/A</v>
      </c>
      <c r="X31" s="772"/>
      <c r="Y31" s="3287"/>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7" t="s">
        <v>2556</v>
      </c>
      <c r="Q32" s="1810" t="str">
        <f t="shared" si="11"/>
        <v>车位类型</v>
      </c>
      <c r="R32" s="774" t="s">
        <v>17</v>
      </c>
      <c r="S32" s="775">
        <f t="shared" si="12"/>
        <v>100</v>
      </c>
      <c r="T32" s="774" t="s">
        <v>17</v>
      </c>
      <c r="U32" s="775">
        <f t="shared" si="13"/>
        <v>100</v>
      </c>
      <c r="V32" s="774" t="s">
        <v>17</v>
      </c>
      <c r="W32" s="775">
        <f t="shared" si="14"/>
        <v>100</v>
      </c>
      <c r="X32" s="1813"/>
      <c r="Y32" s="3287"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7"/>
      <c r="Q33" s="1810" t="str">
        <f t="shared" si="11"/>
        <v>是否直接入户</v>
      </c>
      <c r="R33" s="774" t="s">
        <v>17</v>
      </c>
      <c r="S33" s="775">
        <f t="shared" si="12"/>
        <v>100</v>
      </c>
      <c r="T33" s="774" t="s">
        <v>17</v>
      </c>
      <c r="U33" s="775">
        <f t="shared" si="13"/>
        <v>100</v>
      </c>
      <c r="V33" s="774" t="s">
        <v>17</v>
      </c>
      <c r="W33" s="775">
        <f t="shared" si="14"/>
        <v>100</v>
      </c>
      <c r="X33" s="1813"/>
      <c r="Y33" s="328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7"/>
      <c r="Q34" s="1810">
        <f t="shared" si="11"/>
        <v>111</v>
      </c>
      <c r="R34" s="774" t="s">
        <v>17</v>
      </c>
      <c r="S34" s="775">
        <f t="shared" si="12"/>
        <v>100</v>
      </c>
      <c r="T34" s="774" t="s">
        <v>17</v>
      </c>
      <c r="U34" s="775">
        <f t="shared" si="13"/>
        <v>100</v>
      </c>
      <c r="V34" s="774" t="s">
        <v>17</v>
      </c>
      <c r="W34" s="775">
        <f t="shared" si="14"/>
        <v>100</v>
      </c>
      <c r="X34" s="1813"/>
      <c r="Y34" s="328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7"/>
      <c r="Q35" s="776">
        <f t="shared" si="11"/>
        <v>111</v>
      </c>
      <c r="R35" s="777" t="s">
        <v>17</v>
      </c>
      <c r="S35" s="778">
        <f t="shared" si="12"/>
        <v>100</v>
      </c>
      <c r="T35" s="777" t="s">
        <v>17</v>
      </c>
      <c r="U35" s="778">
        <f t="shared" si="13"/>
        <v>100</v>
      </c>
      <c r="V35" s="777" t="s">
        <v>17</v>
      </c>
      <c r="W35" s="778">
        <f t="shared" si="14"/>
        <v>100</v>
      </c>
      <c r="X35" s="779"/>
      <c r="Y35" s="328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7"/>
      <c r="Q36" s="1810">
        <f t="shared" si="11"/>
        <v>111</v>
      </c>
      <c r="R36" s="774" t="s">
        <v>17</v>
      </c>
      <c r="S36" s="775">
        <f t="shared" si="12"/>
        <v>100</v>
      </c>
      <c r="T36" s="774" t="s">
        <v>17</v>
      </c>
      <c r="U36" s="775">
        <f t="shared" si="13"/>
        <v>100</v>
      </c>
      <c r="V36" s="774" t="s">
        <v>17</v>
      </c>
      <c r="W36" s="775">
        <f t="shared" si="14"/>
        <v>100</v>
      </c>
      <c r="X36" s="1813"/>
      <c r="Y36" s="3287"/>
      <c r="Z36" s="1814">
        <f t="shared" si="15"/>
        <v>111</v>
      </c>
      <c r="AA36" s="1811">
        <f t="shared" si="3"/>
        <v>1</v>
      </c>
      <c r="AB36" s="1811">
        <f t="shared" si="4"/>
        <v>1</v>
      </c>
      <c r="AC36" s="1811">
        <f t="shared" si="5"/>
        <v>1</v>
      </c>
    </row>
    <row r="37" spans="1:29" ht="15">
      <c r="A37" s="479" t="s">
        <v>2711</v>
      </c>
      <c r="B37" s="2692" t="s">
        <v>2712</v>
      </c>
      <c r="C37" s="1407" t="s">
        <v>1</v>
      </c>
      <c r="D37" s="1408"/>
      <c r="E37" s="1409"/>
      <c r="F37" s="1410"/>
      <c r="G37" s="1411"/>
      <c r="H37" s="1412"/>
      <c r="I37" s="1409"/>
      <c r="J37" s="1412"/>
      <c r="K37" s="619"/>
      <c r="L37" s="1143"/>
      <c r="M37" s="1144"/>
      <c r="N37" s="1131"/>
      <c r="O37" s="1144"/>
      <c r="P37" s="3280" t="str">
        <f>A37</f>
        <v>成交单价</v>
      </c>
      <c r="Q37" s="3280"/>
      <c r="R37" s="3281">
        <f>E37</f>
        <v>0</v>
      </c>
      <c r="S37" s="3281"/>
      <c r="T37" s="3281">
        <f>G37</f>
        <v>0</v>
      </c>
      <c r="U37" s="3281"/>
      <c r="V37" s="3281">
        <f>I37</f>
        <v>0</v>
      </c>
      <c r="W37" s="3281"/>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80" t="str">
        <f>A38</f>
        <v>比较价值（元/平方米）</v>
      </c>
      <c r="Q38" s="3280"/>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77" t="str">
        <f>A39</f>
        <v>估价对象XX用房的比较价值（楼面单价，元/平方米）</v>
      </c>
      <c r="Q39" s="3278"/>
      <c r="R39" s="3279" t="e">
        <f>IF(F1="售价",ROUND(AVERAGE(R38:V38),0),ROUND(AVERAGE(R38:V38),1))</f>
        <v>#DIV/0!</v>
      </c>
      <c r="S39" s="3279"/>
      <c r="T39" s="3279"/>
      <c r="U39" s="3279"/>
      <c r="V39" s="3279"/>
      <c r="W39" s="32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46" t="s">
        <v>2639</v>
      </c>
      <c r="AC4" s="3245" t="s">
        <v>2640</v>
      </c>
    </row>
    <row r="5" spans="1:29"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46"/>
      <c r="AC5" s="3246"/>
    </row>
    <row r="6" spans="1:29" ht="15.75" thickBot="1">
      <c r="A6" s="406"/>
      <c r="B6" s="407"/>
      <c r="C6" s="3258" t="s">
        <v>2537</v>
      </c>
      <c r="D6" s="3259"/>
      <c r="E6" s="3260" t="s">
        <v>2537</v>
      </c>
      <c r="F6" s="3261"/>
      <c r="G6" s="3258" t="s">
        <v>2537</v>
      </c>
      <c r="H6" s="3259"/>
      <c r="I6" s="3258" t="s">
        <v>2537</v>
      </c>
      <c r="J6" s="3259"/>
      <c r="K6" s="610" t="s">
        <v>2538</v>
      </c>
      <c r="L6" s="1130"/>
      <c r="M6" s="1131"/>
      <c r="N6" s="1131"/>
      <c r="O6" s="1131"/>
      <c r="P6" s="3271"/>
      <c r="Q6" s="3272"/>
      <c r="R6" s="3252"/>
      <c r="S6" s="3253"/>
      <c r="T6" s="3273"/>
      <c r="U6" s="3274"/>
      <c r="V6" s="3275"/>
      <c r="W6" s="3275"/>
      <c r="X6" s="1813"/>
      <c r="Y6" s="3273"/>
      <c r="Z6" s="3274"/>
      <c r="AA6" s="3247"/>
      <c r="AB6" s="3247"/>
      <c r="AC6" s="3247"/>
    </row>
    <row r="7" spans="1:29" s="117" customFormat="1" ht="15.75" thickBot="1">
      <c r="A7" s="408" t="s">
        <v>2539</v>
      </c>
      <c r="B7" s="409"/>
      <c r="C7" s="410">
        <f>'数据-取费表'!B2</f>
        <v>43922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48" t="s">
        <v>2540</v>
      </c>
      <c r="Q7" s="3276"/>
      <c r="R7" s="770" t="s">
        <v>17</v>
      </c>
      <c r="S7" s="771">
        <f t="shared" ref="S7:S14" si="0">F7</f>
        <v>0</v>
      </c>
      <c r="T7" s="770" t="s">
        <v>17</v>
      </c>
      <c r="U7" s="771">
        <f t="shared" ref="U7:U14" si="1">H7</f>
        <v>0</v>
      </c>
      <c r="V7" s="770" t="s">
        <v>17</v>
      </c>
      <c r="W7" s="771">
        <f t="shared" ref="W7:W14" si="2">J7</f>
        <v>0</v>
      </c>
      <c r="X7" s="772"/>
      <c r="Y7" s="3248" t="s">
        <v>2540</v>
      </c>
      <c r="Z7" s="324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8" t="s">
        <v>2543</v>
      </c>
      <c r="Q8" s="3249"/>
      <c r="R8" s="770" t="s">
        <v>17</v>
      </c>
      <c r="S8" s="771">
        <f t="shared" si="0"/>
        <v>0</v>
      </c>
      <c r="T8" s="770" t="s">
        <v>17</v>
      </c>
      <c r="U8" s="771">
        <f t="shared" si="1"/>
        <v>0</v>
      </c>
      <c r="V8" s="770" t="s">
        <v>17</v>
      </c>
      <c r="W8" s="771">
        <f t="shared" si="2"/>
        <v>0</v>
      </c>
      <c r="X8" s="772"/>
      <c r="Y8" s="3248" t="s">
        <v>2543</v>
      </c>
      <c r="Z8" s="324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0" t="s">
        <v>2546</v>
      </c>
      <c r="Q9" s="1795" t="str">
        <f t="shared" ref="Q9:Q14" si="6">B9</f>
        <v>用途</v>
      </c>
      <c r="R9" s="770" t="s">
        <v>17</v>
      </c>
      <c r="S9" s="771">
        <f t="shared" si="0"/>
        <v>100</v>
      </c>
      <c r="T9" s="770" t="s">
        <v>17</v>
      </c>
      <c r="U9" s="771">
        <f t="shared" si="1"/>
        <v>100</v>
      </c>
      <c r="V9" s="770" t="s">
        <v>17</v>
      </c>
      <c r="W9" s="771">
        <f t="shared" si="2"/>
        <v>100</v>
      </c>
      <c r="X9" s="772"/>
      <c r="Y9" s="308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0"/>
      <c r="Q10" s="1795"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0"/>
      <c r="Q11" s="1795">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0"/>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80"/>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99.75">
      <c r="A14" s="440" t="s">
        <v>2550</v>
      </c>
      <c r="B14" s="69" t="s">
        <v>2700</v>
      </c>
      <c r="C14" s="2690" t="str">
        <f>IF(B1="工业",估价对象房地状况!G4,估价对象房地状况!C6)</f>
        <v>估价对象周边有h08路、h40路、h63路、h70路等多条公交线路、项目内可停车，综合评价交通便捷度一般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2" t="s">
        <v>2551</v>
      </c>
      <c r="Q14" s="1810" t="str">
        <f t="shared" si="6"/>
        <v>交通便捷度</v>
      </c>
      <c r="R14" s="774" t="s">
        <v>17</v>
      </c>
      <c r="S14" s="775">
        <f t="shared" si="0"/>
        <v>100</v>
      </c>
      <c r="T14" s="774" t="s">
        <v>17</v>
      </c>
      <c r="U14" s="775">
        <f t="shared" si="1"/>
        <v>100</v>
      </c>
      <c r="V14" s="774" t="s">
        <v>17</v>
      </c>
      <c r="W14" s="775">
        <f t="shared" si="2"/>
        <v>100</v>
      </c>
      <c r="X14" s="1813"/>
      <c r="Y14" s="3282"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83"/>
      <c r="Q15" s="1810"/>
      <c r="R15" s="774"/>
      <c r="S15" s="775"/>
      <c r="T15" s="774"/>
      <c r="U15" s="775"/>
      <c r="V15" s="774"/>
      <c r="W15" s="775"/>
      <c r="X15" s="1813"/>
      <c r="Y15" s="3283"/>
      <c r="Z15" s="1814"/>
      <c r="AA15" s="1811">
        <v>1</v>
      </c>
      <c r="AB15" s="1811">
        <v>1</v>
      </c>
      <c r="AC15" s="1811">
        <v>1</v>
      </c>
    </row>
    <row r="16" spans="1:29" ht="42.75">
      <c r="A16" s="428"/>
      <c r="B16" s="451" t="s">
        <v>2679</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3"/>
      <c r="Q16" s="1810" t="str">
        <f>B16</f>
        <v>公共配套设施</v>
      </c>
      <c r="R16" s="774" t="s">
        <v>17</v>
      </c>
      <c r="S16" s="775">
        <f>F16</f>
        <v>100</v>
      </c>
      <c r="T16" s="774" t="s">
        <v>17</v>
      </c>
      <c r="U16" s="775">
        <f>H16</f>
        <v>100</v>
      </c>
      <c r="V16" s="774" t="s">
        <v>17</v>
      </c>
      <c r="W16" s="775">
        <f>J16</f>
        <v>100</v>
      </c>
      <c r="X16" s="1813"/>
      <c r="Y16" s="3283"/>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83"/>
      <c r="Q17" s="1810"/>
      <c r="R17" s="774"/>
      <c r="S17" s="775"/>
      <c r="T17" s="774"/>
      <c r="U17" s="775"/>
      <c r="V17" s="774"/>
      <c r="W17" s="775"/>
      <c r="X17" s="1813"/>
      <c r="Y17" s="3283"/>
      <c r="Z17" s="1814"/>
      <c r="AA17" s="1811">
        <v>1</v>
      </c>
      <c r="AB17" s="1811">
        <v>1</v>
      </c>
      <c r="AC17" s="1811">
        <v>1</v>
      </c>
    </row>
    <row r="18" spans="1:29" ht="15">
      <c r="A18" s="428"/>
      <c r="B18" s="1384" t="s">
        <v>2680</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3"/>
      <c r="Q18" s="1810" t="str">
        <f>B18</f>
        <v>基础设施水平</v>
      </c>
      <c r="R18" s="774" t="s">
        <v>17</v>
      </c>
      <c r="S18" s="775">
        <f>F18</f>
        <v>100</v>
      </c>
      <c r="T18" s="774" t="s">
        <v>17</v>
      </c>
      <c r="U18" s="775">
        <f>H18</f>
        <v>100</v>
      </c>
      <c r="V18" s="774" t="s">
        <v>17</v>
      </c>
      <c r="W18" s="775">
        <f>J18</f>
        <v>100</v>
      </c>
      <c r="X18" s="1813"/>
      <c r="Y18" s="3283"/>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83"/>
      <c r="Q19" s="1810"/>
      <c r="R19" s="774"/>
      <c r="S19" s="775"/>
      <c r="T19" s="774"/>
      <c r="U19" s="775"/>
      <c r="V19" s="774"/>
      <c r="W19" s="775"/>
      <c r="X19" s="1813"/>
      <c r="Y19" s="3283"/>
      <c r="Z19" s="1814"/>
      <c r="AA19" s="1811">
        <v>1</v>
      </c>
      <c r="AB19" s="1811">
        <v>1</v>
      </c>
      <c r="AC19" s="1811">
        <v>1</v>
      </c>
    </row>
    <row r="20" spans="1:29" ht="85.5">
      <c r="A20" s="428"/>
      <c r="B20" s="451" t="s">
        <v>2701</v>
      </c>
      <c r="C20" s="2604" t="str">
        <f>IF(B1="工业",估价对象房地状况!G7,估价对象房地状况!C9)</f>
        <v>区域自然环境：城南公园、怀河；人文环境：郑重庄社区村委会；综合评价环境状况一般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3"/>
      <c r="Q20" s="1810" t="str">
        <f>B20</f>
        <v>自然及人文环境</v>
      </c>
      <c r="R20" s="774" t="s">
        <v>17</v>
      </c>
      <c r="S20" s="775">
        <f>F20</f>
        <v>100</v>
      </c>
      <c r="T20" s="774" t="s">
        <v>17</v>
      </c>
      <c r="U20" s="775">
        <f>H20</f>
        <v>100</v>
      </c>
      <c r="V20" s="774" t="s">
        <v>17</v>
      </c>
      <c r="W20" s="775">
        <f>J20</f>
        <v>100</v>
      </c>
      <c r="X20" s="1813"/>
      <c r="Y20" s="32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83"/>
      <c r="Q21" s="1810"/>
      <c r="R21" s="774"/>
      <c r="S21" s="775"/>
      <c r="T21" s="774"/>
      <c r="U21" s="775"/>
      <c r="V21" s="774"/>
      <c r="W21" s="775"/>
      <c r="X21" s="1813"/>
      <c r="Y21" s="3283"/>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3"/>
      <c r="Q22" s="1810" t="str">
        <f>B22</f>
        <v>楼层</v>
      </c>
      <c r="R22" s="774" t="s">
        <v>17</v>
      </c>
      <c r="S22" s="775">
        <f>F22</f>
        <v>100</v>
      </c>
      <c r="T22" s="774" t="s">
        <v>17</v>
      </c>
      <c r="U22" s="775">
        <f>H22</f>
        <v>100</v>
      </c>
      <c r="V22" s="774" t="s">
        <v>17</v>
      </c>
      <c r="W22" s="775">
        <f>J22</f>
        <v>100</v>
      </c>
      <c r="X22" s="1813"/>
      <c r="Y22" s="3283"/>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3"/>
      <c r="Q23" s="1810">
        <f>B23</f>
        <v>111</v>
      </c>
      <c r="R23" s="774" t="s">
        <v>17</v>
      </c>
      <c r="S23" s="775">
        <f>F23</f>
        <v>100</v>
      </c>
      <c r="T23" s="774" t="s">
        <v>17</v>
      </c>
      <c r="U23" s="775">
        <f>H23</f>
        <v>100</v>
      </c>
      <c r="V23" s="774" t="s">
        <v>17</v>
      </c>
      <c r="W23" s="775">
        <f>J23</f>
        <v>100</v>
      </c>
      <c r="X23" s="1813"/>
      <c r="Y23" s="3283"/>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3"/>
      <c r="Q24" s="1810">
        <f t="shared" ref="Q24:Q34" si="11">B24</f>
        <v>111</v>
      </c>
      <c r="R24" s="774" t="s">
        <v>17</v>
      </c>
      <c r="S24" s="775">
        <f>F24</f>
        <v>100</v>
      </c>
      <c r="T24" s="774" t="s">
        <v>17</v>
      </c>
      <c r="U24" s="775">
        <f>H24</f>
        <v>100</v>
      </c>
      <c r="V24" s="774" t="s">
        <v>17</v>
      </c>
      <c r="W24" s="775">
        <f>J24</f>
        <v>100</v>
      </c>
      <c r="X24" s="1813"/>
      <c r="Y24" s="3283"/>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83"/>
      <c r="Q25" s="1795">
        <f t="shared" si="11"/>
        <v>111</v>
      </c>
      <c r="R25" s="770" t="s">
        <v>17</v>
      </c>
      <c r="S25" s="771">
        <f>F25</f>
        <v>100</v>
      </c>
      <c r="T25" s="770" t="s">
        <v>17</v>
      </c>
      <c r="U25" s="771">
        <f>H25</f>
        <v>100</v>
      </c>
      <c r="V25" s="770" t="s">
        <v>17</v>
      </c>
      <c r="W25" s="771">
        <f>J25</f>
        <v>100</v>
      </c>
      <c r="X25" s="772"/>
      <c r="Y25" s="3283"/>
      <c r="Z25" s="55">
        <f>Q25</f>
        <v>111</v>
      </c>
      <c r="AA25" s="1811">
        <f>D25/F25</f>
        <v>1</v>
      </c>
      <c r="AB25" s="1811">
        <f>D25/H25</f>
        <v>1</v>
      </c>
      <c r="AC25" s="1811">
        <f>D25/J25</f>
        <v>1</v>
      </c>
    </row>
    <row r="26" spans="1:29" ht="29.2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309"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87"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7"/>
      <c r="Q27" s="776" t="str">
        <f t="shared" si="11"/>
        <v>成新率</v>
      </c>
      <c r="R27" s="777" t="s">
        <v>17</v>
      </c>
      <c r="S27" s="778" t="e">
        <f t="shared" si="12"/>
        <v>#N/A</v>
      </c>
      <c r="T27" s="777" t="s">
        <v>17</v>
      </c>
      <c r="U27" s="778" t="e">
        <f t="shared" si="13"/>
        <v>#N/A</v>
      </c>
      <c r="V27" s="777" t="s">
        <v>17</v>
      </c>
      <c r="W27" s="778" t="e">
        <f t="shared" si="14"/>
        <v>#N/A</v>
      </c>
      <c r="X27" s="779"/>
      <c r="Y27" s="3287"/>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7"/>
      <c r="Q28" s="1810" t="str">
        <f t="shared" si="11"/>
        <v>物业等级</v>
      </c>
      <c r="R28" s="774" t="s">
        <v>17</v>
      </c>
      <c r="S28" s="775">
        <f t="shared" si="12"/>
        <v>100</v>
      </c>
      <c r="T28" s="774" t="s">
        <v>17</v>
      </c>
      <c r="U28" s="775">
        <f t="shared" si="13"/>
        <v>100</v>
      </c>
      <c r="V28" s="774" t="s">
        <v>17</v>
      </c>
      <c r="W28" s="775">
        <f t="shared" si="14"/>
        <v>100</v>
      </c>
      <c r="X28" s="1813"/>
      <c r="Y28" s="3287"/>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7"/>
      <c r="Q29" s="1810" t="str">
        <f t="shared" si="11"/>
        <v>有无电梯</v>
      </c>
      <c r="R29" s="774" t="s">
        <v>17</v>
      </c>
      <c r="S29" s="775">
        <f t="shared" si="12"/>
        <v>100</v>
      </c>
      <c r="T29" s="774" t="s">
        <v>17</v>
      </c>
      <c r="U29" s="775">
        <f t="shared" si="13"/>
        <v>100</v>
      </c>
      <c r="V29" s="774" t="s">
        <v>17</v>
      </c>
      <c r="W29" s="775">
        <f t="shared" si="14"/>
        <v>100</v>
      </c>
      <c r="X29" s="1813"/>
      <c r="Y29" s="3287"/>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7"/>
      <c r="Q30" s="1810" t="str">
        <f t="shared" si="11"/>
        <v>建筑面积</v>
      </c>
      <c r="R30" s="774" t="s">
        <v>17</v>
      </c>
      <c r="S30" s="775" t="e">
        <f t="shared" si="12"/>
        <v>#N/A</v>
      </c>
      <c r="T30" s="774" t="s">
        <v>17</v>
      </c>
      <c r="U30" s="775" t="e">
        <f t="shared" si="13"/>
        <v>#N/A</v>
      </c>
      <c r="V30" s="774" t="s">
        <v>17</v>
      </c>
      <c r="W30" s="775" t="e">
        <f t="shared" si="14"/>
        <v>#N/A</v>
      </c>
      <c r="X30" s="1813"/>
      <c r="Y30" s="3287"/>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7"/>
      <c r="Q31" s="1795" t="str">
        <f t="shared" si="11"/>
        <v>是否封闭</v>
      </c>
      <c r="R31" s="770" t="s">
        <v>17</v>
      </c>
      <c r="S31" s="771">
        <f t="shared" si="12"/>
        <v>100</v>
      </c>
      <c r="T31" s="770" t="s">
        <v>17</v>
      </c>
      <c r="U31" s="771">
        <f t="shared" si="13"/>
        <v>100</v>
      </c>
      <c r="V31" s="770" t="s">
        <v>17</v>
      </c>
      <c r="W31" s="771">
        <f t="shared" si="14"/>
        <v>100</v>
      </c>
      <c r="X31" s="772"/>
      <c r="Y31" s="3287"/>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7" t="s">
        <v>2556</v>
      </c>
      <c r="Q32" s="1810">
        <f t="shared" si="11"/>
        <v>111</v>
      </c>
      <c r="R32" s="774" t="s">
        <v>17</v>
      </c>
      <c r="S32" s="775">
        <f t="shared" si="12"/>
        <v>100</v>
      </c>
      <c r="T32" s="774" t="s">
        <v>17</v>
      </c>
      <c r="U32" s="775">
        <f t="shared" si="13"/>
        <v>100</v>
      </c>
      <c r="V32" s="774" t="s">
        <v>17</v>
      </c>
      <c r="W32" s="775">
        <f t="shared" si="14"/>
        <v>100</v>
      </c>
      <c r="X32" s="1813"/>
      <c r="Y32" s="3287" t="s">
        <v>2556</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7"/>
      <c r="Q33" s="1810">
        <f t="shared" si="11"/>
        <v>111</v>
      </c>
      <c r="R33" s="774" t="s">
        <v>17</v>
      </c>
      <c r="S33" s="775">
        <f t="shared" si="12"/>
        <v>100</v>
      </c>
      <c r="T33" s="774" t="s">
        <v>17</v>
      </c>
      <c r="U33" s="775">
        <f t="shared" si="13"/>
        <v>100</v>
      </c>
      <c r="V33" s="774" t="s">
        <v>17</v>
      </c>
      <c r="W33" s="775">
        <f t="shared" si="14"/>
        <v>100</v>
      </c>
      <c r="X33" s="1813"/>
      <c r="Y33" s="3287"/>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87"/>
      <c r="Q34" s="1810">
        <f t="shared" si="11"/>
        <v>111</v>
      </c>
      <c r="R34" s="774" t="s">
        <v>17</v>
      </c>
      <c r="S34" s="775">
        <f t="shared" si="12"/>
        <v>100</v>
      </c>
      <c r="T34" s="774" t="s">
        <v>17</v>
      </c>
      <c r="U34" s="775">
        <f t="shared" si="13"/>
        <v>100</v>
      </c>
      <c r="V34" s="774" t="s">
        <v>17</v>
      </c>
      <c r="W34" s="775">
        <f t="shared" si="14"/>
        <v>100</v>
      </c>
      <c r="X34" s="1813"/>
      <c r="Y34" s="3287"/>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80" t="str">
        <f>A35</f>
        <v>成交单价（元/平方米）</v>
      </c>
      <c r="Q35" s="3280"/>
      <c r="R35" s="3281">
        <f>E35</f>
        <v>0</v>
      </c>
      <c r="S35" s="3281"/>
      <c r="T35" s="3281">
        <f>G35</f>
        <v>0</v>
      </c>
      <c r="U35" s="3281"/>
      <c r="V35" s="3281">
        <f>I35</f>
        <v>0</v>
      </c>
      <c r="W35" s="3281"/>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80" t="str">
        <f>A36</f>
        <v>比较价值（元/平方米）</v>
      </c>
      <c r="Q36" s="3280"/>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77" t="str">
        <f>A37</f>
        <v>估价对象XX用房的比较价值（楼面单价，元/平方米）</v>
      </c>
      <c r="Q37" s="3278"/>
      <c r="R37" s="3279" t="e">
        <f>IF(F1="售价",ROUND(AVERAGE(R36:V36),0),ROUND(AVERAGE(R36:V36),1))</f>
        <v>#DIV/0!</v>
      </c>
      <c r="S37" s="3279"/>
      <c r="T37" s="3279"/>
      <c r="U37" s="3279"/>
      <c r="V37" s="3279"/>
      <c r="W37" s="32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46" t="s">
        <v>2639</v>
      </c>
      <c r="AC4" s="3245" t="s">
        <v>2640</v>
      </c>
    </row>
    <row r="5" spans="1:30"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46"/>
      <c r="AC5" s="3246"/>
    </row>
    <row r="6" spans="1:30" ht="15.75" thickBot="1">
      <c r="A6" s="406"/>
      <c r="B6" s="407"/>
      <c r="C6" s="3258" t="s">
        <v>2537</v>
      </c>
      <c r="D6" s="3259"/>
      <c r="E6" s="3260" t="s">
        <v>2537</v>
      </c>
      <c r="F6" s="3261"/>
      <c r="G6" s="3258" t="s">
        <v>2537</v>
      </c>
      <c r="H6" s="3259"/>
      <c r="I6" s="3258" t="s">
        <v>2537</v>
      </c>
      <c r="J6" s="3259"/>
      <c r="K6" s="610" t="s">
        <v>2538</v>
      </c>
      <c r="L6" s="1130"/>
      <c r="M6" s="1131"/>
      <c r="N6" s="1131"/>
      <c r="O6" s="1131"/>
      <c r="P6" s="3271"/>
      <c r="Q6" s="3272"/>
      <c r="R6" s="3252"/>
      <c r="S6" s="3253"/>
      <c r="T6" s="3273"/>
      <c r="U6" s="3274"/>
      <c r="V6" s="3275"/>
      <c r="W6" s="3275"/>
      <c r="X6" s="1813"/>
      <c r="Y6" s="3273"/>
      <c r="Z6" s="3274"/>
      <c r="AA6" s="3247"/>
      <c r="AB6" s="3247"/>
      <c r="AC6" s="3247"/>
    </row>
    <row r="7" spans="1:30" s="117" customFormat="1" ht="15.75" thickBot="1">
      <c r="A7" s="408" t="s">
        <v>2539</v>
      </c>
      <c r="B7" s="409"/>
      <c r="C7" s="410">
        <f>'数据-取费表'!B2</f>
        <v>43922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48" t="s">
        <v>2540</v>
      </c>
      <c r="Q7" s="3276"/>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8" t="s">
        <v>2543</v>
      </c>
      <c r="Q8" s="3249"/>
      <c r="R8" s="770" t="s">
        <v>17</v>
      </c>
      <c r="S8" s="771">
        <f t="shared" si="0"/>
        <v>0</v>
      </c>
      <c r="T8" s="770" t="s">
        <v>17</v>
      </c>
      <c r="U8" s="771">
        <f t="shared" si="1"/>
        <v>0</v>
      </c>
      <c r="V8" s="770" t="s">
        <v>17</v>
      </c>
      <c r="W8" s="771">
        <f t="shared" si="2"/>
        <v>0</v>
      </c>
      <c r="X8" s="772"/>
      <c r="Y8" s="3248" t="s">
        <v>2543</v>
      </c>
      <c r="Z8" s="3249"/>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80"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280"/>
      <c r="Q10" s="1795" t="str">
        <f t="shared" si="6"/>
        <v>土地使用年限（年）</v>
      </c>
      <c r="R10" s="770" t="s">
        <v>17</v>
      </c>
      <c r="S10" s="771">
        <f t="shared" si="0"/>
        <v>158</v>
      </c>
      <c r="T10" s="770" t="s">
        <v>17</v>
      </c>
      <c r="U10" s="771">
        <f t="shared" si="1"/>
        <v>158</v>
      </c>
      <c r="V10" s="770" t="s">
        <v>17</v>
      </c>
      <c r="W10" s="771">
        <f t="shared" si="2"/>
        <v>158</v>
      </c>
      <c r="X10" s="772"/>
      <c r="Y10" s="3085"/>
      <c r="Z10" s="55" t="str">
        <f t="shared" si="7"/>
        <v>土地使用年限（年）</v>
      </c>
      <c r="AA10" s="773">
        <f t="shared" si="3"/>
        <v>0.63291139240506333</v>
      </c>
      <c r="AB10" s="773">
        <f t="shared" si="4"/>
        <v>0.63291139240506333</v>
      </c>
      <c r="AC10" s="773">
        <f t="shared" si="5"/>
        <v>0.63291139240506333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80"/>
      <c r="Q11" s="1795"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0"/>
      <c r="Q12" s="1795" t="str">
        <f t="shared" si="6"/>
        <v>配建</v>
      </c>
      <c r="R12" s="770" t="s">
        <v>17</v>
      </c>
      <c r="S12" s="771">
        <f t="shared" si="0"/>
        <v>100</v>
      </c>
      <c r="T12" s="770" t="s">
        <v>17</v>
      </c>
      <c r="U12" s="771">
        <f t="shared" si="1"/>
        <v>100</v>
      </c>
      <c r="V12" s="770" t="s">
        <v>17</v>
      </c>
      <c r="W12" s="771">
        <f t="shared" si="2"/>
        <v>100</v>
      </c>
      <c r="X12" s="772"/>
      <c r="Y12" s="3085"/>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0"/>
      <c r="Q13" s="1795">
        <f t="shared" si="6"/>
        <v>111</v>
      </c>
      <c r="R13" s="770" t="s">
        <v>17</v>
      </c>
      <c r="S13" s="771">
        <f t="shared" si="0"/>
        <v>100</v>
      </c>
      <c r="T13" s="770" t="s">
        <v>17</v>
      </c>
      <c r="U13" s="771">
        <f t="shared" si="1"/>
        <v>100</v>
      </c>
      <c r="V13" s="770" t="s">
        <v>17</v>
      </c>
      <c r="W13" s="771">
        <f t="shared" si="2"/>
        <v>100</v>
      </c>
      <c r="X13" s="772"/>
      <c r="Y13" s="3085"/>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0"/>
      <c r="Q14" s="1795">
        <f t="shared" si="6"/>
        <v>111</v>
      </c>
      <c r="R14" s="770" t="s">
        <v>17</v>
      </c>
      <c r="S14" s="771">
        <f t="shared" si="0"/>
        <v>100</v>
      </c>
      <c r="T14" s="770" t="s">
        <v>17</v>
      </c>
      <c r="U14" s="771">
        <f t="shared" si="1"/>
        <v>100</v>
      </c>
      <c r="V14" s="770" t="s">
        <v>17</v>
      </c>
      <c r="W14" s="771">
        <f t="shared" si="2"/>
        <v>100</v>
      </c>
      <c r="X14" s="772"/>
      <c r="Y14" s="3085"/>
      <c r="Z14" s="55">
        <f t="shared" si="7"/>
        <v>111</v>
      </c>
      <c r="AA14" s="773">
        <f>D14/F14</f>
        <v>1</v>
      </c>
      <c r="AB14" s="773">
        <f>D14/H14</f>
        <v>1</v>
      </c>
      <c r="AC14" s="773">
        <f>D14/J14</f>
        <v>1</v>
      </c>
    </row>
    <row r="15" spans="1:30" ht="99.75">
      <c r="A15" s="440" t="s">
        <v>2550</v>
      </c>
      <c r="B15" s="69" t="s">
        <v>2078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82" t="s">
        <v>2551</v>
      </c>
      <c r="Q15" s="1810" t="str">
        <f t="shared" si="6"/>
        <v>居住社区成熟度</v>
      </c>
      <c r="R15" s="774" t="s">
        <v>17</v>
      </c>
      <c r="S15" s="775">
        <f t="shared" si="0"/>
        <v>100</v>
      </c>
      <c r="T15" s="774" t="s">
        <v>17</v>
      </c>
      <c r="U15" s="775">
        <f t="shared" si="1"/>
        <v>100</v>
      </c>
      <c r="V15" s="774" t="s">
        <v>17</v>
      </c>
      <c r="W15" s="775">
        <f t="shared" si="2"/>
        <v>100</v>
      </c>
      <c r="X15" s="1813"/>
      <c r="Y15" s="3282" t="s">
        <v>2551</v>
      </c>
      <c r="Z15" s="1814" t="str">
        <f t="shared" si="7"/>
        <v>居住社区成熟度</v>
      </c>
      <c r="AA15" s="1811">
        <f t="shared" si="3"/>
        <v>1</v>
      </c>
      <c r="AB15" s="1811">
        <f t="shared" si="4"/>
        <v>1</v>
      </c>
      <c r="AC15" s="1811">
        <f t="shared" si="5"/>
        <v>1</v>
      </c>
    </row>
    <row r="16" spans="1:30" ht="15">
      <c r="A16" s="428"/>
      <c r="B16" s="446"/>
      <c r="C16" s="447"/>
      <c r="D16" s="448"/>
      <c r="E16" s="2602"/>
      <c r="F16" s="448"/>
      <c r="G16" s="2602"/>
      <c r="H16" s="450"/>
      <c r="I16" s="2601"/>
      <c r="J16" s="448"/>
      <c r="K16" s="672"/>
      <c r="L16" s="1140"/>
      <c r="M16" s="1131"/>
      <c r="N16" s="1131"/>
      <c r="O16" s="1139"/>
      <c r="P16" s="3283"/>
      <c r="Q16" s="1810"/>
      <c r="R16" s="774"/>
      <c r="S16" s="775"/>
      <c r="T16" s="774"/>
      <c r="U16" s="775"/>
      <c r="V16" s="774"/>
      <c r="W16" s="775"/>
      <c r="X16" s="1813"/>
      <c r="Y16" s="3283"/>
      <c r="Z16" s="1814"/>
      <c r="AA16" s="1811">
        <v>1</v>
      </c>
      <c r="AB16" s="1811">
        <v>1</v>
      </c>
      <c r="AC16" s="1811">
        <v>1</v>
      </c>
    </row>
    <row r="17" spans="1:29" ht="57">
      <c r="A17" s="428"/>
      <c r="B17" s="451" t="s">
        <v>2644</v>
      </c>
      <c r="C17" s="2661" t="str">
        <f>估价对象房地状况!C16</f>
        <v>估价对象周边商业氛围较成熟，人流量较少，商业繁华度一般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83"/>
      <c r="Q17" s="1810" t="str">
        <f>B17</f>
        <v>商业繁华度</v>
      </c>
      <c r="R17" s="774" t="s">
        <v>17</v>
      </c>
      <c r="S17" s="775">
        <f>F17</f>
        <v>100</v>
      </c>
      <c r="T17" s="774" t="s">
        <v>17</v>
      </c>
      <c r="U17" s="775">
        <f>H17</f>
        <v>100</v>
      </c>
      <c r="V17" s="774" t="s">
        <v>17</v>
      </c>
      <c r="W17" s="775">
        <f>J17</f>
        <v>100</v>
      </c>
      <c r="X17" s="1813"/>
      <c r="Y17" s="3283"/>
      <c r="Z17" s="1814" t="str">
        <f>Q17</f>
        <v>商业繁华度</v>
      </c>
      <c r="AA17" s="1811">
        <f t="shared" si="3"/>
        <v>1</v>
      </c>
      <c r="AB17" s="1811">
        <f t="shared" si="4"/>
        <v>1</v>
      </c>
      <c r="AC17" s="1811">
        <f t="shared" si="5"/>
        <v>1</v>
      </c>
    </row>
    <row r="18" spans="1:29" ht="15">
      <c r="A18" s="428"/>
      <c r="B18" s="456"/>
      <c r="C18" s="2605"/>
      <c r="D18" s="450"/>
      <c r="E18" s="2607"/>
      <c r="F18" s="450"/>
      <c r="G18" s="2607"/>
      <c r="H18" s="448"/>
      <c r="I18" s="2606"/>
      <c r="J18" s="448"/>
      <c r="K18" s="672"/>
      <c r="L18" s="1140"/>
      <c r="M18" s="1131"/>
      <c r="N18" s="1131"/>
      <c r="O18" s="1139"/>
      <c r="P18" s="3283"/>
      <c r="Q18" s="1810"/>
      <c r="R18" s="774"/>
      <c r="S18" s="775"/>
      <c r="T18" s="774"/>
      <c r="U18" s="775"/>
      <c r="V18" s="774"/>
      <c r="W18" s="775"/>
      <c r="X18" s="1813"/>
      <c r="Y18" s="3283"/>
      <c r="Z18" s="1814"/>
      <c r="AA18" s="1811">
        <v>1</v>
      </c>
      <c r="AB18" s="1811">
        <v>1</v>
      </c>
      <c r="AC18" s="1811">
        <v>1</v>
      </c>
    </row>
    <row r="19" spans="1:29" ht="57">
      <c r="A19" s="428"/>
      <c r="B19" s="451" t="s">
        <v>2678</v>
      </c>
      <c r="C19" s="2661"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83"/>
      <c r="Q19" s="1810" t="str">
        <f>B19</f>
        <v>办公集聚程度</v>
      </c>
      <c r="R19" s="774" t="s">
        <v>17</v>
      </c>
      <c r="S19" s="775">
        <f>F19</f>
        <v>100</v>
      </c>
      <c r="T19" s="774" t="s">
        <v>17</v>
      </c>
      <c r="U19" s="775">
        <f>H19</f>
        <v>100</v>
      </c>
      <c r="V19" s="774" t="s">
        <v>17</v>
      </c>
      <c r="W19" s="775">
        <f>J19</f>
        <v>100</v>
      </c>
      <c r="X19" s="1813"/>
      <c r="Y19" s="3283"/>
      <c r="Z19" s="1814" t="str">
        <f>Q19</f>
        <v>办公集聚程度</v>
      </c>
      <c r="AA19" s="1811">
        <f t="shared" si="3"/>
        <v>1</v>
      </c>
      <c r="AB19" s="1811">
        <f t="shared" si="4"/>
        <v>1</v>
      </c>
      <c r="AC19" s="1811">
        <f t="shared" si="5"/>
        <v>1</v>
      </c>
    </row>
    <row r="20" spans="1:29" ht="15">
      <c r="A20" s="428"/>
      <c r="B20" s="456"/>
      <c r="C20" s="447"/>
      <c r="D20" s="448"/>
      <c r="E20" s="2602"/>
      <c r="F20" s="448"/>
      <c r="G20" s="2602"/>
      <c r="H20" s="448"/>
      <c r="I20" s="2601"/>
      <c r="J20" s="448"/>
      <c r="K20" s="672"/>
      <c r="L20" s="1140"/>
      <c r="M20" s="1131"/>
      <c r="N20" s="1131"/>
      <c r="O20" s="1139"/>
      <c r="P20" s="3283"/>
      <c r="Q20" s="1810"/>
      <c r="R20" s="774"/>
      <c r="S20" s="775"/>
      <c r="T20" s="774"/>
      <c r="U20" s="775"/>
      <c r="V20" s="774"/>
      <c r="W20" s="775"/>
      <c r="X20" s="1813"/>
      <c r="Y20" s="3283"/>
      <c r="Z20" s="1814"/>
      <c r="AA20" s="1811">
        <v>1</v>
      </c>
      <c r="AB20" s="1811">
        <v>1</v>
      </c>
      <c r="AC20" s="1811">
        <v>1</v>
      </c>
    </row>
    <row r="21" spans="1:29" ht="99.75">
      <c r="A21" s="428"/>
      <c r="B21" s="451" t="s">
        <v>2700</v>
      </c>
      <c r="C21" s="2604" t="str">
        <f>估价对象房地状况!C18</f>
        <v>估价对象周边有h08路、h40路、h63路、h70路等多条公交线路、项目内可停车，综合评价交通便捷度一般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83"/>
      <c r="Q21" s="1810" t="str">
        <f>B21</f>
        <v>交通便捷度</v>
      </c>
      <c r="R21" s="774" t="s">
        <v>17</v>
      </c>
      <c r="S21" s="775">
        <f>F21</f>
        <v>100</v>
      </c>
      <c r="T21" s="774" t="s">
        <v>17</v>
      </c>
      <c r="U21" s="775">
        <f>H21</f>
        <v>100</v>
      </c>
      <c r="V21" s="774" t="s">
        <v>17</v>
      </c>
      <c r="W21" s="775">
        <f>J21</f>
        <v>100</v>
      </c>
      <c r="X21" s="1813"/>
      <c r="Y21" s="3283"/>
      <c r="Z21" s="1814" t="str">
        <f>Q21</f>
        <v>交通便捷度</v>
      </c>
      <c r="AA21" s="1811">
        <f t="shared" si="3"/>
        <v>1</v>
      </c>
      <c r="AB21" s="1811">
        <f t="shared" si="4"/>
        <v>1</v>
      </c>
      <c r="AC21" s="1811">
        <f t="shared" si="5"/>
        <v>1</v>
      </c>
    </row>
    <row r="22" spans="1:29" ht="15">
      <c r="A22" s="428"/>
      <c r="B22" s="1384"/>
      <c r="C22" s="447"/>
      <c r="D22" s="450"/>
      <c r="E22" s="2602"/>
      <c r="F22" s="448"/>
      <c r="G22" s="2602"/>
      <c r="H22" s="448"/>
      <c r="I22" s="2601"/>
      <c r="J22" s="448"/>
      <c r="K22" s="672"/>
      <c r="L22" s="1140"/>
      <c r="M22" s="1131"/>
      <c r="N22" s="1131"/>
      <c r="O22" s="1139"/>
      <c r="P22" s="3283"/>
      <c r="Q22" s="1810"/>
      <c r="R22" s="774"/>
      <c r="S22" s="775"/>
      <c r="T22" s="774"/>
      <c r="U22" s="775"/>
      <c r="V22" s="774"/>
      <c r="W22" s="775"/>
      <c r="X22" s="1813"/>
      <c r="Y22" s="3283"/>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83"/>
      <c r="Q23" s="1810" t="str">
        <f t="shared" ref="Q23:Q37" si="8">B23</f>
        <v>区域土地利用方向</v>
      </c>
      <c r="R23" s="774" t="s">
        <v>17</v>
      </c>
      <c r="S23" s="775">
        <f>F23</f>
        <v>100</v>
      </c>
      <c r="T23" s="774" t="s">
        <v>17</v>
      </c>
      <c r="U23" s="775">
        <f>H23</f>
        <v>100</v>
      </c>
      <c r="V23" s="774" t="s">
        <v>17</v>
      </c>
      <c r="W23" s="775">
        <f>J23</f>
        <v>100</v>
      </c>
      <c r="X23" s="1813"/>
      <c r="Y23" s="3283"/>
      <c r="Z23" s="1814" t="str">
        <f>Q23</f>
        <v>区域土地利用方向</v>
      </c>
      <c r="AA23" s="1811">
        <f t="shared" si="3"/>
        <v>1</v>
      </c>
      <c r="AB23" s="1811">
        <f t="shared" si="4"/>
        <v>1</v>
      </c>
      <c r="AC23" s="1811">
        <f t="shared" si="5"/>
        <v>1</v>
      </c>
    </row>
    <row r="24" spans="1:29" ht="15">
      <c r="A24" s="404"/>
      <c r="B24" s="456"/>
      <c r="C24" s="616"/>
      <c r="D24" s="448"/>
      <c r="E24" s="2602"/>
      <c r="F24" s="448"/>
      <c r="G24" s="2601"/>
      <c r="H24" s="448"/>
      <c r="I24" s="2601"/>
      <c r="J24" s="448"/>
      <c r="K24" s="812"/>
      <c r="L24" s="1140"/>
      <c r="M24" s="1131"/>
      <c r="N24" s="1131"/>
      <c r="O24" s="1139"/>
      <c r="P24" s="3283"/>
      <c r="Q24" s="1810"/>
      <c r="R24" s="774"/>
      <c r="S24" s="775"/>
      <c r="T24" s="774"/>
      <c r="U24" s="775"/>
      <c r="V24" s="774"/>
      <c r="W24" s="775"/>
      <c r="X24" s="1813"/>
      <c r="Y24" s="3283"/>
      <c r="Z24" s="1814"/>
      <c r="AA24" s="1811"/>
      <c r="AB24" s="1811"/>
      <c r="AC24" s="1811"/>
    </row>
    <row r="25" spans="1:29" ht="85.5">
      <c r="A25" s="404"/>
      <c r="B25" s="1384" t="s">
        <v>2740</v>
      </c>
      <c r="C25" s="2661" t="str">
        <f>估价对象房地状况!C20</f>
        <v>区域自然环境：城南公园、怀河；人文环境：郑重庄社区村委会；综合评价环境状况一般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83"/>
      <c r="Q25" s="1810" t="str">
        <f t="shared" si="8"/>
        <v>自然及人文环境状况</v>
      </c>
      <c r="R25" s="774" t="s">
        <v>17</v>
      </c>
      <c r="S25" s="775">
        <f>F25</f>
        <v>100</v>
      </c>
      <c r="T25" s="774" t="s">
        <v>17</v>
      </c>
      <c r="U25" s="775">
        <f>H25</f>
        <v>100</v>
      </c>
      <c r="V25" s="774" t="s">
        <v>17</v>
      </c>
      <c r="W25" s="775">
        <f>J25</f>
        <v>100</v>
      </c>
      <c r="X25" s="1813"/>
      <c r="Y25" s="3283"/>
      <c r="Z25" s="1814" t="str">
        <f>Q25</f>
        <v>自然及人文环境状况</v>
      </c>
      <c r="AA25" s="1811">
        <f t="shared" si="3"/>
        <v>1</v>
      </c>
      <c r="AB25" s="1811">
        <f t="shared" si="4"/>
        <v>1</v>
      </c>
      <c r="AC25" s="1811">
        <f t="shared" si="5"/>
        <v>1</v>
      </c>
    </row>
    <row r="26" spans="1:29" ht="15">
      <c r="A26" s="404"/>
      <c r="B26" s="456"/>
      <c r="C26" s="447"/>
      <c r="D26" s="448"/>
      <c r="E26" s="2608"/>
      <c r="F26" s="448"/>
      <c r="G26" s="2608"/>
      <c r="H26" s="448"/>
      <c r="I26" s="447"/>
      <c r="J26" s="448"/>
      <c r="K26" s="672"/>
      <c r="L26" s="1140"/>
      <c r="M26" s="1131"/>
      <c r="N26" s="1131"/>
      <c r="O26" s="1139"/>
      <c r="P26" s="3283"/>
      <c r="Q26" s="1810"/>
      <c r="R26" s="774"/>
      <c r="S26" s="775"/>
      <c r="T26" s="774"/>
      <c r="U26" s="775"/>
      <c r="V26" s="774"/>
      <c r="W26" s="775"/>
      <c r="X26" s="1813"/>
      <c r="Y26" s="3283"/>
      <c r="Z26" s="1814"/>
      <c r="AA26" s="1811">
        <v>1</v>
      </c>
      <c r="AB26" s="1811">
        <v>1</v>
      </c>
      <c r="AC26" s="1811">
        <v>1</v>
      </c>
    </row>
    <row r="27" spans="1:29" s="117" customFormat="1" ht="42.75">
      <c r="A27" s="649"/>
      <c r="B27" s="1384" t="s">
        <v>2645</v>
      </c>
      <c r="C27" s="2604"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83"/>
      <c r="Q27" s="1795" t="str">
        <f t="shared" si="8"/>
        <v>公共配套设施</v>
      </c>
      <c r="R27" s="770" t="s">
        <v>17</v>
      </c>
      <c r="S27" s="771">
        <f>F27</f>
        <v>100</v>
      </c>
      <c r="T27" s="770" t="s">
        <v>17</v>
      </c>
      <c r="U27" s="771">
        <f>H27</f>
        <v>100</v>
      </c>
      <c r="V27" s="770" t="s">
        <v>17</v>
      </c>
      <c r="W27" s="771">
        <f>J27</f>
        <v>100</v>
      </c>
      <c r="X27" s="772"/>
      <c r="Y27" s="3283"/>
      <c r="Z27" s="55" t="str">
        <f>Q27</f>
        <v>公共配套设施</v>
      </c>
      <c r="AA27" s="1811">
        <f>D27/F27</f>
        <v>1</v>
      </c>
      <c r="AB27" s="1811">
        <f>D27/H27</f>
        <v>1</v>
      </c>
      <c r="AC27" s="1811">
        <f>D27/J27</f>
        <v>1</v>
      </c>
    </row>
    <row r="28" spans="1:29" s="117" customFormat="1" ht="15">
      <c r="A28" s="649"/>
      <c r="B28" s="456"/>
      <c r="C28" s="2697"/>
      <c r="D28" s="448"/>
      <c r="E28" s="2608"/>
      <c r="F28" s="448"/>
      <c r="G28" s="2608"/>
      <c r="H28" s="448"/>
      <c r="I28" s="447"/>
      <c r="J28" s="448"/>
      <c r="K28" s="672"/>
      <c r="L28" s="1132"/>
      <c r="M28" s="1133"/>
      <c r="N28" s="1133"/>
      <c r="O28" s="1134"/>
      <c r="P28" s="3283"/>
      <c r="Q28" s="1795"/>
      <c r="R28" s="770"/>
      <c r="S28" s="771"/>
      <c r="T28" s="770"/>
      <c r="U28" s="771"/>
      <c r="V28" s="770"/>
      <c r="W28" s="771"/>
      <c r="X28" s="772"/>
      <c r="Y28" s="3283"/>
      <c r="Z28" s="55"/>
      <c r="AA28" s="1811">
        <v>1</v>
      </c>
      <c r="AB28" s="1811">
        <v>1</v>
      </c>
      <c r="AC28" s="1811">
        <v>1</v>
      </c>
    </row>
    <row r="29" spans="1:29" s="117" customFormat="1" ht="15">
      <c r="A29" s="649"/>
      <c r="B29" s="1384" t="s">
        <v>2646</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83"/>
      <c r="Q29" s="1795" t="str">
        <f t="shared" ref="Q29" si="9">B29</f>
        <v>基础设施水平</v>
      </c>
      <c r="R29" s="770" t="s">
        <v>17</v>
      </c>
      <c r="S29" s="771">
        <f>F29</f>
        <v>100</v>
      </c>
      <c r="T29" s="770" t="s">
        <v>17</v>
      </c>
      <c r="U29" s="771">
        <f>H29</f>
        <v>100</v>
      </c>
      <c r="V29" s="770" t="s">
        <v>17</v>
      </c>
      <c r="W29" s="771">
        <f>J29</f>
        <v>100</v>
      </c>
      <c r="X29" s="772"/>
      <c r="Y29" s="3283"/>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283"/>
      <c r="Q30" s="1795"/>
      <c r="R30" s="770"/>
      <c r="S30" s="771"/>
      <c r="T30" s="770"/>
      <c r="U30" s="771"/>
      <c r="V30" s="770"/>
      <c r="W30" s="771"/>
      <c r="X30" s="772"/>
      <c r="Y30" s="3283"/>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83"/>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83"/>
      <c r="Q32" s="1810" t="str">
        <f t="shared" si="8"/>
        <v>毗邻道路的类型与等级</v>
      </c>
      <c r="R32" s="774" t="s">
        <v>17</v>
      </c>
      <c r="S32" s="775">
        <f t="shared" si="10"/>
        <v>100</v>
      </c>
      <c r="T32" s="774" t="s">
        <v>17</v>
      </c>
      <c r="U32" s="775">
        <f t="shared" si="11"/>
        <v>100</v>
      </c>
      <c r="V32" s="774" t="s">
        <v>17</v>
      </c>
      <c r="W32" s="775">
        <f t="shared" si="12"/>
        <v>100</v>
      </c>
      <c r="X32" s="1813"/>
      <c r="Y32" s="3283"/>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283"/>
      <c r="Q33" s="1810"/>
      <c r="R33" s="774"/>
      <c r="S33" s="775"/>
      <c r="T33" s="774"/>
      <c r="U33" s="775"/>
      <c r="V33" s="774"/>
      <c r="W33" s="775"/>
      <c r="X33" s="1813"/>
      <c r="Y33" s="3283"/>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3"/>
      <c r="Q34" s="1810" t="str">
        <f t="shared" si="8"/>
        <v>土地级别</v>
      </c>
      <c r="R34" s="774" t="s">
        <v>17</v>
      </c>
      <c r="S34" s="775">
        <f t="shared" si="10"/>
        <v>100</v>
      </c>
      <c r="T34" s="774" t="s">
        <v>17</v>
      </c>
      <c r="U34" s="775">
        <f t="shared" si="11"/>
        <v>100</v>
      </c>
      <c r="V34" s="774" t="s">
        <v>17</v>
      </c>
      <c r="W34" s="775">
        <f t="shared" si="12"/>
        <v>100</v>
      </c>
      <c r="X34" s="1813"/>
      <c r="Y34" s="32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3"/>
      <c r="Q35" s="1810">
        <f t="shared" si="8"/>
        <v>111</v>
      </c>
      <c r="R35" s="774" t="s">
        <v>17</v>
      </c>
      <c r="S35" s="775">
        <f t="shared" si="10"/>
        <v>100</v>
      </c>
      <c r="T35" s="774" t="s">
        <v>17</v>
      </c>
      <c r="U35" s="775">
        <f t="shared" si="11"/>
        <v>100</v>
      </c>
      <c r="V35" s="774" t="s">
        <v>17</v>
      </c>
      <c r="W35" s="775">
        <f t="shared" si="12"/>
        <v>100</v>
      </c>
      <c r="X35" s="1813"/>
      <c r="Y35" s="32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9" t="s">
        <v>2556</v>
      </c>
      <c r="Q36" s="1810">
        <f t="shared" si="8"/>
        <v>111</v>
      </c>
      <c r="R36" s="774" t="s">
        <v>17</v>
      </c>
      <c r="S36" s="775">
        <f t="shared" si="10"/>
        <v>100</v>
      </c>
      <c r="T36" s="774" t="s">
        <v>17</v>
      </c>
      <c r="U36" s="775">
        <f t="shared" si="11"/>
        <v>100</v>
      </c>
      <c r="V36" s="774" t="s">
        <v>17</v>
      </c>
      <c r="W36" s="775">
        <f t="shared" si="12"/>
        <v>100</v>
      </c>
      <c r="X36" s="1813"/>
      <c r="Y36" s="3287"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7"/>
      <c r="Q37" s="1810">
        <f t="shared" si="8"/>
        <v>111</v>
      </c>
      <c r="R37" s="777" t="s">
        <v>17</v>
      </c>
      <c r="S37" s="778">
        <f t="shared" si="10"/>
        <v>100</v>
      </c>
      <c r="T37" s="777" t="s">
        <v>17</v>
      </c>
      <c r="U37" s="778">
        <f t="shared" si="11"/>
        <v>100</v>
      </c>
      <c r="V37" s="777" t="s">
        <v>17</v>
      </c>
      <c r="W37" s="778">
        <f t="shared" si="12"/>
        <v>100</v>
      </c>
      <c r="X37" s="779"/>
      <c r="Y37" s="3287"/>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7"/>
      <c r="Q38" s="1810" t="str">
        <f>B38</f>
        <v>宗地面积</v>
      </c>
      <c r="R38" s="774" t="s">
        <v>17</v>
      </c>
      <c r="S38" s="775" t="e">
        <f t="shared" si="10"/>
        <v>#N/A</v>
      </c>
      <c r="T38" s="774" t="s">
        <v>17</v>
      </c>
      <c r="U38" s="775" t="e">
        <f t="shared" si="11"/>
        <v>#N/A</v>
      </c>
      <c r="V38" s="774" t="s">
        <v>17</v>
      </c>
      <c r="W38" s="775" t="e">
        <f t="shared" si="12"/>
        <v>#N/A</v>
      </c>
      <c r="X38" s="1813"/>
      <c r="Y38" s="3287"/>
      <c r="Z38" s="1814" t="str">
        <f t="shared" si="13"/>
        <v>宗地面积</v>
      </c>
      <c r="AA38" s="1811" t="e">
        <f t="shared" si="3"/>
        <v>#N/A</v>
      </c>
      <c r="AB38" s="1811" t="e">
        <f t="shared" si="4"/>
        <v>#N/A</v>
      </c>
      <c r="AC38" s="1811"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87"/>
      <c r="Q39" s="1810" t="str">
        <f t="shared" ref="Q39:Q45" si="14">B39</f>
        <v>宗地形状</v>
      </c>
      <c r="R39" s="774" t="s">
        <v>17</v>
      </c>
      <c r="S39" s="775">
        <f t="shared" si="10"/>
        <v>100</v>
      </c>
      <c r="T39" s="774" t="s">
        <v>17</v>
      </c>
      <c r="U39" s="775">
        <f t="shared" si="11"/>
        <v>100</v>
      </c>
      <c r="V39" s="774" t="s">
        <v>17</v>
      </c>
      <c r="W39" s="775">
        <f t="shared" si="12"/>
        <v>100</v>
      </c>
      <c r="X39" s="1813"/>
      <c r="Y39" s="3287"/>
      <c r="Z39" s="1814" t="str">
        <f t="shared" si="13"/>
        <v>宗地形状</v>
      </c>
      <c r="AA39" s="1811">
        <f t="shared" si="3"/>
        <v>1</v>
      </c>
      <c r="AB39" s="1811">
        <f t="shared" si="4"/>
        <v>1</v>
      </c>
      <c r="AC39" s="1811">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87"/>
      <c r="Q40" s="1810" t="str">
        <f t="shared" si="14"/>
        <v>临街宽度及深度</v>
      </c>
      <c r="R40" s="774" t="s">
        <v>17</v>
      </c>
      <c r="S40" s="775">
        <f t="shared" si="10"/>
        <v>100</v>
      </c>
      <c r="T40" s="774" t="s">
        <v>17</v>
      </c>
      <c r="U40" s="775">
        <f t="shared" si="11"/>
        <v>100</v>
      </c>
      <c r="V40" s="774" t="s">
        <v>17</v>
      </c>
      <c r="W40" s="775">
        <f t="shared" si="12"/>
        <v>100</v>
      </c>
      <c r="X40" s="1813"/>
      <c r="Y40" s="3287"/>
      <c r="Z40" s="1814" t="str">
        <f t="shared" si="13"/>
        <v>临街宽度及深度</v>
      </c>
      <c r="AA40" s="1811">
        <f t="shared" si="3"/>
        <v>1</v>
      </c>
      <c r="AB40" s="1811">
        <f t="shared" si="4"/>
        <v>1</v>
      </c>
      <c r="AC40" s="1811">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87"/>
      <c r="Q41" s="1810" t="str">
        <f t="shared" si="14"/>
        <v>宗地开发程度</v>
      </c>
      <c r="R41" s="770" t="s">
        <v>17</v>
      </c>
      <c r="S41" s="771">
        <f t="shared" si="10"/>
        <v>100</v>
      </c>
      <c r="T41" s="770" t="s">
        <v>17</v>
      </c>
      <c r="U41" s="771">
        <f t="shared" si="11"/>
        <v>100</v>
      </c>
      <c r="V41" s="770" t="s">
        <v>17</v>
      </c>
      <c r="W41" s="771">
        <f t="shared" si="12"/>
        <v>100</v>
      </c>
      <c r="X41" s="772"/>
      <c r="Y41" s="3287"/>
      <c r="Z41" s="55" t="str">
        <f t="shared" si="13"/>
        <v>宗地开发程度</v>
      </c>
      <c r="AA41" s="773">
        <f t="shared" si="3"/>
        <v>1</v>
      </c>
      <c r="AB41" s="773">
        <f t="shared" si="4"/>
        <v>1</v>
      </c>
      <c r="AC41" s="773">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87" t="s">
        <v>2556</v>
      </c>
      <c r="Q42" s="1810" t="str">
        <f t="shared" si="14"/>
        <v>工程地质条件</v>
      </c>
      <c r="R42" s="774" t="s">
        <v>17</v>
      </c>
      <c r="S42" s="775">
        <f t="shared" si="10"/>
        <v>100</v>
      </c>
      <c r="T42" s="774" t="s">
        <v>17</v>
      </c>
      <c r="U42" s="775">
        <f t="shared" si="11"/>
        <v>100</v>
      </c>
      <c r="V42" s="774" t="s">
        <v>17</v>
      </c>
      <c r="W42" s="775">
        <f t="shared" si="12"/>
        <v>100</v>
      </c>
      <c r="X42" s="1813"/>
      <c r="Y42" s="3287"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7"/>
      <c r="Q43" s="1810">
        <f t="shared" si="14"/>
        <v>111</v>
      </c>
      <c r="R43" s="774" t="s">
        <v>17</v>
      </c>
      <c r="S43" s="775">
        <f t="shared" si="10"/>
        <v>100</v>
      </c>
      <c r="T43" s="774" t="s">
        <v>17</v>
      </c>
      <c r="U43" s="775">
        <f t="shared" si="11"/>
        <v>100</v>
      </c>
      <c r="V43" s="774" t="s">
        <v>17</v>
      </c>
      <c r="W43" s="775">
        <f t="shared" si="12"/>
        <v>100</v>
      </c>
      <c r="X43" s="1813"/>
      <c r="Y43" s="328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7"/>
      <c r="Q44" s="1810">
        <f t="shared" si="14"/>
        <v>111</v>
      </c>
      <c r="R44" s="774" t="s">
        <v>17</v>
      </c>
      <c r="S44" s="775">
        <f t="shared" si="10"/>
        <v>100</v>
      </c>
      <c r="T44" s="774" t="s">
        <v>17</v>
      </c>
      <c r="U44" s="775">
        <f t="shared" si="11"/>
        <v>100</v>
      </c>
      <c r="V44" s="774" t="s">
        <v>17</v>
      </c>
      <c r="W44" s="775">
        <f t="shared" si="12"/>
        <v>100</v>
      </c>
      <c r="X44" s="1813"/>
      <c r="Y44" s="3287"/>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7"/>
      <c r="Q45" s="1810">
        <f t="shared" si="14"/>
        <v>111</v>
      </c>
      <c r="R45" s="777" t="s">
        <v>17</v>
      </c>
      <c r="S45" s="778">
        <f t="shared" si="10"/>
        <v>100</v>
      </c>
      <c r="T45" s="777" t="s">
        <v>17</v>
      </c>
      <c r="U45" s="778">
        <f t="shared" si="11"/>
        <v>100</v>
      </c>
      <c r="V45" s="777" t="s">
        <v>17</v>
      </c>
      <c r="W45" s="778">
        <f t="shared" si="12"/>
        <v>100</v>
      </c>
      <c r="X45" s="779"/>
      <c r="Y45" s="3287"/>
      <c r="Z45" s="780">
        <f t="shared" si="13"/>
        <v>111</v>
      </c>
      <c r="AA45" s="1811">
        <f t="shared" si="3"/>
        <v>1</v>
      </c>
      <c r="AB45" s="1811">
        <f t="shared" si="4"/>
        <v>1</v>
      </c>
      <c r="AC45" s="1811">
        <f t="shared" si="5"/>
        <v>1</v>
      </c>
    </row>
    <row r="46" spans="1:29" ht="15">
      <c r="A46" s="479" t="s">
        <v>2711</v>
      </c>
      <c r="B46" s="2701" t="s">
        <v>2747</v>
      </c>
      <c r="C46" s="682" t="s">
        <v>1</v>
      </c>
      <c r="D46" s="481"/>
      <c r="E46" s="482"/>
      <c r="F46" s="483"/>
      <c r="G46" s="484"/>
      <c r="H46" s="485"/>
      <c r="I46" s="482"/>
      <c r="J46" s="485"/>
      <c r="K46" s="783"/>
      <c r="L46" s="1143"/>
      <c r="M46" s="1144"/>
      <c r="N46" s="1131"/>
      <c r="O46" s="1144"/>
      <c r="P46" s="3280" t="str">
        <f>A46</f>
        <v>成交单价</v>
      </c>
      <c r="Q46" s="3280"/>
      <c r="R46" s="3275">
        <f>E46</f>
        <v>0</v>
      </c>
      <c r="S46" s="3275"/>
      <c r="T46" s="3275">
        <f>G46</f>
        <v>0</v>
      </c>
      <c r="U46" s="3275"/>
      <c r="V46" s="3275">
        <f>I46</f>
        <v>0</v>
      </c>
      <c r="W46" s="3275"/>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80" t="str">
        <f>A47</f>
        <v>比较价值（元/平方米）</v>
      </c>
      <c r="Q47" s="3280"/>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77" t="str">
        <f>A48</f>
        <v>估价对象XX用房的比较价值（楼面单价，元/平方米）</v>
      </c>
      <c r="Q48" s="3278"/>
      <c r="R48" s="3311" t="e">
        <f>ROUND(AVERAGE(R47:V47),0)</f>
        <v>#DIV/0!</v>
      </c>
      <c r="S48" s="3311"/>
      <c r="T48" s="3311"/>
      <c r="U48" s="3311"/>
      <c r="V48" s="3311"/>
      <c r="W48" s="33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2" t="s">
        <v>2751</v>
      </c>
      <c r="D55" s="2703" t="s">
        <v>2752</v>
      </c>
      <c r="E55" s="686" t="s">
        <v>2753</v>
      </c>
      <c r="F55" s="1107" t="s">
        <v>2754</v>
      </c>
      <c r="G55" s="3263" t="s">
        <v>2755</v>
      </c>
      <c r="H55" s="3312"/>
      <c r="I55" s="144" t="s">
        <v>2756</v>
      </c>
      <c r="J55" s="2704">
        <f>项目基本情况!F35</f>
        <v>0</v>
      </c>
      <c r="K55" s="2705" t="s">
        <v>2757</v>
      </c>
      <c r="L55" s="1106"/>
      <c r="M55" s="1144"/>
      <c r="N55" s="1144"/>
      <c r="O55" s="1144"/>
    </row>
    <row r="56" spans="1:15" s="692" customFormat="1">
      <c r="A56" s="688" t="s">
        <v>2758</v>
      </c>
      <c r="B56" s="689" t="e">
        <f>C48</f>
        <v>#DIV/0!</v>
      </c>
      <c r="C56" s="690">
        <v>1</v>
      </c>
      <c r="D56" s="1163">
        <v>1</v>
      </c>
      <c r="E56" s="690">
        <f>'数据-汇总表'!E8+'数据-汇总表'!E9</f>
        <v>2602.9</v>
      </c>
      <c r="F56" s="1103" t="e">
        <f t="shared" ref="F56:F65" si="15">ROUND(B56*E56/10000,0)</f>
        <v>#DIV/0!</v>
      </c>
      <c r="G56" s="3262"/>
      <c r="H56" s="3280"/>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313"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313"/>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313"/>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313"/>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0</v>
      </c>
      <c r="F61" s="1103" t="e">
        <f t="shared" si="15"/>
        <v>#DIV/0!</v>
      </c>
      <c r="G61" s="2706"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v>
      </c>
      <c r="D63" s="1164">
        <v>0.25</v>
      </c>
      <c r="E63" s="261">
        <f>'数据-汇总表'!E13</f>
        <v>0</v>
      </c>
      <c r="F63" s="1103" t="e">
        <f t="shared" si="15"/>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6"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7"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1024</v>
      </c>
      <c r="E66" s="696">
        <f>IF(B46="楼面地价",SUM(E56:E65),'数据-汇总表'!D3)</f>
        <v>2602.9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8" t="s">
        <v>2773</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9" t="s">
        <v>2774</v>
      </c>
      <c r="B71" s="332" t="str">
        <f>"北京市平均增长率"&amp;TEXT(SUMIF('基准地价修正（商业1）'!N21:N25,A71,'基准地价修正（商业1）'!P21:P25),"0.00%")</f>
        <v>北京市平均增长率2.02%</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1612</v>
      </c>
      <c r="B1" s="1958"/>
      <c r="C1" s="1958"/>
      <c r="D1" s="1958"/>
      <c r="E1" s="1958"/>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估价结果一览表（市场价值不需“结果表-1”）</v>
      </c>
      <c r="B3" s="3025"/>
      <c r="C3" s="3025"/>
      <c r="D3" s="3025"/>
      <c r="E3" s="3025"/>
    </row>
    <row r="4" spans="1:5" ht="19.5" thickBot="1">
      <c r="A4" s="1960"/>
      <c r="B4" s="3023" t="s">
        <v>1621</v>
      </c>
      <c r="C4" s="3023"/>
      <c r="D4" s="3023"/>
      <c r="E4" s="1960"/>
    </row>
    <row r="5" spans="1:5" ht="16.5" thickTop="1">
      <c r="A5" s="1958"/>
      <c r="B5" s="3021" t="s">
        <v>1613</v>
      </c>
      <c r="C5" s="1961" t="s">
        <v>1614</v>
      </c>
      <c r="D5" s="1040">
        <f ca="1">结果表!H101</f>
        <v>86</v>
      </c>
      <c r="E5" s="1958"/>
    </row>
    <row r="6" spans="1:5" ht="15.75">
      <c r="A6" s="1958"/>
      <c r="B6" s="3021"/>
      <c r="C6" s="1961" t="s">
        <v>1615</v>
      </c>
      <c r="D6" s="1040" t="str">
        <f ca="1">NUMBERSTRING(INT(D5*10000),2)&amp;"元整"</f>
        <v>捌拾陆万元整</v>
      </c>
      <c r="E6" s="1958"/>
    </row>
    <row r="7" spans="1:5" ht="15.75">
      <c r="A7" s="1958"/>
      <c r="B7" s="3026"/>
      <c r="C7" s="1962" t="s">
        <v>1616</v>
      </c>
      <c r="D7" s="1041">
        <f ca="1">结果表!H102</f>
        <v>20141</v>
      </c>
      <c r="E7" s="1958"/>
    </row>
    <row r="8" spans="1:5" ht="15.75">
      <c r="A8" s="1958"/>
      <c r="B8" s="3027" t="str">
        <f>结果表!E103</f>
        <v>2.估价师知悉的法定优先受偿款</v>
      </c>
      <c r="C8" s="1963" t="s">
        <v>1617</v>
      </c>
      <c r="D8" s="1041">
        <f>结果表!H103</f>
        <v>0</v>
      </c>
      <c r="E8" s="1958"/>
    </row>
    <row r="9" spans="1:5" ht="15.75">
      <c r="A9" s="1958"/>
      <c r="B9" s="3029"/>
      <c r="C9" s="1961" t="s">
        <v>1615</v>
      </c>
      <c r="D9" s="1040" t="str">
        <f>NUMBERSTRING(INT(D8*10000),2)&amp;"元整"</f>
        <v>零元整</v>
      </c>
      <c r="E9" s="1958"/>
    </row>
    <row r="10" spans="1:5" ht="15">
      <c r="A10" s="1958"/>
      <c r="B10" s="1964" t="s">
        <v>1620</v>
      </c>
      <c r="C10" s="1965" t="s">
        <v>1618</v>
      </c>
      <c r="D10" s="1042">
        <f>结果表!H104</f>
        <v>0</v>
      </c>
      <c r="E10" s="1958"/>
    </row>
    <row r="11" spans="1:5" ht="15">
      <c r="A11" s="1958"/>
      <c r="B11" s="1964" t="s">
        <v>1622</v>
      </c>
      <c r="C11" s="1965" t="s">
        <v>1623</v>
      </c>
      <c r="D11" s="1042">
        <f>结果表!H105</f>
        <v>0</v>
      </c>
      <c r="E11" s="1958"/>
    </row>
    <row r="12" spans="1:5" ht="15">
      <c r="A12" s="1958"/>
      <c r="B12" s="1964" t="s">
        <v>1624</v>
      </c>
      <c r="C12" s="1965" t="s">
        <v>1623</v>
      </c>
      <c r="D12" s="1042">
        <f>结果表!H106</f>
        <v>0</v>
      </c>
      <c r="E12" s="1958"/>
    </row>
    <row r="13" spans="1:5" ht="15.75">
      <c r="A13" s="1958"/>
      <c r="B13" s="3020" t="str">
        <f>结果表!E107</f>
        <v>3.房地产抵押价值</v>
      </c>
      <c r="C13" s="1966" t="s">
        <v>1614</v>
      </c>
      <c r="D13" s="1043">
        <f ca="1">结果表!H107</f>
        <v>86</v>
      </c>
      <c r="E13" s="1958"/>
    </row>
    <row r="14" spans="1:5" ht="15.75">
      <c r="A14" s="1958"/>
      <c r="B14" s="3021"/>
      <c r="C14" s="1961" t="s">
        <v>1615</v>
      </c>
      <c r="D14" s="1040" t="str">
        <f ca="1">NUMBERSTRING(INT(D13*10000),2)&amp;"元整"</f>
        <v>捌拾陆万元整</v>
      </c>
      <c r="E14" s="1958"/>
    </row>
    <row r="15" spans="1:5" ht="15">
      <c r="A15" s="1958"/>
      <c r="B15" s="3026"/>
      <c r="C15" s="1962" t="s">
        <v>1625</v>
      </c>
      <c r="D15" s="1052">
        <f ca="1">结果表!H108</f>
        <v>330</v>
      </c>
      <c r="E15" s="1958"/>
    </row>
    <row r="16" spans="1:5" ht="15">
      <c r="A16" s="1958"/>
      <c r="B16" s="3027" t="str">
        <f>结果表!E109</f>
        <v>——</v>
      </c>
      <c r="C16" s="1966" t="s">
        <v>1626</v>
      </c>
      <c r="D16" s="1967" t="str">
        <f>结果表!H109</f>
        <v>——</v>
      </c>
      <c r="E16" s="1958"/>
    </row>
    <row r="17" spans="1:5" ht="15.75">
      <c r="A17" s="1958"/>
      <c r="B17" s="3028"/>
      <c r="C17" s="1961" t="s">
        <v>1627</v>
      </c>
      <c r="D17" s="1040" t="e">
        <f>NUMBERSTRING(INT(D16*10000),2)&amp;"元整"</f>
        <v>#VALUE!</v>
      </c>
      <c r="E17" s="1958"/>
    </row>
    <row r="18" spans="1:5" ht="15">
      <c r="A18" s="1958"/>
      <c r="B18" s="3029"/>
      <c r="C18" s="1962" t="s">
        <v>1616</v>
      </c>
      <c r="D18" s="1052" t="str">
        <f>结果表!H110</f>
        <v>——</v>
      </c>
      <c r="E18" s="1958"/>
    </row>
    <row r="19" spans="1:5" ht="15.75">
      <c r="A19" s="1958"/>
      <c r="B19" s="3020" t="str">
        <f>结果表!E111</f>
        <v>——</v>
      </c>
      <c r="C19" s="1966" t="s">
        <v>1614</v>
      </c>
      <c r="D19" s="1041" t="str">
        <f>结果表!H111</f>
        <v>——</v>
      </c>
      <c r="E19" s="1958"/>
    </row>
    <row r="20" spans="1:5" ht="15.75">
      <c r="A20" s="1958"/>
      <c r="B20" s="3021"/>
      <c r="C20" s="1961" t="s">
        <v>1627</v>
      </c>
      <c r="D20" s="1040" t="e">
        <f>NUMBERSTRING(INT(D19*10000),2)&amp;"元整"</f>
        <v>#VALUE!</v>
      </c>
      <c r="E20" s="1958"/>
    </row>
    <row r="21" spans="1:5" ht="15.75" thickBot="1">
      <c r="A21" s="1958"/>
      <c r="B21" s="3022"/>
      <c r="C21" s="1968" t="s">
        <v>1625</v>
      </c>
      <c r="D21" s="1053" t="str">
        <f>结果表!H112</f>
        <v>——</v>
      </c>
      <c r="E21" s="1958"/>
    </row>
    <row r="22" spans="1:5" ht="15" thickTop="1">
      <c r="A22" s="1958"/>
      <c r="B22" s="1969" t="s">
        <v>1628</v>
      </c>
      <c r="C22" s="1958"/>
      <c r="D22" s="1958"/>
      <c r="E22" s="1958"/>
    </row>
    <row r="23" spans="1:5">
      <c r="A23" s="1958"/>
      <c r="B23" s="1958"/>
      <c r="C23" s="1958"/>
      <c r="D23" s="1958"/>
      <c r="E23" s="1958"/>
    </row>
    <row r="24" spans="1:5" ht="18.75">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63" t="s">
        <v>2637</v>
      </c>
      <c r="D4" s="3264"/>
      <c r="E4" s="3265" t="s">
        <v>2638</v>
      </c>
      <c r="F4" s="3266"/>
      <c r="G4" s="3263" t="s">
        <v>2639</v>
      </c>
      <c r="H4" s="3264"/>
      <c r="I4" s="3263" t="s">
        <v>2640</v>
      </c>
      <c r="J4" s="3264"/>
      <c r="K4" s="610" t="s">
        <v>2641</v>
      </c>
      <c r="L4" s="1130"/>
      <c r="M4" s="1131"/>
      <c r="N4" s="1131"/>
      <c r="O4" s="1131"/>
      <c r="P4" s="3267" t="s">
        <v>2642</v>
      </c>
      <c r="Q4" s="3268"/>
      <c r="R4" s="3250" t="s">
        <v>2638</v>
      </c>
      <c r="S4" s="3251"/>
      <c r="T4" s="3250" t="s">
        <v>2639</v>
      </c>
      <c r="U4" s="3251"/>
      <c r="V4" s="3275" t="s">
        <v>2640</v>
      </c>
      <c r="W4" s="3275"/>
      <c r="X4" s="1813"/>
      <c r="Y4" s="3250" t="s">
        <v>2642</v>
      </c>
      <c r="Z4" s="3251"/>
      <c r="AA4" s="3245" t="s">
        <v>2638</v>
      </c>
      <c r="AB4" s="3246" t="s">
        <v>2639</v>
      </c>
      <c r="AC4" s="3245" t="s">
        <v>2640</v>
      </c>
    </row>
    <row r="5" spans="1:29" ht="15">
      <c r="A5" s="404"/>
      <c r="B5" s="405"/>
      <c r="C5" s="3256" t="s">
        <v>2533</v>
      </c>
      <c r="D5" s="3257"/>
      <c r="E5" s="3254" t="s">
        <v>2534</v>
      </c>
      <c r="F5" s="3255"/>
      <c r="G5" s="3256" t="s">
        <v>2535</v>
      </c>
      <c r="H5" s="3257"/>
      <c r="I5" s="3256" t="s">
        <v>2536</v>
      </c>
      <c r="J5" s="3257"/>
      <c r="K5" s="610"/>
      <c r="L5" s="1130"/>
      <c r="M5" s="1131"/>
      <c r="N5" s="1131"/>
      <c r="O5" s="1131"/>
      <c r="P5" s="3269"/>
      <c r="Q5" s="3270"/>
      <c r="R5" s="3252"/>
      <c r="S5" s="3253"/>
      <c r="T5" s="3252"/>
      <c r="U5" s="3253"/>
      <c r="V5" s="3275"/>
      <c r="W5" s="3275"/>
      <c r="X5" s="1813"/>
      <c r="Y5" s="3252"/>
      <c r="Z5" s="3253"/>
      <c r="AA5" s="3246"/>
      <c r="AB5" s="3246"/>
      <c r="AC5" s="3246"/>
    </row>
    <row r="6" spans="1:29" ht="15.75" thickBot="1">
      <c r="A6" s="406"/>
      <c r="B6" s="407"/>
      <c r="C6" s="3314" t="s">
        <v>2788</v>
      </c>
      <c r="D6" s="3315"/>
      <c r="E6" s="3316" t="s">
        <v>2788</v>
      </c>
      <c r="F6" s="3317"/>
      <c r="G6" s="3314" t="s">
        <v>2788</v>
      </c>
      <c r="H6" s="3315"/>
      <c r="I6" s="3314" t="s">
        <v>2788</v>
      </c>
      <c r="J6" s="3315"/>
      <c r="K6" s="610" t="s">
        <v>2538</v>
      </c>
      <c r="L6" s="1130"/>
      <c r="M6" s="1131"/>
      <c r="N6" s="1131"/>
      <c r="O6" s="1131"/>
      <c r="P6" s="3271"/>
      <c r="Q6" s="3272"/>
      <c r="R6" s="3252"/>
      <c r="S6" s="3253"/>
      <c r="T6" s="3273"/>
      <c r="U6" s="3274"/>
      <c r="V6" s="3275"/>
      <c r="W6" s="3275"/>
      <c r="X6" s="1813"/>
      <c r="Y6" s="3273"/>
      <c r="Z6" s="3274"/>
      <c r="AA6" s="3247"/>
      <c r="AB6" s="3247"/>
      <c r="AC6" s="3247"/>
    </row>
    <row r="7" spans="1:29" s="117" customFormat="1" ht="15.75" thickBot="1">
      <c r="A7" s="408" t="s">
        <v>2539</v>
      </c>
      <c r="B7" s="409"/>
      <c r="C7" s="410">
        <f>'数据-取费表'!B2</f>
        <v>43922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48" t="s">
        <v>2540</v>
      </c>
      <c r="Q7" s="3276"/>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8" t="s">
        <v>2543</v>
      </c>
      <c r="Q8" s="3249"/>
      <c r="R8" s="770" t="s">
        <v>17</v>
      </c>
      <c r="S8" s="771">
        <f t="shared" si="0"/>
        <v>0</v>
      </c>
      <c r="T8" s="770" t="s">
        <v>17</v>
      </c>
      <c r="U8" s="771">
        <f t="shared" si="1"/>
        <v>0</v>
      </c>
      <c r="V8" s="770" t="s">
        <v>17</v>
      </c>
      <c r="W8" s="771">
        <f t="shared" si="2"/>
        <v>0</v>
      </c>
      <c r="X8" s="772"/>
      <c r="Y8" s="3248" t="s">
        <v>2543</v>
      </c>
      <c r="Z8" s="3249"/>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80" t="s">
        <v>2546</v>
      </c>
      <c r="Q9" s="1795" t="str">
        <f t="shared" ref="Q9:Q15" si="6">B9</f>
        <v>用途</v>
      </c>
      <c r="R9" s="770" t="s">
        <v>17</v>
      </c>
      <c r="S9" s="771">
        <f t="shared" si="0"/>
        <v>100</v>
      </c>
      <c r="T9" s="770" t="s">
        <v>17</v>
      </c>
      <c r="U9" s="771">
        <f t="shared" si="1"/>
        <v>100</v>
      </c>
      <c r="V9" s="770" t="s">
        <v>17</v>
      </c>
      <c r="W9" s="771">
        <f t="shared" si="2"/>
        <v>100</v>
      </c>
      <c r="X9" s="772"/>
      <c r="Y9" s="308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280"/>
      <c r="Q10" s="1795" t="str">
        <f t="shared" si="6"/>
        <v>土地使用年限（年）</v>
      </c>
      <c r="R10" s="770" t="s">
        <v>17</v>
      </c>
      <c r="S10" s="771">
        <f t="shared" si="0"/>
        <v>158</v>
      </c>
      <c r="T10" s="770" t="s">
        <v>17</v>
      </c>
      <c r="U10" s="771">
        <f t="shared" si="1"/>
        <v>158</v>
      </c>
      <c r="V10" s="770" t="s">
        <v>17</v>
      </c>
      <c r="W10" s="771">
        <f t="shared" si="2"/>
        <v>158</v>
      </c>
      <c r="X10" s="772"/>
      <c r="Y10" s="3085"/>
      <c r="Z10" s="55" t="str">
        <f t="shared" si="7"/>
        <v>土地使用年限（年）</v>
      </c>
      <c r="AA10" s="773">
        <f t="shared" si="3"/>
        <v>0.63291139240506333</v>
      </c>
      <c r="AB10" s="773">
        <f t="shared" si="4"/>
        <v>0.63291139240506333</v>
      </c>
      <c r="AC10" s="773">
        <f t="shared" si="5"/>
        <v>0.63291139240506333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0"/>
      <c r="Q11" s="1795"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0"/>
      <c r="Q12" s="1795">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0"/>
      <c r="Q13" s="1795">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0"/>
      <c r="Q14" s="1795">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2" t="s">
        <v>2551</v>
      </c>
      <c r="Q15" s="1810" t="str">
        <f t="shared" si="6"/>
        <v>产业集聚程度</v>
      </c>
      <c r="R15" s="774" t="s">
        <v>17</v>
      </c>
      <c r="S15" s="775">
        <f t="shared" si="0"/>
        <v>100</v>
      </c>
      <c r="T15" s="774" t="s">
        <v>17</v>
      </c>
      <c r="U15" s="775">
        <f t="shared" si="1"/>
        <v>100</v>
      </c>
      <c r="V15" s="774" t="s">
        <v>17</v>
      </c>
      <c r="W15" s="775">
        <f t="shared" si="2"/>
        <v>100</v>
      </c>
      <c r="X15" s="1813"/>
      <c r="Y15" s="3282" t="s">
        <v>2551</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83"/>
      <c r="Q16" s="1810"/>
      <c r="R16" s="774"/>
      <c r="S16" s="775"/>
      <c r="T16" s="774"/>
      <c r="U16" s="775"/>
      <c r="V16" s="774"/>
      <c r="W16" s="775"/>
      <c r="X16" s="1813"/>
      <c r="Y16" s="3283"/>
      <c r="Z16" s="1814"/>
      <c r="AA16" s="1811">
        <v>1</v>
      </c>
      <c r="AB16" s="1811">
        <v>1</v>
      </c>
      <c r="AC16" s="1811">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3"/>
      <c r="Q17" s="1810" t="str">
        <f>B17</f>
        <v>交通便捷度</v>
      </c>
      <c r="R17" s="774" t="s">
        <v>17</v>
      </c>
      <c r="S17" s="775">
        <f>F17</f>
        <v>100</v>
      </c>
      <c r="T17" s="774" t="s">
        <v>17</v>
      </c>
      <c r="U17" s="775">
        <f>H17</f>
        <v>100</v>
      </c>
      <c r="V17" s="774" t="s">
        <v>17</v>
      </c>
      <c r="W17" s="775">
        <f>J17</f>
        <v>100</v>
      </c>
      <c r="X17" s="1813"/>
      <c r="Y17" s="3283"/>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83"/>
      <c r="Q18" s="1810"/>
      <c r="R18" s="774"/>
      <c r="S18" s="775"/>
      <c r="T18" s="774"/>
      <c r="U18" s="775"/>
      <c r="V18" s="774"/>
      <c r="W18" s="775"/>
      <c r="X18" s="1813"/>
      <c r="Y18" s="3283"/>
      <c r="Z18" s="1814"/>
      <c r="AA18" s="1811">
        <v>1</v>
      </c>
      <c r="AB18" s="1811">
        <v>1</v>
      </c>
      <c r="AC18" s="1811">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3"/>
      <c r="Q19" s="1810" t="str">
        <f t="shared" ref="Q19:Q33" si="8">B19</f>
        <v>区域土地利用方向</v>
      </c>
      <c r="R19" s="774" t="s">
        <v>17</v>
      </c>
      <c r="S19" s="775">
        <f>F19</f>
        <v>100</v>
      </c>
      <c r="T19" s="774" t="s">
        <v>17</v>
      </c>
      <c r="U19" s="775">
        <f>H19</f>
        <v>100</v>
      </c>
      <c r="V19" s="774" t="s">
        <v>17</v>
      </c>
      <c r="W19" s="775">
        <f>J19</f>
        <v>100</v>
      </c>
      <c r="X19" s="1813"/>
      <c r="Y19" s="3283"/>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83"/>
      <c r="Q20" s="1810"/>
      <c r="R20" s="774"/>
      <c r="S20" s="775"/>
      <c r="T20" s="774"/>
      <c r="U20" s="775"/>
      <c r="V20" s="774"/>
      <c r="W20" s="775"/>
      <c r="X20" s="1813"/>
      <c r="Y20" s="3283"/>
      <c r="Z20" s="1814"/>
      <c r="AA20" s="1811"/>
      <c r="AB20" s="1811"/>
      <c r="AC20" s="1811"/>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3"/>
      <c r="Q21" s="1810" t="str">
        <f t="shared" si="8"/>
        <v>环境状况</v>
      </c>
      <c r="R21" s="774" t="s">
        <v>17</v>
      </c>
      <c r="S21" s="775">
        <f>F21</f>
        <v>100</v>
      </c>
      <c r="T21" s="774" t="s">
        <v>17</v>
      </c>
      <c r="U21" s="775">
        <f>H21</f>
        <v>100</v>
      </c>
      <c r="V21" s="774" t="s">
        <v>17</v>
      </c>
      <c r="W21" s="775">
        <f>J21</f>
        <v>100</v>
      </c>
      <c r="X21" s="1813"/>
      <c r="Y21" s="3283"/>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83"/>
      <c r="Q22" s="1810"/>
      <c r="R22" s="774"/>
      <c r="S22" s="775"/>
      <c r="T22" s="774"/>
      <c r="U22" s="775"/>
      <c r="V22" s="774"/>
      <c r="W22" s="775"/>
      <c r="X22" s="1813"/>
      <c r="Y22" s="3283"/>
      <c r="Z22" s="1814"/>
      <c r="AA22" s="1811">
        <v>1</v>
      </c>
      <c r="AB22" s="1811">
        <v>1</v>
      </c>
      <c r="AC22" s="1811">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3"/>
      <c r="Q23" s="1795" t="str">
        <f t="shared" si="8"/>
        <v>公共配套设施</v>
      </c>
      <c r="R23" s="770" t="s">
        <v>17</v>
      </c>
      <c r="S23" s="771">
        <f>F23</f>
        <v>100</v>
      </c>
      <c r="T23" s="770" t="s">
        <v>17</v>
      </c>
      <c r="U23" s="771">
        <f>H23</f>
        <v>100</v>
      </c>
      <c r="V23" s="770" t="s">
        <v>17</v>
      </c>
      <c r="W23" s="771">
        <f>J23</f>
        <v>100</v>
      </c>
      <c r="X23" s="772"/>
      <c r="Y23" s="3283"/>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283"/>
      <c r="Q24" s="1795"/>
      <c r="R24" s="770"/>
      <c r="S24" s="771"/>
      <c r="T24" s="770"/>
      <c r="U24" s="771"/>
      <c r="V24" s="770"/>
      <c r="W24" s="771"/>
      <c r="X24" s="772"/>
      <c r="Y24" s="3283"/>
      <c r="Z24" s="55"/>
      <c r="AA24" s="773">
        <v>1</v>
      </c>
      <c r="AB24" s="773">
        <v>1</v>
      </c>
      <c r="AC24" s="773">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3"/>
      <c r="Q25" s="1795" t="str">
        <f t="shared" ref="Q25" si="9">B25</f>
        <v>基础设施水平</v>
      </c>
      <c r="R25" s="770" t="s">
        <v>17</v>
      </c>
      <c r="S25" s="771">
        <f>F25</f>
        <v>100</v>
      </c>
      <c r="T25" s="770" t="s">
        <v>17</v>
      </c>
      <c r="U25" s="771">
        <f>H25</f>
        <v>100</v>
      </c>
      <c r="V25" s="770" t="s">
        <v>17</v>
      </c>
      <c r="W25" s="771">
        <f>J25</f>
        <v>100</v>
      </c>
      <c r="X25" s="772"/>
      <c r="Y25" s="3283"/>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283"/>
      <c r="Q26" s="1795"/>
      <c r="R26" s="770"/>
      <c r="S26" s="771"/>
      <c r="T26" s="770"/>
      <c r="U26" s="771"/>
      <c r="V26" s="770"/>
      <c r="W26" s="771"/>
      <c r="X26" s="772"/>
      <c r="Y26" s="3283"/>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83"/>
      <c r="Z27" s="1814" t="str">
        <f t="shared" ref="Z27:Z40" si="13">Q27</f>
        <v>临街状况</v>
      </c>
      <c r="AA27" s="1811">
        <f t="shared" si="3"/>
        <v>1</v>
      </c>
      <c r="AB27" s="1811">
        <f t="shared" si="4"/>
        <v>1</v>
      </c>
      <c r="AC27" s="1811">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3"/>
      <c r="Q28" s="1810" t="str">
        <f t="shared" si="8"/>
        <v>毗邻道路的类型与等级</v>
      </c>
      <c r="R28" s="774" t="s">
        <v>17</v>
      </c>
      <c r="S28" s="775">
        <f t="shared" si="10"/>
        <v>100</v>
      </c>
      <c r="T28" s="774" t="s">
        <v>17</v>
      </c>
      <c r="U28" s="775">
        <f t="shared" si="11"/>
        <v>100</v>
      </c>
      <c r="V28" s="774" t="s">
        <v>17</v>
      </c>
      <c r="W28" s="775">
        <f t="shared" si="12"/>
        <v>100</v>
      </c>
      <c r="X28" s="1813"/>
      <c r="Y28" s="3283"/>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83"/>
      <c r="Q29" s="1810"/>
      <c r="R29" s="774"/>
      <c r="S29" s="775"/>
      <c r="T29" s="774"/>
      <c r="U29" s="775"/>
      <c r="V29" s="774"/>
      <c r="W29" s="775"/>
      <c r="X29" s="1813"/>
      <c r="Y29" s="3283"/>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3"/>
      <c r="Q30" s="1810" t="str">
        <f t="shared" si="8"/>
        <v>土地级别</v>
      </c>
      <c r="R30" s="774" t="s">
        <v>17</v>
      </c>
      <c r="S30" s="775">
        <f t="shared" si="10"/>
        <v>100</v>
      </c>
      <c r="T30" s="774" t="s">
        <v>17</v>
      </c>
      <c r="U30" s="775">
        <f t="shared" si="11"/>
        <v>100</v>
      </c>
      <c r="V30" s="774" t="s">
        <v>17</v>
      </c>
      <c r="W30" s="775">
        <f t="shared" si="12"/>
        <v>100</v>
      </c>
      <c r="X30" s="1813"/>
      <c r="Y30" s="3283"/>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3"/>
      <c r="Q31" s="1810">
        <f t="shared" si="8"/>
        <v>111</v>
      </c>
      <c r="R31" s="774" t="s">
        <v>17</v>
      </c>
      <c r="S31" s="775">
        <f t="shared" si="10"/>
        <v>100</v>
      </c>
      <c r="T31" s="774" t="s">
        <v>17</v>
      </c>
      <c r="U31" s="775">
        <f t="shared" si="11"/>
        <v>100</v>
      </c>
      <c r="V31" s="774" t="s">
        <v>17</v>
      </c>
      <c r="W31" s="775">
        <f t="shared" si="12"/>
        <v>100</v>
      </c>
      <c r="X31" s="1813"/>
      <c r="Y31" s="3283"/>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9" t="s">
        <v>2556</v>
      </c>
      <c r="Q32" s="1810">
        <f t="shared" si="8"/>
        <v>111</v>
      </c>
      <c r="R32" s="774" t="s">
        <v>17</v>
      </c>
      <c r="S32" s="775">
        <f t="shared" si="10"/>
        <v>100</v>
      </c>
      <c r="T32" s="774" t="s">
        <v>17</v>
      </c>
      <c r="U32" s="775">
        <f t="shared" si="11"/>
        <v>100</v>
      </c>
      <c r="V32" s="774" t="s">
        <v>17</v>
      </c>
      <c r="W32" s="775">
        <f t="shared" si="12"/>
        <v>100</v>
      </c>
      <c r="X32" s="1813"/>
      <c r="Y32" s="3287" t="s">
        <v>2556</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7"/>
      <c r="Q33" s="1810">
        <f t="shared" si="8"/>
        <v>111</v>
      </c>
      <c r="R33" s="777" t="s">
        <v>17</v>
      </c>
      <c r="S33" s="778">
        <f t="shared" si="10"/>
        <v>100</v>
      </c>
      <c r="T33" s="777" t="s">
        <v>17</v>
      </c>
      <c r="U33" s="778">
        <f t="shared" si="11"/>
        <v>100</v>
      </c>
      <c r="V33" s="777" t="s">
        <v>17</v>
      </c>
      <c r="W33" s="778">
        <f t="shared" si="12"/>
        <v>100</v>
      </c>
      <c r="X33" s="779"/>
      <c r="Y33" s="3287"/>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7"/>
      <c r="Q34" s="1810" t="str">
        <f>B34</f>
        <v>宗地面积</v>
      </c>
      <c r="R34" s="774" t="s">
        <v>17</v>
      </c>
      <c r="S34" s="775" t="e">
        <f t="shared" si="10"/>
        <v>#N/A</v>
      </c>
      <c r="T34" s="774" t="s">
        <v>17</v>
      </c>
      <c r="U34" s="775" t="e">
        <f t="shared" si="11"/>
        <v>#N/A</v>
      </c>
      <c r="V34" s="774" t="s">
        <v>17</v>
      </c>
      <c r="W34" s="775" t="e">
        <f t="shared" si="12"/>
        <v>#N/A</v>
      </c>
      <c r="X34" s="1813"/>
      <c r="Y34" s="3287"/>
      <c r="Z34" s="1814" t="str">
        <f t="shared" si="13"/>
        <v>宗地面积</v>
      </c>
      <c r="AA34" s="1811" t="e">
        <f t="shared" si="3"/>
        <v>#N/A</v>
      </c>
      <c r="AB34" s="1811" t="e">
        <f t="shared" si="4"/>
        <v>#N/A</v>
      </c>
      <c r="AC34" s="1811"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87"/>
      <c r="Q35" s="1810" t="str">
        <f t="shared" ref="Q35:Q40" si="14">B35</f>
        <v>宗地形状</v>
      </c>
      <c r="R35" s="774" t="s">
        <v>17</v>
      </c>
      <c r="S35" s="775">
        <f t="shared" si="10"/>
        <v>100</v>
      </c>
      <c r="T35" s="774" t="s">
        <v>17</v>
      </c>
      <c r="U35" s="775">
        <f t="shared" si="11"/>
        <v>100</v>
      </c>
      <c r="V35" s="774" t="s">
        <v>17</v>
      </c>
      <c r="W35" s="775">
        <f t="shared" si="12"/>
        <v>100</v>
      </c>
      <c r="X35" s="1813"/>
      <c r="Y35" s="3287"/>
      <c r="Z35" s="1814" t="str">
        <f t="shared" si="13"/>
        <v>宗地形状</v>
      </c>
      <c r="AA35" s="1811">
        <f t="shared" si="3"/>
        <v>1</v>
      </c>
      <c r="AB35" s="1811">
        <f t="shared" si="4"/>
        <v>1</v>
      </c>
      <c r="AC35" s="1811">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87"/>
      <c r="Q36" s="1810" t="str">
        <f t="shared" si="14"/>
        <v>宗地开发程度</v>
      </c>
      <c r="R36" s="770" t="s">
        <v>17</v>
      </c>
      <c r="S36" s="771">
        <f t="shared" si="10"/>
        <v>100</v>
      </c>
      <c r="T36" s="770" t="s">
        <v>17</v>
      </c>
      <c r="U36" s="771">
        <f t="shared" si="11"/>
        <v>100</v>
      </c>
      <c r="V36" s="770" t="s">
        <v>17</v>
      </c>
      <c r="W36" s="771">
        <f t="shared" si="12"/>
        <v>100</v>
      </c>
      <c r="X36" s="772"/>
      <c r="Y36" s="3287"/>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87" t="s">
        <v>2556</v>
      </c>
      <c r="Q37" s="1810" t="str">
        <f t="shared" si="14"/>
        <v>工程地质条件</v>
      </c>
      <c r="R37" s="774" t="s">
        <v>17</v>
      </c>
      <c r="S37" s="775">
        <f t="shared" si="10"/>
        <v>100</v>
      </c>
      <c r="T37" s="774" t="s">
        <v>17</v>
      </c>
      <c r="U37" s="775">
        <f t="shared" si="11"/>
        <v>100</v>
      </c>
      <c r="V37" s="774" t="s">
        <v>17</v>
      </c>
      <c r="W37" s="775">
        <f t="shared" si="12"/>
        <v>100</v>
      </c>
      <c r="X37" s="1813"/>
      <c r="Y37" s="3287"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7"/>
      <c r="Q38" s="1810">
        <f t="shared" si="14"/>
        <v>111</v>
      </c>
      <c r="R38" s="774" t="s">
        <v>17</v>
      </c>
      <c r="S38" s="775">
        <f t="shared" si="10"/>
        <v>100</v>
      </c>
      <c r="T38" s="774" t="s">
        <v>17</v>
      </c>
      <c r="U38" s="775">
        <f t="shared" si="11"/>
        <v>100</v>
      </c>
      <c r="V38" s="774" t="s">
        <v>17</v>
      </c>
      <c r="W38" s="775">
        <f t="shared" si="12"/>
        <v>100</v>
      </c>
      <c r="X38" s="1813"/>
      <c r="Y38" s="328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7"/>
      <c r="Q39" s="1810">
        <f t="shared" si="14"/>
        <v>111</v>
      </c>
      <c r="R39" s="774" t="s">
        <v>17</v>
      </c>
      <c r="S39" s="775">
        <f t="shared" si="10"/>
        <v>100</v>
      </c>
      <c r="T39" s="774" t="s">
        <v>17</v>
      </c>
      <c r="U39" s="775">
        <f t="shared" si="11"/>
        <v>100</v>
      </c>
      <c r="V39" s="774" t="s">
        <v>17</v>
      </c>
      <c r="W39" s="775">
        <f t="shared" si="12"/>
        <v>100</v>
      </c>
      <c r="X39" s="1813"/>
      <c r="Y39" s="3287"/>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7"/>
      <c r="Q40" s="1810">
        <f t="shared" si="14"/>
        <v>111</v>
      </c>
      <c r="R40" s="777" t="s">
        <v>17</v>
      </c>
      <c r="S40" s="778">
        <f t="shared" si="10"/>
        <v>100</v>
      </c>
      <c r="T40" s="777" t="s">
        <v>17</v>
      </c>
      <c r="U40" s="778">
        <f t="shared" si="11"/>
        <v>100</v>
      </c>
      <c r="V40" s="777" t="s">
        <v>17</v>
      </c>
      <c r="W40" s="778">
        <f t="shared" si="12"/>
        <v>100</v>
      </c>
      <c r="X40" s="779"/>
      <c r="Y40" s="3287"/>
      <c r="Z40" s="780">
        <f t="shared" si="13"/>
        <v>111</v>
      </c>
      <c r="AA40" s="1811">
        <f t="shared" si="3"/>
        <v>1</v>
      </c>
      <c r="AB40" s="1811">
        <f t="shared" si="4"/>
        <v>1</v>
      </c>
      <c r="AC40" s="1811">
        <f t="shared" si="5"/>
        <v>1</v>
      </c>
    </row>
    <row r="41" spans="1:29" ht="15">
      <c r="A41" s="479" t="s">
        <v>2711</v>
      </c>
      <c r="B41" s="2701" t="s">
        <v>2791</v>
      </c>
      <c r="C41" s="682" t="s">
        <v>1</v>
      </c>
      <c r="D41" s="481"/>
      <c r="E41" s="482"/>
      <c r="F41" s="483"/>
      <c r="G41" s="484"/>
      <c r="H41" s="485"/>
      <c r="I41" s="482"/>
      <c r="J41" s="485"/>
      <c r="K41" s="783"/>
      <c r="L41" s="1143"/>
      <c r="M41" s="1131"/>
      <c r="N41" s="1131"/>
      <c r="O41" s="1144"/>
      <c r="P41" s="3280" t="str">
        <f>A41</f>
        <v>成交单价</v>
      </c>
      <c r="Q41" s="3280"/>
      <c r="R41" s="3275">
        <f>E41</f>
        <v>0</v>
      </c>
      <c r="S41" s="3275"/>
      <c r="T41" s="3275">
        <f>G41</f>
        <v>0</v>
      </c>
      <c r="U41" s="3275"/>
      <c r="V41" s="3275">
        <f>I41</f>
        <v>0</v>
      </c>
      <c r="W41" s="3275"/>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80" t="str">
        <f>A42</f>
        <v>比较价值（元/平方米）</v>
      </c>
      <c r="Q42" s="3280"/>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77" t="str">
        <f>A43</f>
        <v>估价对象XX用房的比较价值（楼面单价，元/平方米）</v>
      </c>
      <c r="Q43" s="3278"/>
      <c r="R43" s="3311" t="e">
        <f>ROUND(AVERAGE(R42:V42),0)</f>
        <v>#DIV/0!</v>
      </c>
      <c r="S43" s="3311"/>
      <c r="T43" s="3311"/>
      <c r="U43" s="3311"/>
      <c r="V43" s="3311"/>
      <c r="W43" s="33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2" t="s">
        <v>2751</v>
      </c>
      <c r="D50" s="2703" t="s">
        <v>2752</v>
      </c>
      <c r="E50" s="686" t="s">
        <v>2753</v>
      </c>
      <c r="F50" s="687" t="s">
        <v>2754</v>
      </c>
      <c r="G50" s="3263" t="s">
        <v>2755</v>
      </c>
      <c r="H50" s="3312"/>
      <c r="I50" s="1814" t="s">
        <v>2792</v>
      </c>
      <c r="J50" s="1814">
        <f>项目基本情况!F35</f>
        <v>0</v>
      </c>
      <c r="K50" s="2705" t="s">
        <v>2757</v>
      </c>
      <c r="L50" s="1106"/>
      <c r="M50" s="1144"/>
      <c r="N50" s="1144"/>
      <c r="O50" s="1144"/>
    </row>
    <row r="51" spans="1:17" s="692" customFormat="1">
      <c r="A51" s="688" t="s">
        <v>2758</v>
      </c>
      <c r="B51" s="689" t="e">
        <f>C43</f>
        <v>#DIV/0!</v>
      </c>
      <c r="C51" s="690">
        <v>1</v>
      </c>
      <c r="D51" s="1163">
        <v>1</v>
      </c>
      <c r="E51" s="690">
        <f>'数据-汇总表'!E8+'数据-汇总表'!E9</f>
        <v>2602.9</v>
      </c>
      <c r="F51" s="691" t="e">
        <f t="shared" ref="F51:F60" si="15">ROUND(B51*E51/10000,0)</f>
        <v>#DIV/0!</v>
      </c>
      <c r="G51" s="3262"/>
      <c r="H51" s="3280"/>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313"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313"/>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313"/>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313"/>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0</v>
      </c>
      <c r="F56" s="691" t="e">
        <f t="shared" si="15"/>
        <v>#DIV/0!</v>
      </c>
      <c r="G56" s="2706"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v>
      </c>
      <c r="D58" s="1164">
        <v>0.25</v>
      </c>
      <c r="E58" s="261">
        <f>'数据-汇总表'!E13</f>
        <v>0</v>
      </c>
      <c r="F58" s="691" t="e">
        <f t="shared" si="15"/>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6"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7"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1024</v>
      </c>
      <c r="E61" s="696">
        <f>IF(B41="楼面地价",SUM(E51:E60),'数据-汇总表'!D3)</f>
        <v>10500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8" t="s">
        <v>2773</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3" t="s">
        <v>2793</v>
      </c>
      <c r="B66" s="332" t="str">
        <f>"北京市平均增长率"&amp;TEXT('基准地价修正（商业1）'!P24,"0.00%")</f>
        <v>北京市平均增长率1.29%</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57" sqref="G57"/>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18"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1816" t="s">
        <v>2826</v>
      </c>
      <c r="X7" s="1604" t="str">
        <f>G2</f>
        <v>九级</v>
      </c>
      <c r="Y7" s="1604" t="s">
        <v>2827</v>
      </c>
      <c r="Z7" s="1605">
        <f>G3</f>
        <v>0.25</v>
      </c>
      <c r="AA7" s="1606"/>
      <c r="AB7" s="1606"/>
      <c r="AC7" s="1607"/>
      <c r="AD7" s="1608"/>
      <c r="AE7" s="1608"/>
      <c r="AF7" s="1608"/>
      <c r="AG7" s="1608"/>
      <c r="AH7" s="1608"/>
      <c r="AI7" s="1608"/>
      <c r="AJ7" s="1609"/>
    </row>
    <row r="8" spans="1:36" ht="25.5">
      <c r="A8" s="3338"/>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31" t="s">
        <v>2831</v>
      </c>
      <c r="X8" s="3332"/>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38"/>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33"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8"/>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8"/>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33" t="s">
        <v>2855</v>
      </c>
      <c r="X11" s="1614" t="s">
        <v>2856</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8"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33"/>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9"/>
      <c r="B13" s="2761" t="s">
        <v>2862</v>
      </c>
      <c r="C13" s="2762" t="s">
        <v>2863</v>
      </c>
      <c r="D13" s="1808" t="s">
        <v>2864</v>
      </c>
      <c r="E13" s="1808"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33"/>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39"/>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0"/>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8" t="s">
        <v>2874</v>
      </c>
      <c r="B16" s="2742" t="s">
        <v>2875</v>
      </c>
      <c r="C16" s="2929">
        <f>ROUND(IF(F17="与级别开发程度一致",0,(G17-E17)/C17),0)</f>
        <v>20</v>
      </c>
      <c r="D16" s="3329" t="s">
        <v>2879</v>
      </c>
      <c r="E16" s="3330"/>
      <c r="F16" s="3329" t="s">
        <v>2876</v>
      </c>
      <c r="G16" s="3330"/>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19"/>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935">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937">
        <f>IF(B21="容积率修正",IF(G3&lt;=10,D22,J22),C23)</f>
        <v>7.7679999999999998</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1810" t="s">
        <v>2897</v>
      </c>
      <c r="D22" s="1810">
        <f>IF(E22=G22,F22,IF(G3&lt;=10,ROUND(F22+(H22-F22)*(G3-E22)/(G22-E22),4),"——"))</f>
        <v>5.8738000000000001</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1810"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27885</v>
      </c>
      <c r="D29" s="2834"/>
      <c r="E29" s="942">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6971</v>
      </c>
      <c r="D30" s="2840"/>
      <c r="E30" s="942">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26"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7"/>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7"/>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28"/>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1809" t="s">
        <v>2933</v>
      </c>
      <c r="C47" s="1809" t="s">
        <v>2934</v>
      </c>
      <c r="D47" s="1809" t="s">
        <v>2935</v>
      </c>
      <c r="E47" s="819" t="s">
        <v>2936</v>
      </c>
      <c r="F47" s="2868" t="s">
        <v>2937</v>
      </c>
      <c r="G47" s="1809" t="s">
        <v>754</v>
      </c>
      <c r="H47" s="2869" t="s">
        <v>2938</v>
      </c>
      <c r="I47" s="1809"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1809"/>
      <c r="C58" s="1809" t="s">
        <v>2934</v>
      </c>
      <c r="D58" s="1809" t="s">
        <v>2935</v>
      </c>
      <c r="E58" s="819" t="s">
        <v>2936</v>
      </c>
      <c r="F58" s="2868" t="s">
        <v>2952</v>
      </c>
      <c r="G58" s="1809" t="s">
        <v>754</v>
      </c>
      <c r="H58" s="2869" t="s">
        <v>2938</v>
      </c>
      <c r="I58" s="1809"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1809"/>
      <c r="C69" s="1809" t="s">
        <v>2934</v>
      </c>
      <c r="D69" s="1809" t="s">
        <v>2935</v>
      </c>
      <c r="E69" s="819" t="s">
        <v>2936</v>
      </c>
      <c r="F69" s="2868" t="s">
        <v>2952</v>
      </c>
      <c r="G69" s="1809" t="s">
        <v>754</v>
      </c>
      <c r="H69" s="2869" t="s">
        <v>2938</v>
      </c>
      <c r="I69" s="1809"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1809"/>
      <c r="C80" s="1809" t="s">
        <v>2934</v>
      </c>
      <c r="D80" s="1809" t="s">
        <v>2935</v>
      </c>
      <c r="E80" s="819" t="s">
        <v>2936</v>
      </c>
      <c r="F80" s="2868" t="s">
        <v>2952</v>
      </c>
      <c r="G80" s="1809" t="s">
        <v>754</v>
      </c>
      <c r="H80" s="2869" t="s">
        <v>2938</v>
      </c>
      <c r="I80" s="1809"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0" t="s">
        <v>2962</v>
      </c>
      <c r="B90" s="3320"/>
      <c r="C90" s="3320"/>
      <c r="D90" s="3320"/>
      <c r="E90" s="3320"/>
      <c r="F90" s="3320"/>
      <c r="G90" s="3320"/>
      <c r="H90" s="3320"/>
      <c r="I90" s="3320"/>
      <c r="J90" s="3320"/>
      <c r="K90" s="2881"/>
      <c r="L90" s="2881"/>
      <c r="M90" s="2881"/>
      <c r="N90" s="2881"/>
    </row>
    <row r="91" spans="1:37">
      <c r="A91" s="3322" t="s">
        <v>2963</v>
      </c>
      <c r="B91" s="3322" t="s">
        <v>2964</v>
      </c>
      <c r="C91" s="2835" t="s">
        <v>2965</v>
      </c>
      <c r="D91" s="2836"/>
      <c r="E91" s="2836"/>
      <c r="F91" s="2836"/>
      <c r="G91" s="2836"/>
      <c r="H91" s="2836"/>
      <c r="I91" s="2836"/>
      <c r="J91" s="2882"/>
      <c r="K91" s="2883"/>
      <c r="L91" s="2883"/>
      <c r="M91" s="2883"/>
      <c r="N91" s="2883"/>
    </row>
    <row r="92" spans="1:37">
      <c r="A92" s="3322"/>
      <c r="B92" s="332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23"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4"/>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25"/>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23"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4"/>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4"/>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4"/>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4"/>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4"/>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4"/>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4"/>
      <c r="B108" s="3139" t="s">
        <v>2969</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25"/>
      <c r="B109" s="3140"/>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21" t="s">
        <v>2970</v>
      </c>
      <c r="B110" s="3321"/>
      <c r="C110" s="3321"/>
      <c r="D110" s="3321"/>
      <c r="E110" s="3321"/>
      <c r="F110" s="3321"/>
      <c r="G110" s="3321"/>
      <c r="H110" s="3321"/>
      <c r="I110" s="3321"/>
      <c r="J110" s="3321"/>
      <c r="K110" s="2890"/>
      <c r="L110" s="2890"/>
      <c r="M110" s="2890"/>
      <c r="N110" s="2890"/>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41" t="s">
        <v>183</v>
      </c>
      <c r="B18" s="882" t="s">
        <v>560</v>
      </c>
      <c r="C18" s="883" t="s">
        <v>561</v>
      </c>
      <c r="D18" s="884"/>
      <c r="E18" s="882">
        <v>1</v>
      </c>
      <c r="F18" s="885" t="s">
        <v>562</v>
      </c>
      <c r="G18" s="886"/>
      <c r="H18" s="878"/>
      <c r="I18" s="878"/>
    </row>
    <row r="19" spans="1:9" s="887" customFormat="1" ht="19.5" customHeight="1">
      <c r="A19" s="3341"/>
      <c r="B19" s="3341" t="s">
        <v>563</v>
      </c>
      <c r="C19" s="883" t="s">
        <v>564</v>
      </c>
      <c r="D19" s="884"/>
      <c r="E19" s="882">
        <v>0.9</v>
      </c>
      <c r="F19" s="885" t="s">
        <v>565</v>
      </c>
      <c r="G19" s="886"/>
      <c r="H19" s="878"/>
      <c r="I19" s="878"/>
    </row>
    <row r="20" spans="1:9" s="887" customFormat="1" ht="19.5" customHeight="1">
      <c r="A20" s="3341"/>
      <c r="B20" s="3341"/>
      <c r="C20" s="883" t="s">
        <v>566</v>
      </c>
      <c r="D20" s="884"/>
      <c r="E20" s="882">
        <v>1.1000000000000001</v>
      </c>
      <c r="F20" s="885" t="s">
        <v>567</v>
      </c>
      <c r="G20" s="886"/>
      <c r="H20" s="878"/>
      <c r="I20" s="878"/>
    </row>
    <row r="21" spans="1:9" s="887" customFormat="1" ht="19.5" customHeight="1">
      <c r="A21" s="3341"/>
      <c r="B21" s="3341"/>
      <c r="C21" s="883" t="s">
        <v>568</v>
      </c>
      <c r="D21" s="884"/>
      <c r="E21" s="882">
        <v>0.8</v>
      </c>
      <c r="F21" s="885" t="s">
        <v>569</v>
      </c>
      <c r="G21" s="886"/>
      <c r="H21" s="878"/>
      <c r="I21" s="878"/>
    </row>
    <row r="22" spans="1:9" s="887" customFormat="1" ht="19.5" customHeight="1">
      <c r="A22" s="3341"/>
      <c r="B22" s="3341"/>
      <c r="C22" s="883" t="s">
        <v>570</v>
      </c>
      <c r="D22" s="884"/>
      <c r="E22" s="882">
        <v>0.5</v>
      </c>
      <c r="F22" s="885"/>
      <c r="G22" s="886"/>
      <c r="H22" s="878"/>
      <c r="I22" s="878"/>
    </row>
    <row r="23" spans="1:9" s="887" customFormat="1" ht="19.5" customHeight="1">
      <c r="A23" s="3341" t="s">
        <v>184</v>
      </c>
      <c r="B23" s="882" t="s">
        <v>560</v>
      </c>
      <c r="C23" s="883" t="s">
        <v>571</v>
      </c>
      <c r="D23" s="884"/>
      <c r="E23" s="882">
        <v>1</v>
      </c>
      <c r="F23" s="885" t="s">
        <v>572</v>
      </c>
      <c r="G23" s="886"/>
      <c r="H23" s="878"/>
      <c r="I23" s="878"/>
    </row>
    <row r="24" spans="1:9" s="887" customFormat="1" ht="19.5" customHeight="1">
      <c r="A24" s="3341"/>
      <c r="B24" s="3341" t="s">
        <v>563</v>
      </c>
      <c r="C24" s="883" t="s">
        <v>573</v>
      </c>
      <c r="D24" s="884"/>
      <c r="E24" s="882">
        <v>0.5</v>
      </c>
      <c r="F24" s="885"/>
      <c r="G24" s="886"/>
      <c r="H24" s="878"/>
      <c r="I24" s="878"/>
    </row>
    <row r="25" spans="1:9" s="887" customFormat="1" ht="19.5" customHeight="1">
      <c r="A25" s="3341"/>
      <c r="B25" s="3341"/>
      <c r="C25" s="883" t="s">
        <v>574</v>
      </c>
      <c r="D25" s="884"/>
      <c r="E25" s="882">
        <v>1.1000000000000001</v>
      </c>
      <c r="F25" s="885"/>
      <c r="G25" s="886"/>
      <c r="H25" s="878"/>
      <c r="I25" s="878"/>
    </row>
    <row r="26" spans="1:9" s="887" customFormat="1" ht="19.5" customHeight="1">
      <c r="A26" s="3341"/>
      <c r="B26" s="3341"/>
      <c r="C26" s="883" t="s">
        <v>575</v>
      </c>
      <c r="D26" s="884"/>
      <c r="E26" s="882">
        <v>1.1000000000000001</v>
      </c>
      <c r="F26" s="885"/>
      <c r="G26" s="886"/>
      <c r="H26" s="878"/>
      <c r="I26" s="878"/>
    </row>
    <row r="27" spans="1:9" s="887" customFormat="1" ht="19.5" customHeight="1">
      <c r="A27" s="3341"/>
      <c r="B27" s="3341"/>
      <c r="C27" s="883" t="s">
        <v>576</v>
      </c>
      <c r="D27" s="884"/>
      <c r="E27" s="882">
        <v>0.9</v>
      </c>
      <c r="F27" s="885" t="s">
        <v>577</v>
      </c>
      <c r="G27" s="886"/>
      <c r="H27" s="878"/>
      <c r="I27" s="878"/>
    </row>
    <row r="28" spans="1:9" s="887" customFormat="1" ht="19.5" customHeight="1">
      <c r="A28" s="3341"/>
      <c r="B28" s="3341"/>
      <c r="C28" s="883" t="s">
        <v>578</v>
      </c>
      <c r="D28" s="884"/>
      <c r="E28" s="882">
        <v>0.9</v>
      </c>
      <c r="F28" s="885" t="s">
        <v>579</v>
      </c>
      <c r="G28" s="886"/>
      <c r="H28" s="878"/>
      <c r="I28" s="878"/>
    </row>
    <row r="29" spans="1:9" s="887" customFormat="1" ht="19.5" customHeight="1">
      <c r="A29" s="3341"/>
      <c r="B29" s="3341"/>
      <c r="C29" s="883" t="s">
        <v>580</v>
      </c>
      <c r="D29" s="884"/>
      <c r="E29" s="882">
        <v>0.9</v>
      </c>
      <c r="F29" s="885" t="s">
        <v>581</v>
      </c>
      <c r="G29" s="886"/>
      <c r="H29" s="878"/>
      <c r="I29" s="878"/>
    </row>
    <row r="30" spans="1:9" s="887" customFormat="1" ht="19.5" customHeight="1">
      <c r="A30" s="3341"/>
      <c r="B30" s="3341"/>
      <c r="C30" s="883" t="s">
        <v>582</v>
      </c>
      <c r="D30" s="884"/>
      <c r="E30" s="882">
        <v>0.9</v>
      </c>
      <c r="F30" s="885" t="s">
        <v>583</v>
      </c>
      <c r="G30" s="886"/>
      <c r="H30" s="878"/>
      <c r="I30" s="878"/>
    </row>
    <row r="31" spans="1:9" s="887" customFormat="1" ht="19.5" customHeight="1">
      <c r="A31" s="3341"/>
      <c r="B31" s="3341"/>
      <c r="C31" s="883" t="s">
        <v>584</v>
      </c>
      <c r="D31" s="884"/>
      <c r="E31" s="882">
        <v>0.8</v>
      </c>
      <c r="F31" s="885" t="s">
        <v>585</v>
      </c>
      <c r="G31" s="886"/>
      <c r="H31" s="878"/>
      <c r="I31" s="878"/>
    </row>
    <row r="32" spans="1:9" s="887" customFormat="1" ht="19.5" customHeight="1">
      <c r="A32" s="3341"/>
      <c r="B32" s="3341"/>
      <c r="C32" s="883" t="s">
        <v>586</v>
      </c>
      <c r="D32" s="884"/>
      <c r="E32" s="882">
        <v>0.8</v>
      </c>
      <c r="F32" s="885" t="s">
        <v>587</v>
      </c>
      <c r="G32" s="886"/>
      <c r="H32" s="878"/>
      <c r="I32" s="878"/>
    </row>
    <row r="33" spans="1:9" s="887" customFormat="1" ht="19.5" customHeight="1">
      <c r="A33" s="3341" t="s">
        <v>185</v>
      </c>
      <c r="B33" s="882" t="s">
        <v>560</v>
      </c>
      <c r="C33" s="883" t="s">
        <v>588</v>
      </c>
      <c r="D33" s="884"/>
      <c r="E33" s="882">
        <v>1</v>
      </c>
      <c r="F33" s="885" t="s">
        <v>589</v>
      </c>
      <c r="G33" s="886"/>
      <c r="H33" s="878"/>
      <c r="I33" s="878"/>
    </row>
    <row r="34" spans="1:9" s="887" customFormat="1" ht="19.5" customHeight="1">
      <c r="A34" s="3341"/>
      <c r="B34" s="882" t="s">
        <v>563</v>
      </c>
      <c r="C34" s="883" t="s">
        <v>590</v>
      </c>
      <c r="D34" s="884"/>
      <c r="E34" s="882">
        <v>1.5</v>
      </c>
      <c r="F34" s="885" t="s">
        <v>591</v>
      </c>
      <c r="G34" s="886"/>
      <c r="H34" s="878"/>
      <c r="I34" s="878"/>
    </row>
    <row r="35" spans="1:9" s="887" customFormat="1" ht="19.5" customHeight="1">
      <c r="A35" s="3341" t="s">
        <v>186</v>
      </c>
      <c r="B35" s="882" t="s">
        <v>560</v>
      </c>
      <c r="C35" s="883" t="s">
        <v>592</v>
      </c>
      <c r="D35" s="884"/>
      <c r="E35" s="882">
        <v>1</v>
      </c>
      <c r="F35" s="885" t="s">
        <v>593</v>
      </c>
      <c r="G35" s="886"/>
      <c r="H35" s="878"/>
      <c r="I35" s="878"/>
    </row>
    <row r="36" spans="1:9" s="887" customFormat="1" ht="19.5" customHeight="1">
      <c r="A36" s="3341"/>
      <c r="B36" s="3341" t="s">
        <v>563</v>
      </c>
      <c r="C36" s="883" t="s">
        <v>594</v>
      </c>
      <c r="D36" s="884"/>
      <c r="E36" s="882">
        <v>1</v>
      </c>
      <c r="F36" s="885" t="s">
        <v>595</v>
      </c>
      <c r="G36" s="886"/>
      <c r="H36" s="878"/>
      <c r="I36" s="878"/>
    </row>
    <row r="37" spans="1:9" s="887" customFormat="1" ht="19.5" customHeight="1">
      <c r="A37" s="3341"/>
      <c r="B37" s="3341"/>
      <c r="C37" s="883" t="s">
        <v>596</v>
      </c>
      <c r="D37" s="884"/>
      <c r="E37" s="882">
        <v>1.5</v>
      </c>
      <c r="F37" s="885" t="s">
        <v>597</v>
      </c>
      <c r="G37" s="886"/>
      <c r="H37" s="878"/>
      <c r="I37" s="878"/>
    </row>
    <row r="38" spans="1:9" s="887" customFormat="1" ht="19.5" customHeight="1">
      <c r="A38" s="3341"/>
      <c r="B38" s="3341"/>
      <c r="C38" s="883" t="s">
        <v>598</v>
      </c>
      <c r="D38" s="884"/>
      <c r="E38" s="882">
        <v>1</v>
      </c>
      <c r="F38" s="885" t="s">
        <v>599</v>
      </c>
      <c r="G38" s="886"/>
      <c r="H38" s="878"/>
      <c r="I38" s="878"/>
    </row>
    <row r="39" spans="1:9" s="887" customFormat="1" ht="19.5" customHeight="1">
      <c r="A39" s="3341"/>
      <c r="B39" s="33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41" t="s">
        <v>614</v>
      </c>
      <c r="C61" s="818" t="s">
        <v>615</v>
      </c>
      <c r="D61" s="818" t="s">
        <v>616</v>
      </c>
      <c r="E61" s="895">
        <v>0.5</v>
      </c>
      <c r="F61" s="882">
        <v>80</v>
      </c>
    </row>
    <row r="62" spans="1:8" s="878" customFormat="1" ht="24">
      <c r="A62" s="882">
        <v>2</v>
      </c>
      <c r="B62" s="3341"/>
      <c r="C62" s="818" t="s">
        <v>617</v>
      </c>
      <c r="D62" s="818" t="s">
        <v>618</v>
      </c>
      <c r="E62" s="895">
        <v>0.5</v>
      </c>
      <c r="F62" s="882">
        <v>80</v>
      </c>
    </row>
    <row r="63" spans="1:8" s="878" customFormat="1" ht="36">
      <c r="A63" s="882">
        <v>3</v>
      </c>
      <c r="B63" s="3341"/>
      <c r="C63" s="818" t="s">
        <v>619</v>
      </c>
      <c r="D63" s="818" t="s">
        <v>620</v>
      </c>
      <c r="E63" s="895">
        <v>0.5</v>
      </c>
      <c r="F63" s="882">
        <v>80</v>
      </c>
    </row>
    <row r="64" spans="1:8" s="878" customFormat="1" ht="36">
      <c r="A64" s="882">
        <v>4</v>
      </c>
      <c r="B64" s="3341"/>
      <c r="C64" s="818" t="s">
        <v>621</v>
      </c>
      <c r="D64" s="818" t="s">
        <v>622</v>
      </c>
      <c r="E64" s="895">
        <v>0.4</v>
      </c>
      <c r="F64" s="882">
        <v>60</v>
      </c>
    </row>
    <row r="65" spans="1:6" s="878" customFormat="1" ht="36">
      <c r="A65" s="882">
        <v>5</v>
      </c>
      <c r="B65" s="3341"/>
      <c r="C65" s="818" t="s">
        <v>623</v>
      </c>
      <c r="D65" s="818" t="s">
        <v>624</v>
      </c>
      <c r="E65" s="895">
        <v>0.2</v>
      </c>
      <c r="F65" s="882">
        <v>30</v>
      </c>
    </row>
    <row r="66" spans="1:6" s="878" customFormat="1" ht="36">
      <c r="A66" s="882">
        <v>6</v>
      </c>
      <c r="B66" s="3341"/>
      <c r="C66" s="818" t="s">
        <v>625</v>
      </c>
      <c r="D66" s="818" t="s">
        <v>626</v>
      </c>
      <c r="E66" s="895">
        <v>0.3</v>
      </c>
      <c r="F66" s="882">
        <v>50</v>
      </c>
    </row>
    <row r="67" spans="1:6" s="878" customFormat="1" ht="36">
      <c r="A67" s="882">
        <v>7</v>
      </c>
      <c r="B67" s="3341"/>
      <c r="C67" s="818" t="s">
        <v>627</v>
      </c>
      <c r="D67" s="818" t="s">
        <v>628</v>
      </c>
      <c r="E67" s="895">
        <v>0.2</v>
      </c>
      <c r="F67" s="882">
        <v>30</v>
      </c>
    </row>
    <row r="68" spans="1:6" s="878" customFormat="1" ht="36">
      <c r="A68" s="882">
        <v>8</v>
      </c>
      <c r="B68" s="3341"/>
      <c r="C68" s="818" t="s">
        <v>629</v>
      </c>
      <c r="D68" s="818" t="s">
        <v>630</v>
      </c>
      <c r="E68" s="895">
        <v>0.2</v>
      </c>
      <c r="F68" s="882">
        <v>30</v>
      </c>
    </row>
    <row r="69" spans="1:6" s="878" customFormat="1" ht="36">
      <c r="A69" s="882">
        <v>9</v>
      </c>
      <c r="B69" s="3341"/>
      <c r="C69" s="818" t="s">
        <v>631</v>
      </c>
      <c r="D69" s="818" t="s">
        <v>632</v>
      </c>
      <c r="E69" s="895">
        <v>0.2</v>
      </c>
      <c r="F69" s="882">
        <v>30</v>
      </c>
    </row>
    <row r="70" spans="1:6" s="878" customFormat="1" ht="48">
      <c r="A70" s="882">
        <v>10</v>
      </c>
      <c r="B70" s="3341"/>
      <c r="C70" s="818" t="s">
        <v>633</v>
      </c>
      <c r="D70" s="818" t="s">
        <v>634</v>
      </c>
      <c r="E70" s="895">
        <v>0.2</v>
      </c>
      <c r="F70" s="882">
        <v>30</v>
      </c>
    </row>
    <row r="71" spans="1:6" s="878" customFormat="1" ht="48">
      <c r="A71" s="882">
        <v>11</v>
      </c>
      <c r="B71" s="3341"/>
      <c r="C71" s="818" t="s">
        <v>635</v>
      </c>
      <c r="D71" s="818" t="s">
        <v>636</v>
      </c>
      <c r="E71" s="895">
        <v>0.2</v>
      </c>
      <c r="F71" s="882">
        <v>30</v>
      </c>
    </row>
    <row r="72" spans="1:6" s="878" customFormat="1" ht="36">
      <c r="A72" s="882">
        <v>12</v>
      </c>
      <c r="B72" s="3341"/>
      <c r="C72" s="818" t="s">
        <v>637</v>
      </c>
      <c r="D72" s="818" t="s">
        <v>638</v>
      </c>
      <c r="E72" s="895">
        <v>0.5</v>
      </c>
      <c r="F72" s="882">
        <v>80</v>
      </c>
    </row>
    <row r="73" spans="1:6" s="878" customFormat="1" ht="24">
      <c r="A73" s="882">
        <v>13</v>
      </c>
      <c r="B73" s="3341"/>
      <c r="C73" s="818" t="s">
        <v>639</v>
      </c>
      <c r="D73" s="818" t="s">
        <v>640</v>
      </c>
      <c r="E73" s="895">
        <v>0.4</v>
      </c>
      <c r="F73" s="882">
        <v>60</v>
      </c>
    </row>
    <row r="74" spans="1:6" s="878" customFormat="1" ht="24">
      <c r="A74" s="882">
        <v>14</v>
      </c>
      <c r="B74" s="3341"/>
      <c r="C74" s="818" t="s">
        <v>641</v>
      </c>
      <c r="D74" s="818" t="s">
        <v>642</v>
      </c>
      <c r="E74" s="895">
        <v>0.2</v>
      </c>
      <c r="F74" s="882">
        <v>30</v>
      </c>
    </row>
    <row r="75" spans="1:6" s="878" customFormat="1" ht="24">
      <c r="A75" s="882">
        <v>15</v>
      </c>
      <c r="B75" s="3341"/>
      <c r="C75" s="818" t="s">
        <v>643</v>
      </c>
      <c r="D75" s="818" t="s">
        <v>644</v>
      </c>
      <c r="E75" s="895">
        <v>0.2</v>
      </c>
      <c r="F75" s="882">
        <v>30</v>
      </c>
    </row>
    <row r="76" spans="1:6" s="878" customFormat="1" ht="24">
      <c r="A76" s="882">
        <v>16</v>
      </c>
      <c r="B76" s="3341" t="s">
        <v>645</v>
      </c>
      <c r="C76" s="818" t="s">
        <v>646</v>
      </c>
      <c r="D76" s="818" t="s">
        <v>647</v>
      </c>
      <c r="E76" s="895">
        <v>0.5</v>
      </c>
      <c r="F76" s="882">
        <v>80</v>
      </c>
    </row>
    <row r="77" spans="1:6" s="878" customFormat="1" ht="24">
      <c r="A77" s="882">
        <v>17</v>
      </c>
      <c r="B77" s="3341"/>
      <c r="C77" s="818" t="s">
        <v>648</v>
      </c>
      <c r="D77" s="818" t="s">
        <v>649</v>
      </c>
      <c r="E77" s="895">
        <v>0.5</v>
      </c>
      <c r="F77" s="882">
        <v>80</v>
      </c>
    </row>
    <row r="78" spans="1:6" s="878" customFormat="1" ht="24">
      <c r="A78" s="882">
        <v>18</v>
      </c>
      <c r="B78" s="3341"/>
      <c r="C78" s="818" t="s">
        <v>650</v>
      </c>
      <c r="D78" s="818" t="s">
        <v>651</v>
      </c>
      <c r="E78" s="895">
        <v>0.2</v>
      </c>
      <c r="F78" s="882">
        <v>30</v>
      </c>
    </row>
    <row r="79" spans="1:6" s="878" customFormat="1" ht="24">
      <c r="A79" s="882">
        <v>19</v>
      </c>
      <c r="B79" s="3341"/>
      <c r="C79" s="818" t="s">
        <v>652</v>
      </c>
      <c r="D79" s="818" t="s">
        <v>653</v>
      </c>
      <c r="E79" s="895">
        <v>0.5</v>
      </c>
      <c r="F79" s="882">
        <v>80</v>
      </c>
    </row>
    <row r="80" spans="1:6" s="878" customFormat="1" ht="36">
      <c r="A80" s="882">
        <v>20</v>
      </c>
      <c r="B80" s="3341"/>
      <c r="C80" s="818" t="s">
        <v>654</v>
      </c>
      <c r="D80" s="818" t="s">
        <v>655</v>
      </c>
      <c r="E80" s="895">
        <v>0.2</v>
      </c>
      <c r="F80" s="882">
        <v>30</v>
      </c>
    </row>
    <row r="81" spans="1:6" s="878" customFormat="1" ht="36">
      <c r="A81" s="882">
        <v>21</v>
      </c>
      <c r="B81" s="3341"/>
      <c r="C81" s="818" t="s">
        <v>656</v>
      </c>
      <c r="D81" s="818" t="s">
        <v>657</v>
      </c>
      <c r="E81" s="895">
        <v>0.2</v>
      </c>
      <c r="F81" s="882">
        <v>30</v>
      </c>
    </row>
    <row r="82" spans="1:6" s="878" customFormat="1" ht="48">
      <c r="A82" s="882">
        <v>22</v>
      </c>
      <c r="B82" s="3341"/>
      <c r="C82" s="818" t="s">
        <v>658</v>
      </c>
      <c r="D82" s="818" t="s">
        <v>659</v>
      </c>
      <c r="E82" s="895">
        <v>0.2</v>
      </c>
      <c r="F82" s="882">
        <v>30</v>
      </c>
    </row>
    <row r="83" spans="1:6" s="878" customFormat="1" ht="48">
      <c r="A83" s="882">
        <v>23</v>
      </c>
      <c r="B83" s="3341"/>
      <c r="C83" s="818" t="s">
        <v>660</v>
      </c>
      <c r="D83" s="818" t="s">
        <v>661</v>
      </c>
      <c r="E83" s="895">
        <v>0.2</v>
      </c>
      <c r="F83" s="882">
        <v>30</v>
      </c>
    </row>
    <row r="84" spans="1:6" s="878" customFormat="1" ht="36">
      <c r="A84" s="882">
        <v>24</v>
      </c>
      <c r="B84" s="3341"/>
      <c r="C84" s="818" t="s">
        <v>662</v>
      </c>
      <c r="D84" s="818" t="s">
        <v>663</v>
      </c>
      <c r="E84" s="895">
        <v>0.2</v>
      </c>
      <c r="F84" s="882">
        <v>30</v>
      </c>
    </row>
    <row r="85" spans="1:6" s="878" customFormat="1" ht="36">
      <c r="A85" s="882">
        <v>25</v>
      </c>
      <c r="B85" s="3341"/>
      <c r="C85" s="818" t="s">
        <v>664</v>
      </c>
      <c r="D85" s="818" t="s">
        <v>665</v>
      </c>
      <c r="E85" s="895">
        <v>0.5</v>
      </c>
      <c r="F85" s="882">
        <v>80</v>
      </c>
    </row>
    <row r="86" spans="1:6" s="878" customFormat="1" ht="36">
      <c r="A86" s="882">
        <v>26</v>
      </c>
      <c r="B86" s="3341"/>
      <c r="C86" s="818" t="s">
        <v>666</v>
      </c>
      <c r="D86" s="818" t="s">
        <v>667</v>
      </c>
      <c r="E86" s="895">
        <v>0.2</v>
      </c>
      <c r="F86" s="882">
        <v>30</v>
      </c>
    </row>
    <row r="87" spans="1:6" s="878" customFormat="1" ht="36">
      <c r="A87" s="882">
        <v>27</v>
      </c>
      <c r="B87" s="3341"/>
      <c r="C87" s="818" t="s">
        <v>668</v>
      </c>
      <c r="D87" s="818" t="s">
        <v>669</v>
      </c>
      <c r="E87" s="895">
        <v>0.2</v>
      </c>
      <c r="F87" s="882">
        <v>30</v>
      </c>
    </row>
    <row r="88" spans="1:6" s="878" customFormat="1" ht="36">
      <c r="A88" s="882">
        <v>28</v>
      </c>
      <c r="B88" s="3341"/>
      <c r="C88" s="818" t="s">
        <v>670</v>
      </c>
      <c r="D88" s="818" t="s">
        <v>671</v>
      </c>
      <c r="E88" s="895">
        <v>0.2</v>
      </c>
      <c r="F88" s="882">
        <v>30</v>
      </c>
    </row>
    <row r="89" spans="1:6" s="878" customFormat="1" ht="24">
      <c r="A89" s="882">
        <v>29</v>
      </c>
      <c r="B89" s="3341"/>
      <c r="C89" s="818" t="s">
        <v>672</v>
      </c>
      <c r="D89" s="818" t="s">
        <v>673</v>
      </c>
      <c r="E89" s="895">
        <v>0.2</v>
      </c>
      <c r="F89" s="882">
        <v>30</v>
      </c>
    </row>
    <row r="90" spans="1:6" s="878" customFormat="1" ht="24">
      <c r="A90" s="882">
        <v>30</v>
      </c>
      <c r="B90" s="3341"/>
      <c r="C90" s="818" t="s">
        <v>674</v>
      </c>
      <c r="D90" s="818" t="s">
        <v>675</v>
      </c>
      <c r="E90" s="895">
        <v>0.2</v>
      </c>
      <c r="F90" s="882">
        <v>30</v>
      </c>
    </row>
    <row r="91" spans="1:6" s="878" customFormat="1" ht="36">
      <c r="A91" s="882">
        <v>31</v>
      </c>
      <c r="B91" s="3341"/>
      <c r="C91" s="818" t="s">
        <v>676</v>
      </c>
      <c r="D91" s="818" t="s">
        <v>677</v>
      </c>
      <c r="E91" s="895">
        <v>0.2</v>
      </c>
      <c r="F91" s="882">
        <v>30</v>
      </c>
    </row>
    <row r="92" spans="1:6" s="878" customFormat="1" ht="24">
      <c r="A92" s="882">
        <v>32</v>
      </c>
      <c r="B92" s="3341" t="s">
        <v>678</v>
      </c>
      <c r="C92" s="882" t="s">
        <v>679</v>
      </c>
      <c r="D92" s="818" t="s">
        <v>680</v>
      </c>
      <c r="E92" s="895">
        <v>0.2</v>
      </c>
      <c r="F92" s="882">
        <v>30</v>
      </c>
    </row>
    <row r="93" spans="1:6" s="878" customFormat="1" ht="36">
      <c r="A93" s="882">
        <v>33</v>
      </c>
      <c r="B93" s="3341"/>
      <c r="C93" s="882" t="s">
        <v>681</v>
      </c>
      <c r="D93" s="818" t="s">
        <v>682</v>
      </c>
      <c r="E93" s="895">
        <v>0.2</v>
      </c>
      <c r="F93" s="882">
        <v>30</v>
      </c>
    </row>
    <row r="94" spans="1:6" s="878" customFormat="1" ht="48">
      <c r="A94" s="882">
        <v>34</v>
      </c>
      <c r="B94" s="3341"/>
      <c r="C94" s="882" t="s">
        <v>683</v>
      </c>
      <c r="D94" s="818" t="s">
        <v>684</v>
      </c>
      <c r="E94" s="895">
        <v>0.2</v>
      </c>
      <c r="F94" s="882">
        <v>30</v>
      </c>
    </row>
    <row r="95" spans="1:6" s="878" customFormat="1" ht="36">
      <c r="A95" s="882">
        <v>35</v>
      </c>
      <c r="B95" s="3341"/>
      <c r="C95" s="882" t="s">
        <v>685</v>
      </c>
      <c r="D95" s="818" t="s">
        <v>686</v>
      </c>
      <c r="E95" s="895">
        <v>0.2</v>
      </c>
      <c r="F95" s="882">
        <v>30</v>
      </c>
    </row>
    <row r="96" spans="1:6" s="878" customFormat="1" ht="48">
      <c r="A96" s="882">
        <v>36</v>
      </c>
      <c r="B96" s="3341"/>
      <c r="C96" s="818" t="s">
        <v>687</v>
      </c>
      <c r="D96" s="818" t="s">
        <v>688</v>
      </c>
      <c r="E96" s="895">
        <v>0.2</v>
      </c>
      <c r="F96" s="882">
        <v>30</v>
      </c>
    </row>
    <row r="97" spans="1:6" s="878" customFormat="1" ht="36">
      <c r="A97" s="882">
        <v>37</v>
      </c>
      <c r="B97" s="3341"/>
      <c r="C97" s="882" t="s">
        <v>689</v>
      </c>
      <c r="D97" s="818" t="s">
        <v>690</v>
      </c>
      <c r="E97" s="895">
        <v>0.2</v>
      </c>
      <c r="F97" s="882">
        <v>30</v>
      </c>
    </row>
    <row r="98" spans="1:6" s="878" customFormat="1" ht="36">
      <c r="A98" s="882">
        <v>38</v>
      </c>
      <c r="B98" s="3341"/>
      <c r="C98" s="882" t="s">
        <v>691</v>
      </c>
      <c r="D98" s="818" t="s">
        <v>692</v>
      </c>
      <c r="E98" s="895">
        <v>0.2</v>
      </c>
      <c r="F98" s="882">
        <v>30</v>
      </c>
    </row>
    <row r="99" spans="1:6" s="878" customFormat="1" ht="36">
      <c r="A99" s="882">
        <v>39</v>
      </c>
      <c r="B99" s="3341" t="s">
        <v>693</v>
      </c>
      <c r="C99" s="882" t="s">
        <v>694</v>
      </c>
      <c r="D99" s="818" t="s">
        <v>695</v>
      </c>
      <c r="E99" s="895">
        <v>0.3</v>
      </c>
      <c r="F99" s="882">
        <v>50</v>
      </c>
    </row>
    <row r="100" spans="1:6" s="878" customFormat="1" ht="24">
      <c r="A100" s="882">
        <v>40</v>
      </c>
      <c r="B100" s="3341"/>
      <c r="C100" s="882" t="s">
        <v>696</v>
      </c>
      <c r="D100" s="818" t="s">
        <v>697</v>
      </c>
      <c r="E100" s="895">
        <v>0.2</v>
      </c>
      <c r="F100" s="882">
        <v>30</v>
      </c>
    </row>
    <row r="101" spans="1:6" s="878" customFormat="1" ht="36">
      <c r="A101" s="882">
        <v>41</v>
      </c>
      <c r="B101" s="33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1" t="s">
        <v>708</v>
      </c>
      <c r="C105" s="882" t="s">
        <v>709</v>
      </c>
      <c r="D105" s="818" t="s">
        <v>710</v>
      </c>
      <c r="E105" s="895">
        <v>0.2</v>
      </c>
      <c r="F105" s="882">
        <v>30</v>
      </c>
    </row>
    <row r="106" spans="1:6" s="878" customFormat="1" ht="36">
      <c r="A106" s="882">
        <v>46</v>
      </c>
      <c r="B106" s="3341"/>
      <c r="C106" s="882" t="s">
        <v>711</v>
      </c>
      <c r="D106" s="818" t="s">
        <v>712</v>
      </c>
      <c r="E106" s="895">
        <v>0.2</v>
      </c>
      <c r="F106" s="882">
        <v>30</v>
      </c>
    </row>
    <row r="107" spans="1:6" s="878" customFormat="1" ht="36">
      <c r="A107" s="882">
        <v>47</v>
      </c>
      <c r="B107" s="3341" t="s">
        <v>713</v>
      </c>
      <c r="C107" s="882" t="s">
        <v>714</v>
      </c>
      <c r="D107" s="818" t="s">
        <v>715</v>
      </c>
      <c r="E107" s="895">
        <v>0.3</v>
      </c>
      <c r="F107" s="882">
        <v>50</v>
      </c>
    </row>
    <row r="108" spans="1:6" s="878" customFormat="1" ht="36">
      <c r="A108" s="882">
        <v>48</v>
      </c>
      <c r="B108" s="33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1" t="s">
        <v>724</v>
      </c>
      <c r="C111" s="882" t="s">
        <v>725</v>
      </c>
      <c r="D111" s="818" t="s">
        <v>726</v>
      </c>
      <c r="E111" s="895">
        <v>0.2</v>
      </c>
      <c r="F111" s="882">
        <v>30</v>
      </c>
    </row>
    <row r="112" spans="1:6" s="878" customFormat="1" ht="24">
      <c r="A112" s="882">
        <v>52</v>
      </c>
      <c r="B112" s="3341"/>
      <c r="C112" s="882" t="s">
        <v>727</v>
      </c>
      <c r="D112" s="818" t="s">
        <v>728</v>
      </c>
      <c r="E112" s="895">
        <v>0.2</v>
      </c>
      <c r="F112" s="882">
        <v>30</v>
      </c>
    </row>
    <row r="113" spans="1:6" s="878" customFormat="1" ht="24">
      <c r="A113" s="882">
        <v>53</v>
      </c>
      <c r="B113" s="33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1" t="s">
        <v>737</v>
      </c>
      <c r="C116" s="882" t="s">
        <v>738</v>
      </c>
      <c r="D116" s="818" t="s">
        <v>739</v>
      </c>
      <c r="E116" s="895">
        <v>0.2</v>
      </c>
      <c r="F116" s="882">
        <v>30</v>
      </c>
    </row>
    <row r="117" spans="1:6" ht="36">
      <c r="A117" s="882">
        <v>57</v>
      </c>
      <c r="B117" s="33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SUMPRODUCT((A105:A204=ROUNDDOWN('基准地价修正（商业1）'!G3,1))*(B104:M104='基准地价修正（商业1）'!G2)*(B105:M204))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A4" sqref="A4:J4"/>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2</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18"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2996" t="s">
        <v>2826</v>
      </c>
      <c r="X7" s="1604" t="str">
        <f>G2</f>
        <v>九级</v>
      </c>
      <c r="Y7" s="1604" t="s">
        <v>2827</v>
      </c>
      <c r="Z7" s="1605">
        <f>G3</f>
        <v>0.25</v>
      </c>
      <c r="AA7" s="1606"/>
      <c r="AB7" s="1606"/>
      <c r="AC7" s="1607"/>
      <c r="AD7" s="1608"/>
      <c r="AE7" s="1608"/>
      <c r="AF7" s="1608"/>
      <c r="AG7" s="1608"/>
      <c r="AH7" s="1608"/>
      <c r="AI7" s="1608"/>
      <c r="AJ7" s="1609"/>
    </row>
    <row r="8" spans="1:36" ht="25.5">
      <c r="A8" s="3338"/>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31" t="s">
        <v>2831</v>
      </c>
      <c r="X8" s="3332"/>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38"/>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33"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8"/>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8"/>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33"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8"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33"/>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9"/>
      <c r="B13" s="2761" t="s">
        <v>2862</v>
      </c>
      <c r="C13" s="2762" t="s">
        <v>2863</v>
      </c>
      <c r="D13" s="2989" t="s">
        <v>2864</v>
      </c>
      <c r="E13" s="2989"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33"/>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39"/>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0"/>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8" t="s">
        <v>2874</v>
      </c>
      <c r="B16" s="2742" t="s">
        <v>2875</v>
      </c>
      <c r="C16" s="2985">
        <f>ROUND(IF(F17="与级别开发程度一致",0,(G17-E17)/C17),0)</f>
        <v>20</v>
      </c>
      <c r="D16" s="3329" t="s">
        <v>2879</v>
      </c>
      <c r="E16" s="3330"/>
      <c r="F16" s="3329" t="s">
        <v>2876</v>
      </c>
      <c r="G16" s="3330"/>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19"/>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3000">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2995">
        <f>IF(B21="容积率修正",IF(G3&lt;=10,D22,J22),C23)</f>
        <v>5.1196000000000002</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94" t="s">
        <v>2897</v>
      </c>
      <c r="D22" s="2994">
        <f>IF(E22=G22,F22,IF(G3&lt;=10,ROUND(F22+(H22-F22)*(G3-E22)/(G22-E22),4),"——"))</f>
        <v>5.8738000000000001</v>
      </c>
      <c r="E22" s="916">
        <f>ROUNDDOWN(G3,1)</f>
        <v>0.2</v>
      </c>
      <c r="F22" s="29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29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2994"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5.1196000000000002</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18378</v>
      </c>
      <c r="D29" s="2834"/>
      <c r="E29" s="2999">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4595</v>
      </c>
      <c r="D30" s="2840"/>
      <c r="E30" s="2999">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26"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7"/>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7"/>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28"/>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88" t="s">
        <v>2933</v>
      </c>
      <c r="C47" s="2988" t="s">
        <v>2934</v>
      </c>
      <c r="D47" s="2988" t="s">
        <v>2935</v>
      </c>
      <c r="E47" s="819" t="s">
        <v>2936</v>
      </c>
      <c r="F47" s="2868" t="s">
        <v>2937</v>
      </c>
      <c r="G47" s="2988" t="s">
        <v>754</v>
      </c>
      <c r="H47" s="2869" t="s">
        <v>2938</v>
      </c>
      <c r="I47" s="2988"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88"/>
      <c r="C58" s="2988" t="s">
        <v>2934</v>
      </c>
      <c r="D58" s="2988" t="s">
        <v>2935</v>
      </c>
      <c r="E58" s="819" t="s">
        <v>2936</v>
      </c>
      <c r="F58" s="2868" t="s">
        <v>2952</v>
      </c>
      <c r="G58" s="2988" t="s">
        <v>754</v>
      </c>
      <c r="H58" s="2869" t="s">
        <v>2938</v>
      </c>
      <c r="I58" s="2988"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88"/>
      <c r="C69" s="2988" t="s">
        <v>2934</v>
      </c>
      <c r="D69" s="2988" t="s">
        <v>2935</v>
      </c>
      <c r="E69" s="819" t="s">
        <v>2936</v>
      </c>
      <c r="F69" s="2868" t="s">
        <v>2952</v>
      </c>
      <c r="G69" s="2988" t="s">
        <v>754</v>
      </c>
      <c r="H69" s="2869" t="s">
        <v>2938</v>
      </c>
      <c r="I69" s="2988"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88"/>
      <c r="C80" s="2988" t="s">
        <v>2934</v>
      </c>
      <c r="D80" s="2988" t="s">
        <v>2935</v>
      </c>
      <c r="E80" s="819" t="s">
        <v>2936</v>
      </c>
      <c r="F80" s="2868" t="s">
        <v>2952</v>
      </c>
      <c r="G80" s="2988" t="s">
        <v>754</v>
      </c>
      <c r="H80" s="2869" t="s">
        <v>2938</v>
      </c>
      <c r="I80" s="2988"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0" t="s">
        <v>2962</v>
      </c>
      <c r="B90" s="3320"/>
      <c r="C90" s="3320"/>
      <c r="D90" s="3320"/>
      <c r="E90" s="3320"/>
      <c r="F90" s="3320"/>
      <c r="G90" s="3320"/>
      <c r="H90" s="3320"/>
      <c r="I90" s="3320"/>
      <c r="J90" s="3320"/>
      <c r="K90" s="2997"/>
      <c r="L90" s="2997"/>
      <c r="M90" s="2997"/>
      <c r="N90" s="2997"/>
    </row>
    <row r="91" spans="1:37">
      <c r="A91" s="3322" t="s">
        <v>2963</v>
      </c>
      <c r="B91" s="3322" t="s">
        <v>2964</v>
      </c>
      <c r="C91" s="2835" t="s">
        <v>2965</v>
      </c>
      <c r="D91" s="2836"/>
      <c r="E91" s="2836"/>
      <c r="F91" s="2836"/>
      <c r="G91" s="2836"/>
      <c r="H91" s="2836"/>
      <c r="I91" s="2836"/>
      <c r="J91" s="2882"/>
      <c r="K91" s="2883"/>
      <c r="L91" s="2883"/>
      <c r="M91" s="2883"/>
      <c r="N91" s="2883"/>
    </row>
    <row r="92" spans="1:37">
      <c r="A92" s="3322"/>
      <c r="B92" s="3322"/>
      <c r="C92" s="2999" t="s">
        <v>2832</v>
      </c>
      <c r="D92" s="2999" t="s">
        <v>2833</v>
      </c>
      <c r="E92" s="2999" t="s">
        <v>2834</v>
      </c>
      <c r="F92" s="2999" t="s">
        <v>2835</v>
      </c>
      <c r="G92" s="2999" t="s">
        <v>2836</v>
      </c>
      <c r="H92" s="2999" t="s">
        <v>2837</v>
      </c>
      <c r="I92" s="2999" t="s">
        <v>2838</v>
      </c>
      <c r="J92" s="2999" t="s">
        <v>2839</v>
      </c>
      <c r="K92" s="2999" t="s">
        <v>2840</v>
      </c>
      <c r="L92" s="2999" t="s">
        <v>2841</v>
      </c>
      <c r="M92" s="2999" t="s">
        <v>2842</v>
      </c>
      <c r="N92" s="2999" t="s">
        <v>2843</v>
      </c>
    </row>
    <row r="93" spans="1:37">
      <c r="A93" s="3323"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4"/>
      <c r="B99" s="2884" t="s">
        <v>2848</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325"/>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323"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4"/>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4"/>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4"/>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4"/>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4"/>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4"/>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4"/>
      <c r="B108" s="3139" t="s">
        <v>2861</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325"/>
      <c r="B109" s="3140"/>
      <c r="C109" s="2887">
        <f>(-0.163*(C108^2)-0.59*C108+7617)*(10^(-4))/C101</f>
        <v>3.0460672</v>
      </c>
      <c r="D109" s="2887">
        <f>(-0.163*(D108^2)-0.59*D108+7617)*(10^(-4))/D101</f>
        <v>3.0460672</v>
      </c>
      <c r="E109" s="2887">
        <f>(-0.161*(E108^2)-7.509*E108+6533)*(10^(-4))/E101</f>
        <v>2.6069352000000001</v>
      </c>
      <c r="F109" s="2887">
        <f>(-0.161*(F108^2)-7.509*F108+6533)*(10^(-4))/F101</f>
        <v>2.6069352000000001</v>
      </c>
      <c r="G109" s="2887">
        <f>(-0.161*(G108^2)-7.509*G108+6533)*(10^(-4))/G101</f>
        <v>2.6069352000000001</v>
      </c>
      <c r="H109" s="2887">
        <f>(-0.161*(H108^2)-7.509*H108+6533)*(10^(-4))/H101</f>
        <v>2.6069352000000001</v>
      </c>
      <c r="I109" s="2887">
        <f>(-0.161*(I108^2)-7.509*I108+6533)*(10^(-4))/I101</f>
        <v>2.6069352000000001</v>
      </c>
      <c r="J109" s="2887">
        <f>(-0.214*(J108^2)-21.991*J108+4665)*(10^(-4))/J101</f>
        <v>1.8480648000000002</v>
      </c>
      <c r="K109" s="2887">
        <f>(-0.214*(K108^2)-21.991*K108+4665)*(10^(-4))/K101</f>
        <v>1.8480648000000002</v>
      </c>
      <c r="L109" s="2887">
        <f>(-0.214*(L108^2)-21.991*L108+4665)*(10^(-4))/L101</f>
        <v>1.8480648000000002</v>
      </c>
      <c r="M109" s="2887">
        <f>(-0.214*(M108^2)-21.991*M108+4665)*(10^(-4))/M101</f>
        <v>1.8480648000000002</v>
      </c>
      <c r="N109" s="2887">
        <f>(-0.214*(N108^2)-21.991*N108+4665)*(10^(-4))/N101</f>
        <v>1.8480648000000002</v>
      </c>
    </row>
    <row r="110" spans="1:14">
      <c r="A110" s="3321" t="s">
        <v>2970</v>
      </c>
      <c r="B110" s="3321"/>
      <c r="C110" s="3321"/>
      <c r="D110" s="3321"/>
      <c r="E110" s="3321"/>
      <c r="F110" s="3321"/>
      <c r="G110" s="3321"/>
      <c r="H110" s="3321"/>
      <c r="I110" s="3321"/>
      <c r="J110" s="3321"/>
      <c r="K110" s="2998"/>
      <c r="L110" s="2998"/>
      <c r="M110" s="2998"/>
      <c r="N110" s="2998"/>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68" sqref="G6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28957</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t="e">
        <f ca="1">ROUND(B2*10000/D1,0)</f>
        <v>#DIV/0!</v>
      </c>
      <c r="C3" s="2718" t="s">
        <v>2810</v>
      </c>
      <c r="D3" s="2719" t="s">
        <v>2811</v>
      </c>
      <c r="E3" s="2724" t="s">
        <v>3091</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19085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15018</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4040</v>
      </c>
      <c r="D5" s="1787">
        <f>ROUND(C6+C16,0)</f>
        <v>4040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11221</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4020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8438</v>
      </c>
      <c r="U6" s="1603"/>
      <c r="V6" s="1602">
        <f t="shared" ca="1" si="1"/>
        <v>0</v>
      </c>
      <c r="W6" s="1606"/>
      <c r="X6" s="1606"/>
      <c r="Y6" s="1606"/>
      <c r="Z6" s="1606"/>
      <c r="AA6" s="1606"/>
      <c r="AB6" s="1606"/>
      <c r="AC6" s="2732"/>
      <c r="AD6" s="2733"/>
      <c r="AE6" s="2733"/>
      <c r="AF6" s="2733"/>
      <c r="AG6" s="2733"/>
      <c r="AH6" s="2733"/>
      <c r="AI6" s="2733"/>
      <c r="AJ6" s="2734"/>
    </row>
    <row r="7" spans="1:36" ht="24">
      <c r="A7" s="3318"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6747</v>
      </c>
      <c r="U7" s="1603"/>
      <c r="V7" s="1602">
        <f t="shared" ca="1" si="1"/>
        <v>0</v>
      </c>
      <c r="W7" s="2981" t="s">
        <v>2826</v>
      </c>
      <c r="X7" s="1604" t="str">
        <f>G2</f>
        <v>九级</v>
      </c>
      <c r="Y7" s="1604" t="s">
        <v>2827</v>
      </c>
      <c r="Z7" s="1605">
        <f>G3</f>
        <v>0.25</v>
      </c>
      <c r="AA7" s="1606"/>
      <c r="AB7" s="1606"/>
      <c r="AC7" s="1607"/>
      <c r="AD7" s="1608"/>
      <c r="AE7" s="1608"/>
      <c r="AF7" s="1608"/>
      <c r="AG7" s="1608"/>
      <c r="AH7" s="1608"/>
      <c r="AI7" s="1608"/>
      <c r="AJ7" s="1609"/>
    </row>
    <row r="8" spans="1:36" ht="25.5">
      <c r="A8" s="3338"/>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31" t="s">
        <v>2831</v>
      </c>
      <c r="X8" s="3332"/>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38"/>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4020</v>
      </c>
      <c r="N9" s="1083">
        <f>SUMPRODUCT((因素修正幅度!B245:B289=I2)*(因素修正幅度!C3:F3=E2)*(因素修正幅度!C245:F289))</f>
        <v>0.15</v>
      </c>
      <c r="O9" s="1370"/>
      <c r="P9" s="1370"/>
      <c r="Q9" s="1370"/>
      <c r="R9" s="1602">
        <v>8</v>
      </c>
      <c r="S9" s="1603"/>
      <c r="T9" s="1602">
        <f t="shared" ca="1" si="0"/>
        <v>0</v>
      </c>
      <c r="U9" s="1603"/>
      <c r="V9" s="1602">
        <f t="shared" ca="1" si="1"/>
        <v>0</v>
      </c>
      <c r="W9" s="3333"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8"/>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8"/>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33"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8"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33"/>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9"/>
      <c r="B13" s="2761" t="s">
        <v>2862</v>
      </c>
      <c r="C13" s="2762" t="s">
        <v>2863</v>
      </c>
      <c r="D13" s="2969" t="s">
        <v>2864</v>
      </c>
      <c r="E13" s="2969"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33"/>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39"/>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0"/>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8" t="s">
        <v>2874</v>
      </c>
      <c r="B16" s="2742" t="s">
        <v>2875</v>
      </c>
      <c r="C16" s="2970">
        <f>ROUND(IF(F17="与级别开发程度一致",0,(G17-E17)/C17),0)</f>
        <v>20</v>
      </c>
      <c r="D16" s="3329" t="s">
        <v>2879</v>
      </c>
      <c r="E16" s="3330"/>
      <c r="F16" s="3329" t="s">
        <v>2876</v>
      </c>
      <c r="G16" s="3330"/>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19"/>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0.66590000000000005</v>
      </c>
      <c r="D20" s="2795" t="s">
        <v>2888</v>
      </c>
      <c r="E20" s="1768">
        <f ca="1">存贷款利率!D4/100</f>
        <v>4.3499999999999997E-2</v>
      </c>
      <c r="F20" s="2795" t="s">
        <v>2880</v>
      </c>
      <c r="G20" s="934">
        <f ca="1">SUMIF(M26:P26,E2,M28:P28)</f>
        <v>5.1999999999999998E-2</v>
      </c>
      <c r="H20" s="2795" t="s">
        <v>2889</v>
      </c>
      <c r="I20" s="2980">
        <f>SUMIF('数据-取费表'!C6:C15,E2,'数据-取费表'!F6:F15)/COUNTIF('数据-取费表'!C6:C15,E2)</f>
        <v>18.73</v>
      </c>
      <c r="J20" s="936">
        <f>IF(E2="住宅",70,IF(E2="商业",40,50))</f>
        <v>50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3092</v>
      </c>
      <c r="C21" s="2976">
        <f>IF(B21="容积率修正",IF(G3&lt;=10,D22,J22),C23)</f>
        <v>5.16</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75" t="s">
        <v>2897</v>
      </c>
      <c r="D22" s="2975">
        <f>IF(E22=G22,F22,IF(G3&lt;=10,ROUND(F22+(H22-F22)*(G3-E22)/(G22-E22),4),"——"))</f>
        <v>5.16</v>
      </c>
      <c r="E22" s="916">
        <f>ROUNDDOWN(G3,1)</f>
        <v>0.2</v>
      </c>
      <c r="F22" s="29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6.1920000000000002</v>
      </c>
      <c r="G22" s="916">
        <f>ROUNDUP(G3,1)</f>
        <v>0.30000000000000004</v>
      </c>
      <c r="H22" s="29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2975"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1.0164</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19235</v>
      </c>
      <c r="D29" s="2834"/>
      <c r="E29" s="2979">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4809</v>
      </c>
      <c r="D30" s="2840"/>
      <c r="E30" s="2979">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26" t="s">
        <v>2920</v>
      </c>
      <c r="B33" s="2850" t="s">
        <v>2921</v>
      </c>
      <c r="C33" s="206">
        <f ca="1">ROUND(D5*C19*C20*C24*F33,0)</f>
        <v>2237</v>
      </c>
      <c r="D33" s="2834"/>
      <c r="E33" s="200">
        <f ca="1">ROUND(C33*D33/10000,0)</f>
        <v>0</v>
      </c>
      <c r="F33" s="200">
        <f>SUMIF(修正!A45:A56,G2,修正!B45:B56)</f>
        <v>0.6</v>
      </c>
      <c r="G33" s="200">
        <f t="shared" ref="G33" ca="1" si="6">ROUND(IF(E2="工业",C33*$M$39,C33*$M$38),0)</f>
        <v>559</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7"/>
      <c r="B34" s="2762" t="s">
        <v>2922</v>
      </c>
      <c r="C34" s="206">
        <f ca="1">ROUND(D5*C19*C20*C24*F34,0)</f>
        <v>1118</v>
      </c>
      <c r="D34" s="2834"/>
      <c r="E34" s="200">
        <f t="shared" ref="E34:E39" ca="1" si="7">ROUND(C34*D34/10000,0)</f>
        <v>0</v>
      </c>
      <c r="F34" s="200">
        <f>SUMIF(修正!A45:A56,G2,修正!C45:C56)</f>
        <v>0.3</v>
      </c>
      <c r="G34" s="200">
        <f ca="1">ROUND(IF(E2="工业",C34*$M$39,C34*$M$38),0)</f>
        <v>280</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7"/>
      <c r="B35" s="2762" t="s">
        <v>2923</v>
      </c>
      <c r="C35" s="206">
        <f ca="1">ROUND(D5*C19*C20*C24*F35,0)</f>
        <v>746</v>
      </c>
      <c r="D35" s="2834"/>
      <c r="E35" s="200">
        <f t="shared" ca="1" si="7"/>
        <v>0</v>
      </c>
      <c r="F35" s="200">
        <f>SUMIF(修正!A45:A56,G2,修正!D45:D56)</f>
        <v>0.2</v>
      </c>
      <c r="G35" s="200">
        <f ca="1">ROUND(IF(E2="工业",C35*$M$39,C35*$M$38),0)</f>
        <v>187</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28"/>
      <c r="B36" s="2762" t="s">
        <v>2924</v>
      </c>
      <c r="C36" s="206">
        <f ca="1">ROUND(D5*C19*C20*C24*F36,0)</f>
        <v>746</v>
      </c>
      <c r="D36" s="2834"/>
      <c r="E36" s="200">
        <f t="shared" ca="1" si="7"/>
        <v>0</v>
      </c>
      <c r="F36" s="200">
        <f>SUMIF(修正!A45:A56,G2,修正!E45:E56)</f>
        <v>0.2</v>
      </c>
      <c r="G36" s="200">
        <f ca="1">ROUND(IF(E2="工业",C36*$M$39,C36*$M$38),0)</f>
        <v>187</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746</v>
      </c>
      <c r="D37" s="2834"/>
      <c r="E37" s="200">
        <f t="shared" ca="1" si="7"/>
        <v>0</v>
      </c>
      <c r="F37" s="206">
        <f>SUMIF(修正!A45:A56,G2,修正!F45:F56)</f>
        <v>0.2</v>
      </c>
      <c r="G37" s="200">
        <f ca="1">ROUND(IF(E2="工业",C37*$M$39,C37*$M$38),0)</f>
        <v>187</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5.1999999999999998E-2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68" t="s">
        <v>2933</v>
      </c>
      <c r="C47" s="2968" t="s">
        <v>2934</v>
      </c>
      <c r="D47" s="2968" t="s">
        <v>2935</v>
      </c>
      <c r="E47" s="819" t="s">
        <v>2936</v>
      </c>
      <c r="F47" s="2868" t="s">
        <v>2937</v>
      </c>
      <c r="G47" s="2968" t="s">
        <v>754</v>
      </c>
      <c r="H47" s="2869" t="s">
        <v>2938</v>
      </c>
      <c r="I47" s="2968"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2943</v>
      </c>
      <c r="B51" s="2872" t="s">
        <v>2944</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2946</v>
      </c>
      <c r="B53" s="2873" t="s">
        <v>2947</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2951</v>
      </c>
      <c r="B57" s="2864">
        <f>1+E59</f>
        <v>1.0164</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68"/>
      <c r="C58" s="2968" t="s">
        <v>2934</v>
      </c>
      <c r="D58" s="2968" t="s">
        <v>2935</v>
      </c>
      <c r="E58" s="819" t="s">
        <v>2936</v>
      </c>
      <c r="F58" s="2868" t="s">
        <v>2952</v>
      </c>
      <c r="G58" s="2968" t="s">
        <v>754</v>
      </c>
      <c r="H58" s="2869" t="s">
        <v>2938</v>
      </c>
      <c r="I58" s="2968"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t="s">
        <v>3120</v>
      </c>
      <c r="D59" s="1286">
        <f t="shared" ref="D59:D67" si="15">SUMIF($J$58:$N$58,C59,J59:N59)</f>
        <v>0</v>
      </c>
      <c r="E59" s="821">
        <f>ROUND(SUM(D59:D67),4)</f>
        <v>1.6400000000000001E-2</v>
      </c>
      <c r="F59" s="2498">
        <f>IF(E2="办公",SUMIF(L1:L12,G2,N1:N12),"——")</f>
        <v>0.15</v>
      </c>
      <c r="G59" s="1284">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t="s">
        <v>3120</v>
      </c>
      <c r="D60" s="1286">
        <f t="shared" si="15"/>
        <v>0</v>
      </c>
      <c r="E60" s="822"/>
      <c r="F60" s="2498"/>
      <c r="G60" s="1284">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t="s">
        <v>3120</v>
      </c>
      <c r="D61" s="1286">
        <f t="shared" si="15"/>
        <v>0</v>
      </c>
      <c r="E61" s="822"/>
      <c r="F61" s="2498"/>
      <c r="G61" s="1284">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67" t="s">
        <v>2943</v>
      </c>
      <c r="B62" s="2872" t="s">
        <v>2944</v>
      </c>
      <c r="C62" s="2767" t="s">
        <v>3120</v>
      </c>
      <c r="D62" s="1286">
        <f t="shared" si="15"/>
        <v>0</v>
      </c>
      <c r="E62" s="822"/>
      <c r="F62" s="2498"/>
      <c r="G62" s="1284">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t="s">
        <v>3120</v>
      </c>
      <c r="D63" s="1286">
        <f t="shared" si="15"/>
        <v>0</v>
      </c>
      <c r="E63" s="822"/>
      <c r="F63" s="2498"/>
      <c r="G63" s="1284">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67" t="s">
        <v>2946</v>
      </c>
      <c r="B64" s="2873" t="s">
        <v>2947</v>
      </c>
      <c r="C64" s="2767" t="s">
        <v>3175</v>
      </c>
      <c r="D64" s="1286">
        <f t="shared" si="15"/>
        <v>7.4000000000000003E-3</v>
      </c>
      <c r="E64" s="822"/>
      <c r="F64" s="2498"/>
      <c r="G64" s="1284">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t="s">
        <v>3120</v>
      </c>
      <c r="D65" s="1286">
        <f t="shared" si="15"/>
        <v>0</v>
      </c>
      <c r="E65" s="822"/>
      <c r="F65" s="2498"/>
      <c r="G65" s="1284">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t="s">
        <v>3121</v>
      </c>
      <c r="D66" s="1286">
        <f t="shared" si="15"/>
        <v>8.9999999999999993E-3</v>
      </c>
      <c r="E66" s="822"/>
      <c r="F66" s="2498"/>
      <c r="G66" s="1284">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t="s">
        <v>3120</v>
      </c>
      <c r="D67" s="1286">
        <f t="shared" si="15"/>
        <v>0</v>
      </c>
      <c r="E67" s="825"/>
      <c r="F67" s="2498"/>
      <c r="G67" s="1284">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68"/>
      <c r="C69" s="2968" t="s">
        <v>2934</v>
      </c>
      <c r="D69" s="2968" t="s">
        <v>2935</v>
      </c>
      <c r="E69" s="819" t="s">
        <v>2936</v>
      </c>
      <c r="F69" s="2868" t="s">
        <v>2952</v>
      </c>
      <c r="G69" s="2968" t="s">
        <v>754</v>
      </c>
      <c r="H69" s="2869" t="s">
        <v>2938</v>
      </c>
      <c r="I69" s="2968"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68"/>
      <c r="C80" s="2968" t="s">
        <v>2934</v>
      </c>
      <c r="D80" s="2968" t="s">
        <v>2935</v>
      </c>
      <c r="E80" s="819" t="s">
        <v>2936</v>
      </c>
      <c r="F80" s="2868" t="s">
        <v>2952</v>
      </c>
      <c r="G80" s="2968" t="s">
        <v>754</v>
      </c>
      <c r="H80" s="2869" t="s">
        <v>2938</v>
      </c>
      <c r="I80" s="2968"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0" t="s">
        <v>2962</v>
      </c>
      <c r="B90" s="3320"/>
      <c r="C90" s="3320"/>
      <c r="D90" s="3320"/>
      <c r="E90" s="3320"/>
      <c r="F90" s="3320"/>
      <c r="G90" s="3320"/>
      <c r="H90" s="3320"/>
      <c r="I90" s="3320"/>
      <c r="J90" s="3320"/>
      <c r="K90" s="2977"/>
      <c r="L90" s="2977"/>
      <c r="M90" s="2977"/>
      <c r="N90" s="2977"/>
    </row>
    <row r="91" spans="1:37">
      <c r="A91" s="3322" t="s">
        <v>2963</v>
      </c>
      <c r="B91" s="3322" t="s">
        <v>2964</v>
      </c>
      <c r="C91" s="2835" t="s">
        <v>2965</v>
      </c>
      <c r="D91" s="2836"/>
      <c r="E91" s="2836"/>
      <c r="F91" s="2836"/>
      <c r="G91" s="2836"/>
      <c r="H91" s="2836"/>
      <c r="I91" s="2836"/>
      <c r="J91" s="2882"/>
      <c r="K91" s="2883"/>
      <c r="L91" s="2883"/>
      <c r="M91" s="2883"/>
      <c r="N91" s="2883"/>
    </row>
    <row r="92" spans="1:37">
      <c r="A92" s="3322"/>
      <c r="B92" s="3322"/>
      <c r="C92" s="2979" t="s">
        <v>2832</v>
      </c>
      <c r="D92" s="2979" t="s">
        <v>2833</v>
      </c>
      <c r="E92" s="2979" t="s">
        <v>2834</v>
      </c>
      <c r="F92" s="2979" t="s">
        <v>2835</v>
      </c>
      <c r="G92" s="2979" t="s">
        <v>2836</v>
      </c>
      <c r="H92" s="2979" t="s">
        <v>2837</v>
      </c>
      <c r="I92" s="2979" t="s">
        <v>2838</v>
      </c>
      <c r="J92" s="2979" t="s">
        <v>2839</v>
      </c>
      <c r="K92" s="2979" t="s">
        <v>2840</v>
      </c>
      <c r="L92" s="2979" t="s">
        <v>2841</v>
      </c>
      <c r="M92" s="2979" t="s">
        <v>2842</v>
      </c>
      <c r="N92" s="2979" t="s">
        <v>2843</v>
      </c>
    </row>
    <row r="93" spans="1:37">
      <c r="A93" s="3323"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4"/>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25"/>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23"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4"/>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4"/>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4"/>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4"/>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4"/>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4"/>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4"/>
      <c r="B108" s="3139" t="s">
        <v>2861</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25"/>
      <c r="B109" s="3140"/>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21" t="s">
        <v>2970</v>
      </c>
      <c r="B110" s="3321"/>
      <c r="C110" s="3321"/>
      <c r="D110" s="3321"/>
      <c r="E110" s="3321"/>
      <c r="F110" s="3321"/>
      <c r="G110" s="3321"/>
      <c r="H110" s="3321"/>
      <c r="I110" s="3321"/>
      <c r="J110" s="3321"/>
      <c r="K110" s="2978"/>
      <c r="L110" s="2978"/>
      <c r="M110" s="2978"/>
      <c r="N110" s="2978"/>
    </row>
    <row r="112" spans="1:14" ht="13.5" thickBot="1"/>
    <row r="113" spans="1:13" ht="25.5" thickBot="1">
      <c r="A113" s="903" t="s">
        <v>2971</v>
      </c>
      <c r="B113" s="1287">
        <f>G3</f>
        <v>0.25</v>
      </c>
      <c r="C113" s="904" t="s">
        <v>2972</v>
      </c>
      <c r="D113" s="905">
        <f>SUMPRODUCT((A115:A118=F113)*(B114:M114=H113)*B115:M118)</f>
        <v>0.76590000000000003</v>
      </c>
      <c r="E113" s="2721" t="s">
        <v>2805</v>
      </c>
      <c r="F113" s="2892" t="str">
        <f>E2</f>
        <v>办公</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2993</v>
      </c>
    </row>
    <row r="2" spans="1:5" ht="15.75">
      <c r="A2" s="2899" t="s">
        <v>2985</v>
      </c>
      <c r="B2" s="2900">
        <f ca="1">SUMIF(B6:B13,"&lt;&gt;#ref!",B6:B13)</f>
        <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#REF!</v>
      </c>
      <c r="C6" s="2899" t="s">
        <v>2986</v>
      </c>
      <c r="D6" s="2901"/>
      <c r="E6" s="2572" t="e">
        <f ca="1">SUMIF(INDIRECT("'"&amp;A6&amp;"'"&amp;"!C:C"),"建筑面积",INDIRECT("'"&amp;A6&amp;"'"&amp;"!D:D"))</f>
        <v>#REF!</v>
      </c>
    </row>
    <row r="7" spans="1:5" ht="15.75">
      <c r="A7" s="2904"/>
      <c r="B7" s="2900" t="e">
        <f ca="1">SUMIF(INDIRECT("'"&amp;A7&amp;"'"&amp;"!A:A"),"总价",INDIRECT("'"&amp;A7&amp;"'"&amp;"!B:B"))</f>
        <v>#REF!</v>
      </c>
      <c r="C7" s="2899" t="s">
        <v>2986</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72" t="e">
        <f t="shared" ca="1" si="0"/>
        <v>#REF!</v>
      </c>
    </row>
    <row r="9" spans="1:5" ht="15.75">
      <c r="A9" s="2904"/>
      <c r="B9" s="2900" t="e">
        <f t="shared" ca="1" si="1"/>
        <v>#REF!</v>
      </c>
      <c r="C9" s="2899" t="s">
        <v>2986</v>
      </c>
      <c r="D9" s="2901"/>
      <c r="E9" s="2572" t="e">
        <f t="shared" ca="1" si="0"/>
        <v>#REF!</v>
      </c>
    </row>
    <row r="10" spans="1:5" ht="15.75">
      <c r="A10" s="2904"/>
      <c r="B10" s="2900" t="e">
        <f t="shared" ca="1" si="1"/>
        <v>#REF!</v>
      </c>
      <c r="C10" s="2899" t="s">
        <v>2986</v>
      </c>
      <c r="D10" s="2901"/>
      <c r="E10" s="2572" t="e">
        <f t="shared" ca="1" si="0"/>
        <v>#REF!</v>
      </c>
    </row>
    <row r="11" spans="1:5" ht="15.75">
      <c r="A11" s="2904"/>
      <c r="B11" s="2900" t="e">
        <f t="shared" ca="1" si="1"/>
        <v>#REF!</v>
      </c>
      <c r="C11" s="2899" t="s">
        <v>2986</v>
      </c>
      <c r="D11" s="2901"/>
      <c r="E11" s="2572" t="e">
        <f t="shared" ca="1" si="0"/>
        <v>#REF!</v>
      </c>
    </row>
    <row r="12" spans="1:5" ht="15.75">
      <c r="A12" s="2904"/>
      <c r="B12" s="2900" t="e">
        <f t="shared" ca="1" si="1"/>
        <v>#REF!</v>
      </c>
      <c r="C12" s="2899" t="s">
        <v>2986</v>
      </c>
      <c r="D12" s="2901"/>
      <c r="E12" s="2572" t="e">
        <f t="shared" ca="1" si="0"/>
        <v>#REF!</v>
      </c>
    </row>
    <row r="13" spans="1:5" ht="15.75">
      <c r="A13" s="2904"/>
      <c r="B13" s="2900" t="e">
        <f t="shared" ca="1" si="1"/>
        <v>#REF!</v>
      </c>
      <c r="C13" s="2899" t="s">
        <v>2986</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A6" sqref="AA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7" t="s">
        <v>1142</v>
      </c>
      <c r="C1" s="3347"/>
      <c r="D1" s="3347"/>
      <c r="E1" s="3347"/>
      <c r="F1" s="3347"/>
      <c r="G1" s="3343" t="s">
        <v>1143</v>
      </c>
      <c r="H1" s="3343"/>
      <c r="I1" s="3343"/>
      <c r="J1" s="3343"/>
      <c r="K1" s="3343"/>
      <c r="L1" s="3343"/>
      <c r="N1" s="3343" t="s">
        <v>1144</v>
      </c>
      <c r="O1" s="3343"/>
      <c r="P1" s="3343"/>
      <c r="Q1" s="3343"/>
      <c r="R1" s="1446"/>
      <c r="S1" s="3343" t="s">
        <v>1145</v>
      </c>
      <c r="T1" s="3343"/>
      <c r="U1" s="3343"/>
      <c r="V1" s="3343"/>
      <c r="X1" s="3342" t="s">
        <v>1146</v>
      </c>
      <c r="Y1" s="3343"/>
      <c r="Z1" s="3343"/>
      <c r="AA1" s="3343"/>
      <c r="AB1" s="3343"/>
      <c r="AD1" s="3342" t="s">
        <v>1147</v>
      </c>
      <c r="AE1" s="3343"/>
      <c r="AF1" s="3343"/>
      <c r="AG1" s="3343"/>
      <c r="AH1" s="3343"/>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3026</v>
      </c>
      <c r="B3" s="2916"/>
      <c r="C3" s="2916"/>
      <c r="D3" s="2917"/>
      <c r="E3" s="2917"/>
      <c r="F3" s="2916"/>
      <c r="G3" s="2918"/>
      <c r="H3" s="2919"/>
      <c r="I3" s="2920">
        <f>ROUND(AVERAGE($I4:$I30),2)</f>
        <v>1.85</v>
      </c>
      <c r="J3" s="2920">
        <f>ROUND(AVERAGE($J4:$J30),2)</f>
        <v>1.29</v>
      </c>
      <c r="K3" s="2920">
        <f>ROUND(AVERAGE($K4:$K30),2)</f>
        <v>2.02</v>
      </c>
      <c r="L3" s="2920">
        <f>ROUND(AVERAGE($L4:$L30),2)</f>
        <v>1.29</v>
      </c>
      <c r="N3" s="2918"/>
      <c r="O3" s="2921"/>
      <c r="P3" s="2921"/>
      <c r="Q3" s="2921"/>
      <c r="R3" s="2921"/>
      <c r="S3" s="2918"/>
      <c r="T3" s="2921"/>
      <c r="U3" s="2921"/>
      <c r="V3" s="2921"/>
      <c r="W3" s="2913"/>
      <c r="X3" s="2922">
        <f>ROUND(SUMPRODUCT(PRODUCT(1+N3:N$29)),4)</f>
        <v>1.5586</v>
      </c>
      <c r="Y3" s="2922">
        <f>ROUND(SUMPRODUCT(PRODUCT(1+O3:O$29)),4)</f>
        <v>1.3633</v>
      </c>
      <c r="Z3" s="2922">
        <f t="shared" ref="Z3:Z27" si="0">Y3</f>
        <v>1.3633</v>
      </c>
      <c r="AA3" s="2922">
        <f>ROUND(SUMPRODUCT(PRODUCT(1+P3:P$29)),4)</f>
        <v>1.6221000000000001</v>
      </c>
      <c r="AB3" s="2922">
        <f>ROUND(SUMPRODUCT(PRODUCT(1+Q3:Q$29)),4)</f>
        <v>1.3777999999999999</v>
      </c>
      <c r="AD3" s="2923">
        <f>ROUND(AVERAGE(I3:I$30)/100,4)</f>
        <v>1.8499999999999999E-2</v>
      </c>
      <c r="AE3" s="2923">
        <f>ROUND(AVERAGE(J3:J$30)/100,4)</f>
        <v>1.29E-2</v>
      </c>
      <c r="AF3" s="2923">
        <f t="shared" ref="AF3:AF28" si="1">AE3</f>
        <v>1.29E-2</v>
      </c>
      <c r="AG3" s="2923">
        <f>ROUND(AVERAGE(K3:K$30)/100,4)</f>
        <v>2.0199999999999999E-2</v>
      </c>
      <c r="AH3" s="2923">
        <f>ROUND(AVERAGE(L3:L$30)/100,4)</f>
        <v>1.29E-2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3090</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0">
        <v>2020</v>
      </c>
      <c r="H5" s="1730">
        <v>2</v>
      </c>
      <c r="I5" s="2911">
        <v>0</v>
      </c>
      <c r="J5" s="2911">
        <v>0</v>
      </c>
      <c r="K5" s="2911">
        <v>0</v>
      </c>
      <c r="L5" s="2911">
        <v>0</v>
      </c>
      <c r="N5" s="1467">
        <f t="shared" ref="N5" si="7">I5/100</f>
        <v>0</v>
      </c>
      <c r="O5" s="1467">
        <f t="shared" ref="O5" si="8">J5/100</f>
        <v>0</v>
      </c>
      <c r="P5" s="1467">
        <f t="shared" ref="P5" si="9">K5/100</f>
        <v>0</v>
      </c>
      <c r="Q5" s="1467">
        <f t="shared" ref="Q5" si="10">L5/100</f>
        <v>0</v>
      </c>
      <c r="R5" s="1732"/>
      <c r="S5" s="1733"/>
      <c r="T5" s="1732"/>
      <c r="U5" s="1732"/>
      <c r="V5" s="1732"/>
      <c r="W5" s="2914" t="s">
        <v>3027</v>
      </c>
      <c r="X5" s="1726">
        <f>ROUND(IF(项目基本情况!B8="出让",SUMPRODUCT(PRODUCT(1+N5:N$30)),SUMPRODUCT(PRODUCT(1+N5:N$29))),4)</f>
        <v>1.5586</v>
      </c>
      <c r="Y5" s="1726">
        <f>ROUND(IF(项目基本情况!B8="出让",SUMPRODUCT(PRODUCT(1+O5:O$30)),SUMPRODUCT(PRODUCT(1+O5:O$29))),4)</f>
        <v>1.3633</v>
      </c>
      <c r="Z5" s="1726">
        <f t="shared" ref="Z5" si="11">Y5</f>
        <v>1.3633</v>
      </c>
      <c r="AA5" s="1726">
        <f>ROUND(IF(项目基本情况!B8="出让",SUMPRODUCT(PRODUCT(1+P5:P$30)),SUMPRODUCT(PRODUCT(1+P5:P$29))),4)</f>
        <v>1.6221000000000001</v>
      </c>
      <c r="AB5" s="1726">
        <f>ROUND(IF(项目基本情况!B8="出让",SUMPRODUCT(PRODUCT(1+Q5:Q$30)),SUMPRODUCT(PRODUCT(1+Q5:Q$29))),4)</f>
        <v>1.3777999999999999</v>
      </c>
      <c r="AD5" s="1468">
        <f>ROUND(AVERAGE(I5:I$30)/100,4)</f>
        <v>1.8499999999999999E-2</v>
      </c>
      <c r="AE5" s="1468">
        <f>ROUND(AVERAGE(J5:J$30)/100,4)</f>
        <v>1.29E-2</v>
      </c>
      <c r="AF5" s="1468">
        <f t="shared" ref="AF5" si="12">AE5</f>
        <v>1.29E-2</v>
      </c>
      <c r="AG5" s="1468">
        <f>ROUND(AVERAGE(K5:K$30)/100,4)</f>
        <v>2.0199999999999999E-2</v>
      </c>
      <c r="AH5" s="1468">
        <f>ROUND(AVERAGE(L5:L$30)/100,4)</f>
        <v>1.29E-2</v>
      </c>
    </row>
    <row r="6" spans="1:34" s="1466" customFormat="1">
      <c r="A6" s="1461" t="s">
        <v>3089</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0">
        <v>2020</v>
      </c>
      <c r="H6" s="1464">
        <v>1</v>
      </c>
      <c r="I6" s="1464">
        <v>0</v>
      </c>
      <c r="J6" s="1464">
        <v>0</v>
      </c>
      <c r="K6" s="1464">
        <v>0</v>
      </c>
      <c r="L6" s="1478">
        <v>0</v>
      </c>
      <c r="M6" s="1471"/>
      <c r="N6" s="1472">
        <f t="shared" ref="N6"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ROUND(IF(项目基本情况!B8="出让",SUMPRODUCT(PRODUCT(1+N6:N$30)),SUMPRODUCT(PRODUCT(1+N6:N$29))),4)</f>
        <v>1.5586</v>
      </c>
      <c r="Y6" s="1788">
        <f>ROUND(IF(项目基本情况!B8="出让",SUMPRODUCT(PRODUCT(1+O6:O$30)),SUMPRODUCT(PRODUCT(1+O6:O$29))),4)</f>
        <v>1.3633</v>
      </c>
      <c r="Z6" s="1788">
        <f t="shared" ref="Z6" si="25">Y6</f>
        <v>1.3633</v>
      </c>
      <c r="AA6" s="1788">
        <f>ROUND(IF(项目基本情况!B8="出让",SUMPRODUCT(PRODUCT(1+P6:P$30)),SUMPRODUCT(PRODUCT(1+P6:P$29))),4)</f>
        <v>1.6221000000000001</v>
      </c>
      <c r="AB6" s="1788">
        <f>ROUND(IF(项目基本情况!B8="出让",SUMPRODUCT(PRODUCT(1+Q6:Q$30)),SUMPRODUCT(PRODUCT(1+Q6:Q$29))),4)</f>
        <v>1.3777999999999999</v>
      </c>
      <c r="AC6" s="1790"/>
      <c r="AD6" s="1789">
        <f>ROUND(AVERAGE(I6:I$30)/100,4)</f>
        <v>1.9199999999999998E-2</v>
      </c>
      <c r="AE6" s="1789">
        <f>ROUND(AVERAGE(J6:J$30)/100,4)</f>
        <v>1.34E-2</v>
      </c>
      <c r="AF6" s="1789">
        <f t="shared" ref="AF6" si="26">AE6</f>
        <v>1.34E-2</v>
      </c>
      <c r="AG6" s="1789">
        <f>ROUND(AVERAGE(K6:K$30)/100,4)</f>
        <v>2.1000000000000001E-2</v>
      </c>
      <c r="AH6" s="1789">
        <f>ROUND(AVERAGE(L6:L$30)/100,4)</f>
        <v>1.35E-2</v>
      </c>
    </row>
    <row r="7" spans="1:34" s="1466" customFormat="1">
      <c r="A7" s="1461" t="s">
        <v>3044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9">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8">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3038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4">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3036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8">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3039</v>
      </c>
      <c r="B11" s="2945">
        <f t="shared" ref="B11" si="71">B12*(1+N11)</f>
        <v>464.37293017158942</v>
      </c>
      <c r="C11" s="2945">
        <f t="shared" ref="C11" si="72">C12*(1+O11)</f>
        <v>344.73679941385956</v>
      </c>
      <c r="D11" s="2945">
        <f t="shared" ref="D11" si="73">C11</f>
        <v>344.73679941385956</v>
      </c>
      <c r="E11" s="2945">
        <f t="shared" ref="E11" si="74">E12*(1+P11)</f>
        <v>663.2377795103107</v>
      </c>
      <c r="F11" s="2946">
        <f t="shared" ref="F11" si="75">F12*(1+Q11)</f>
        <v>304.75936311478398</v>
      </c>
      <c r="G11" s="3345">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3033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45"/>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3032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45"/>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3025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52"/>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3022</v>
      </c>
      <c r="B15" s="1469">
        <v>439</v>
      </c>
      <c r="C15" s="1469">
        <v>327</v>
      </c>
      <c r="D15" s="1469">
        <f>C15</f>
        <v>327</v>
      </c>
      <c r="E15" s="1469">
        <v>627</v>
      </c>
      <c r="F15" s="1470">
        <v>283</v>
      </c>
      <c r="G15" s="3348">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45"/>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1377</v>
      </c>
      <c r="B17" s="1477">
        <f t="shared" si="119"/>
        <v>419.31181600000002</v>
      </c>
      <c r="C17" s="1477">
        <f t="shared" si="120"/>
        <v>313.95436800000004</v>
      </c>
      <c r="D17" s="1477">
        <f t="shared" si="121"/>
        <v>313.95436800000004</v>
      </c>
      <c r="E17" s="1477">
        <f t="shared" si="122"/>
        <v>596.63028431999999</v>
      </c>
      <c r="F17" s="1477">
        <f t="shared" si="123"/>
        <v>274.74220703999998</v>
      </c>
      <c r="G17" s="3345"/>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1153</v>
      </c>
      <c r="B18" s="1477">
        <f>B19*(1+N18)</f>
        <v>405.524</v>
      </c>
      <c r="C18" s="1477">
        <f>C19*(1+O18)</f>
        <v>307.79840000000002</v>
      </c>
      <c r="D18" s="1477">
        <f>C18</f>
        <v>307.79840000000002</v>
      </c>
      <c r="E18" s="1477">
        <f>E19*(1+P18)</f>
        <v>574.67759999999998</v>
      </c>
      <c r="F18" s="1477">
        <f>F19*(1+Q18)</f>
        <v>270.20280000000002</v>
      </c>
      <c r="G18" s="3352"/>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348">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45"/>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45"/>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46"/>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44">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45"/>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45"/>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46"/>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44">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45"/>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45"/>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46"/>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1154</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1155</v>
      </c>
      <c r="B31" s="1469">
        <v>299</v>
      </c>
      <c r="C31" s="1469">
        <v>252</v>
      </c>
      <c r="D31" s="1469">
        <f t="shared" si="133"/>
        <v>252</v>
      </c>
      <c r="E31" s="1469">
        <v>409</v>
      </c>
      <c r="F31" s="1470">
        <v>227</v>
      </c>
      <c r="G31" s="3349">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1156</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50"/>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1157</v>
      </c>
      <c r="B33" s="1477">
        <f t="shared" si="142"/>
        <v>288.2649053828776</v>
      </c>
      <c r="C33" s="1477">
        <f t="shared" si="142"/>
        <v>243.64564425013293</v>
      </c>
      <c r="D33" s="1477">
        <f t="shared" si="133"/>
        <v>243.64564425013293</v>
      </c>
      <c r="E33" s="1477">
        <f t="shared" si="143"/>
        <v>393.31080825986544</v>
      </c>
      <c r="F33" s="1477">
        <f t="shared" si="143"/>
        <v>223.07903790551154</v>
      </c>
      <c r="G33" s="3350"/>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1158</v>
      </c>
      <c r="B34" s="1477">
        <f t="shared" si="142"/>
        <v>282.50186729015837</v>
      </c>
      <c r="C34" s="1477">
        <f t="shared" si="142"/>
        <v>238.09796174155468</v>
      </c>
      <c r="D34" s="1477">
        <f t="shared" si="133"/>
        <v>238.09796174155468</v>
      </c>
      <c r="E34" s="1477">
        <f t="shared" si="143"/>
        <v>385.33438646014054</v>
      </c>
      <c r="F34" s="1477">
        <f t="shared" si="143"/>
        <v>221.55034055567739</v>
      </c>
      <c r="G34" s="3351"/>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1159</v>
      </c>
      <c r="B35" s="1511">
        <v>278</v>
      </c>
      <c r="C35" s="1511">
        <v>234</v>
      </c>
      <c r="D35" s="1511">
        <f t="shared" si="133"/>
        <v>234</v>
      </c>
      <c r="E35" s="1511">
        <v>379</v>
      </c>
      <c r="F35" s="1512">
        <v>220</v>
      </c>
      <c r="G35" s="3344">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1160</v>
      </c>
      <c r="B36" s="1477">
        <f>B35/(1+N35)</f>
        <v>275.49301357645425</v>
      </c>
      <c r="C36" s="1477">
        <f>C35/(1+O35)</f>
        <v>232.41954707985698</v>
      </c>
      <c r="D36" s="1477">
        <f t="shared" si="133"/>
        <v>232.41954707985698</v>
      </c>
      <c r="E36" s="1477">
        <f t="shared" ref="E36:F38" si="144">E35/(1+P35)</f>
        <v>375.32184591008121</v>
      </c>
      <c r="F36" s="1477">
        <f t="shared" si="144"/>
        <v>218.03766105054513</v>
      </c>
      <c r="G36" s="3345"/>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1161</v>
      </c>
      <c r="B37" s="1477">
        <f>B36/(1+N36)</f>
        <v>275.24529281292263</v>
      </c>
      <c r="C37" s="1477">
        <f>C36/(1+O36)</f>
        <v>231.74747938962707</v>
      </c>
      <c r="D37" s="1477">
        <f t="shared" si="133"/>
        <v>231.74747938962707</v>
      </c>
      <c r="E37" s="1477">
        <f t="shared" si="144"/>
        <v>375.35938184826603</v>
      </c>
      <c r="F37" s="1477">
        <f t="shared" si="144"/>
        <v>216.78033510692495</v>
      </c>
      <c r="G37" s="3345"/>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1162</v>
      </c>
      <c r="B38" s="1477">
        <f>B37/(1+N37)</f>
        <v>275.19025476197027</v>
      </c>
      <c r="C38" s="1513">
        <v>232</v>
      </c>
      <c r="D38" s="1513">
        <f t="shared" si="133"/>
        <v>232</v>
      </c>
      <c r="E38" s="1477">
        <f t="shared" si="144"/>
        <v>375.65990977608692</v>
      </c>
      <c r="F38" s="1477">
        <f t="shared" si="144"/>
        <v>214.12518283971252</v>
      </c>
      <c r="G38" s="3346"/>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1163</v>
      </c>
      <c r="B39" s="1469">
        <v>275</v>
      </c>
      <c r="C39" s="1469">
        <v>232</v>
      </c>
      <c r="D39" s="1469">
        <f t="shared" si="133"/>
        <v>232</v>
      </c>
      <c r="E39" s="1469">
        <v>376</v>
      </c>
      <c r="F39" s="1470">
        <v>213</v>
      </c>
      <c r="G39" s="3344">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1164</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45">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1165</v>
      </c>
      <c r="B41" s="1477">
        <f t="shared" si="145"/>
        <v>275.19335084830601</v>
      </c>
      <c r="C41" s="1477">
        <f t="shared" si="145"/>
        <v>230.18088050139744</v>
      </c>
      <c r="D41" s="1477">
        <f t="shared" si="133"/>
        <v>230.18088050139744</v>
      </c>
      <c r="E41" s="1477">
        <f t="shared" si="146"/>
        <v>377.58482925212331</v>
      </c>
      <c r="F41" s="1477">
        <f t="shared" si="146"/>
        <v>210.90687997847917</v>
      </c>
      <c r="G41" s="3345">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1166</v>
      </c>
      <c r="B42" s="1477">
        <f t="shared" si="145"/>
        <v>276.29854502841971</v>
      </c>
      <c r="C42" s="1477">
        <f t="shared" si="145"/>
        <v>229.79023709833027</v>
      </c>
      <c r="D42" s="1477">
        <f t="shared" si="133"/>
        <v>229.79023709833027</v>
      </c>
      <c r="E42" s="1477">
        <f t="shared" si="146"/>
        <v>379.78759731655936</v>
      </c>
      <c r="F42" s="1477">
        <f t="shared" si="146"/>
        <v>211.32953905659235</v>
      </c>
      <c r="G42" s="3346">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1167</v>
      </c>
      <c r="B43" s="1469">
        <v>269</v>
      </c>
      <c r="C43" s="1469">
        <v>221</v>
      </c>
      <c r="D43" s="1469">
        <f t="shared" si="133"/>
        <v>221</v>
      </c>
      <c r="E43" s="1469">
        <v>373</v>
      </c>
      <c r="F43" s="1470">
        <v>196</v>
      </c>
      <c r="G43" s="3344">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1168</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45">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1169</v>
      </c>
      <c r="B45" s="1477">
        <f t="shared" si="147"/>
        <v>242.95398227588385</v>
      </c>
      <c r="C45" s="1477">
        <f t="shared" si="147"/>
        <v>199.59137053614126</v>
      </c>
      <c r="D45" s="1477">
        <f t="shared" si="133"/>
        <v>199.59137053614126</v>
      </c>
      <c r="E45" s="1477">
        <f t="shared" si="148"/>
        <v>335.92189522342125</v>
      </c>
      <c r="F45" s="1477">
        <f t="shared" si="148"/>
        <v>183.10139991109489</v>
      </c>
      <c r="G45" s="3345">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1170</v>
      </c>
      <c r="B46" s="1477">
        <f t="shared" si="147"/>
        <v>232.06990378821649</v>
      </c>
      <c r="C46" s="1477">
        <f t="shared" si="147"/>
        <v>192.74878854286936</v>
      </c>
      <c r="D46" s="1477">
        <f t="shared" si="133"/>
        <v>192.74878854286936</v>
      </c>
      <c r="E46" s="1477">
        <f t="shared" si="148"/>
        <v>319.71247284992984</v>
      </c>
      <c r="F46" s="1477">
        <f t="shared" si="148"/>
        <v>175.67053622862409</v>
      </c>
      <c r="G46" s="3346">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1171</v>
      </c>
      <c r="B47" s="1469">
        <v>220</v>
      </c>
      <c r="C47" s="1469">
        <v>187</v>
      </c>
      <c r="D47" s="1469">
        <f t="shared" si="133"/>
        <v>187</v>
      </c>
      <c r="E47" s="1469">
        <v>301</v>
      </c>
      <c r="F47" s="1470">
        <v>168</v>
      </c>
      <c r="G47" s="3344">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1172</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45">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1173</v>
      </c>
      <c r="B49" s="1477">
        <f t="shared" si="149"/>
        <v>210.630522469011</v>
      </c>
      <c r="C49" s="1477">
        <f t="shared" si="149"/>
        <v>181.69567812247232</v>
      </c>
      <c r="D49" s="1477">
        <f t="shared" si="133"/>
        <v>181.69567812247232</v>
      </c>
      <c r="E49" s="1477">
        <f t="shared" si="150"/>
        <v>286.13517466736738</v>
      </c>
      <c r="F49" s="1477">
        <f t="shared" si="150"/>
        <v>165.47535084591149</v>
      </c>
      <c r="G49" s="3345">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1174</v>
      </c>
      <c r="B50" s="1477">
        <f t="shared" si="149"/>
        <v>208.83454537875372</v>
      </c>
      <c r="C50" s="1477">
        <f t="shared" si="149"/>
        <v>183.77230517090351</v>
      </c>
      <c r="D50" s="1477">
        <f t="shared" si="133"/>
        <v>183.77230517090351</v>
      </c>
      <c r="E50" s="1477">
        <f t="shared" si="150"/>
        <v>281.10342338870947</v>
      </c>
      <c r="F50" s="1477">
        <f t="shared" si="150"/>
        <v>168.97309388942256</v>
      </c>
      <c r="G50" s="3346">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1175</v>
      </c>
      <c r="B51" s="1511">
        <v>214</v>
      </c>
      <c r="C51" s="1511">
        <v>188</v>
      </c>
      <c r="D51" s="1511">
        <f t="shared" si="133"/>
        <v>188</v>
      </c>
      <c r="E51" s="1511">
        <v>289</v>
      </c>
      <c r="F51" s="1512">
        <v>166</v>
      </c>
      <c r="G51" s="3344">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1176</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45">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1177</v>
      </c>
      <c r="B53" s="1477">
        <f t="shared" si="151"/>
        <v>206.31694671589116</v>
      </c>
      <c r="C53" s="1477">
        <f t="shared" si="151"/>
        <v>183.61041121036101</v>
      </c>
      <c r="D53" s="1477">
        <f t="shared" si="133"/>
        <v>183.61041121036101</v>
      </c>
      <c r="E53" s="1477">
        <f t="shared" si="152"/>
        <v>276.66850301795557</v>
      </c>
      <c r="F53" s="1477">
        <f t="shared" si="152"/>
        <v>165.1360938278614</v>
      </c>
      <c r="G53" s="3345">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1178</v>
      </c>
      <c r="B54" s="1514">
        <f t="shared" si="151"/>
        <v>196.62341248059772</v>
      </c>
      <c r="C54" s="1514">
        <f t="shared" si="151"/>
        <v>170.99125648199012</v>
      </c>
      <c r="D54" s="1514">
        <f t="shared" si="133"/>
        <v>170.99125648199012</v>
      </c>
      <c r="E54" s="1514">
        <f t="shared" si="152"/>
        <v>266.07857570490052</v>
      </c>
      <c r="F54" s="1514">
        <f t="shared" si="152"/>
        <v>154.53499328828505</v>
      </c>
      <c r="G54" s="3346">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1179</v>
      </c>
      <c r="B55" s="1469">
        <v>188</v>
      </c>
      <c r="C55" s="1469">
        <v>165</v>
      </c>
      <c r="D55" s="1469">
        <f t="shared" si="133"/>
        <v>165</v>
      </c>
      <c r="E55" s="1469">
        <v>254</v>
      </c>
      <c r="F55" s="1470">
        <v>148</v>
      </c>
      <c r="G55" s="3344">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1180</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45">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1181</v>
      </c>
      <c r="B57" s="1477">
        <f t="shared" si="155"/>
        <v>168.82017748715555</v>
      </c>
      <c r="C57" s="1477">
        <f t="shared" si="155"/>
        <v>148.06267029972753</v>
      </c>
      <c r="D57" s="1477">
        <f t="shared" si="133"/>
        <v>148.06267029972753</v>
      </c>
      <c r="E57" s="1477">
        <f t="shared" si="156"/>
        <v>216.46288379323747</v>
      </c>
      <c r="F57" s="1477">
        <f t="shared" si="156"/>
        <v>134.23529411764704</v>
      </c>
      <c r="G57" s="3345">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1182</v>
      </c>
      <c r="B58" s="1477">
        <f t="shared" si="155"/>
        <v>163.84913591779542</v>
      </c>
      <c r="C58" s="1477">
        <f t="shared" si="155"/>
        <v>145.0283378746594</v>
      </c>
      <c r="D58" s="1477">
        <f t="shared" si="133"/>
        <v>145.0283378746594</v>
      </c>
      <c r="E58" s="1477">
        <f t="shared" si="156"/>
        <v>204.95180722891567</v>
      </c>
      <c r="F58" s="1477">
        <f t="shared" si="156"/>
        <v>125.95920303605313</v>
      </c>
      <c r="G58" s="3346">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1183</v>
      </c>
      <c r="B59" s="1490">
        <v>159</v>
      </c>
      <c r="C59" s="1490">
        <v>141</v>
      </c>
      <c r="D59" s="1490">
        <f t="shared" si="133"/>
        <v>141</v>
      </c>
      <c r="E59" s="1490">
        <v>195</v>
      </c>
      <c r="F59" s="1491">
        <v>122</v>
      </c>
      <c r="G59" s="3344">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1184</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45">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1185</v>
      </c>
      <c r="B61" s="1477">
        <f t="shared" si="159"/>
        <v>146.57412060301507</v>
      </c>
      <c r="C61" s="1477">
        <f t="shared" si="159"/>
        <v>136.46831955922866</v>
      </c>
      <c r="D61" s="1477">
        <f t="shared" si="133"/>
        <v>136.46831955922866</v>
      </c>
      <c r="E61" s="1477">
        <f t="shared" si="160"/>
        <v>166.73864894795128</v>
      </c>
      <c r="F61" s="1477">
        <f t="shared" si="160"/>
        <v>115.05882352941177</v>
      </c>
      <c r="G61" s="3345">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1186</v>
      </c>
      <c r="B62" s="1477">
        <f t="shared" si="159"/>
        <v>144.04145728643215</v>
      </c>
      <c r="C62" s="1477">
        <f t="shared" si="159"/>
        <v>136.12396694214877</v>
      </c>
      <c r="D62" s="1477">
        <f t="shared" si="133"/>
        <v>136.12396694214877</v>
      </c>
      <c r="E62" s="1477">
        <f t="shared" si="160"/>
        <v>158.32225913621264</v>
      </c>
      <c r="F62" s="1477">
        <f t="shared" si="160"/>
        <v>114.04278074866311</v>
      </c>
      <c r="G62" s="3346">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1187</v>
      </c>
      <c r="B63" s="1490">
        <v>138</v>
      </c>
      <c r="C63" s="1490">
        <v>131</v>
      </c>
      <c r="D63" s="1490">
        <f t="shared" si="133"/>
        <v>131</v>
      </c>
      <c r="E63" s="1490">
        <v>155</v>
      </c>
      <c r="F63" s="1491">
        <v>114</v>
      </c>
      <c r="G63" s="3344">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1188</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45">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1189</v>
      </c>
      <c r="B65" s="1477">
        <f t="shared" si="163"/>
        <v>124.29032258064517</v>
      </c>
      <c r="C65" s="1477">
        <f t="shared" si="163"/>
        <v>123.8968609865471</v>
      </c>
      <c r="D65" s="1477">
        <f t="shared" si="133"/>
        <v>123.8968609865471</v>
      </c>
      <c r="E65" s="1477">
        <f t="shared" si="164"/>
        <v>138.00507614213197</v>
      </c>
      <c r="F65" s="1477">
        <f t="shared" si="164"/>
        <v>107.96106557377048</v>
      </c>
      <c r="G65" s="3345">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1190</v>
      </c>
      <c r="B66" s="1477">
        <f t="shared" si="163"/>
        <v>122.57204301075269</v>
      </c>
      <c r="C66" s="1477">
        <f t="shared" si="163"/>
        <v>123.4932735426009</v>
      </c>
      <c r="D66" s="1477">
        <f t="shared" si="133"/>
        <v>123.4932735426009</v>
      </c>
      <c r="E66" s="1477">
        <f t="shared" si="164"/>
        <v>129.82233502538071</v>
      </c>
      <c r="F66" s="1477">
        <f t="shared" si="164"/>
        <v>107.39446721311475</v>
      </c>
      <c r="G66" s="3346">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1191</v>
      </c>
      <c r="B67" s="1511">
        <v>121</v>
      </c>
      <c r="C67" s="1511">
        <v>122</v>
      </c>
      <c r="D67" s="1511">
        <f t="shared" si="133"/>
        <v>122</v>
      </c>
      <c r="E67" s="1511">
        <v>124</v>
      </c>
      <c r="F67" s="1512">
        <v>107</v>
      </c>
      <c r="G67" s="3344">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1192</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45">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1193</v>
      </c>
      <c r="B69" s="1477">
        <f t="shared" si="167"/>
        <v>116.99099099099099</v>
      </c>
      <c r="C69" s="1477">
        <f t="shared" si="167"/>
        <v>118.84848484848486</v>
      </c>
      <c r="D69" s="1477">
        <f t="shared" si="133"/>
        <v>118.84848484848486</v>
      </c>
      <c r="E69" s="1477">
        <f t="shared" si="168"/>
        <v>117.60960960960961</v>
      </c>
      <c r="F69" s="1477">
        <f t="shared" si="168"/>
        <v>104</v>
      </c>
      <c r="G69" s="3345">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1194</v>
      </c>
      <c r="B70" s="1514">
        <f t="shared" si="167"/>
        <v>112.48648648648648</v>
      </c>
      <c r="C70" s="1514">
        <f t="shared" si="167"/>
        <v>115.21212121212122</v>
      </c>
      <c r="D70" s="1514">
        <f t="shared" si="133"/>
        <v>115.21212121212122</v>
      </c>
      <c r="E70" s="1514">
        <f t="shared" si="168"/>
        <v>110.4024024024024</v>
      </c>
      <c r="F70" s="1514">
        <f t="shared" si="168"/>
        <v>104</v>
      </c>
      <c r="G70" s="3346">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1195</v>
      </c>
      <c r="B71" s="1532">
        <v>111</v>
      </c>
      <c r="C71" s="1532">
        <v>114</v>
      </c>
      <c r="D71" s="1532">
        <f t="shared" si="133"/>
        <v>114</v>
      </c>
      <c r="E71" s="1532">
        <v>108</v>
      </c>
      <c r="F71" s="1533">
        <v>104</v>
      </c>
      <c r="G71" s="3344">
        <v>2003</v>
      </c>
      <c r="H71" s="1522">
        <v>4</v>
      </c>
      <c r="I71" s="1534"/>
      <c r="J71" s="1534"/>
      <c r="K71" s="1534"/>
      <c r="L71" s="1534"/>
      <c r="N71" s="1535"/>
      <c r="O71" s="1534"/>
      <c r="P71" s="1534"/>
      <c r="Q71" s="1534"/>
      <c r="S71" s="1535"/>
      <c r="T71" s="1534"/>
      <c r="U71" s="1534"/>
      <c r="V71" s="1534"/>
      <c r="X71" s="1526"/>
      <c r="Y71" s="1526"/>
      <c r="Z71" s="1526"/>
    </row>
    <row r="72" spans="1:26">
      <c r="A72" s="1461" t="s">
        <v>1196</v>
      </c>
      <c r="B72" s="1536">
        <f t="shared" ref="B72:C74" si="169">B73+(B$71-B$75)/4</f>
        <v>109.75</v>
      </c>
      <c r="C72" s="1536">
        <f t="shared" si="169"/>
        <v>112.25</v>
      </c>
      <c r="D72" s="1536">
        <f t="shared" si="133"/>
        <v>112.25</v>
      </c>
      <c r="E72" s="1536">
        <f t="shared" ref="E72:F74" si="170">E73+(E$71-E$75)/4</f>
        <v>107.25</v>
      </c>
      <c r="F72" s="1536">
        <f t="shared" si="170"/>
        <v>103.5</v>
      </c>
      <c r="G72" s="3345">
        <v>2003</v>
      </c>
      <c r="H72" s="1487">
        <v>3</v>
      </c>
      <c r="I72" s="1534"/>
      <c r="J72" s="1534"/>
      <c r="K72" s="1534"/>
      <c r="L72" s="1534"/>
      <c r="X72" s="1526"/>
      <c r="Y72" s="1526"/>
      <c r="Z72" s="1526"/>
    </row>
    <row r="73" spans="1:26">
      <c r="A73" s="1461" t="s">
        <v>1197</v>
      </c>
      <c r="B73" s="1536">
        <f t="shared" si="169"/>
        <v>108.5</v>
      </c>
      <c r="C73" s="1536">
        <f t="shared" si="169"/>
        <v>110.5</v>
      </c>
      <c r="D73" s="1536">
        <f t="shared" si="133"/>
        <v>110.5</v>
      </c>
      <c r="E73" s="1536">
        <f t="shared" si="170"/>
        <v>106.5</v>
      </c>
      <c r="F73" s="1536">
        <f t="shared" si="170"/>
        <v>103</v>
      </c>
      <c r="G73" s="3345">
        <v>2003</v>
      </c>
      <c r="H73" s="1465">
        <v>2</v>
      </c>
      <c r="I73" s="1534"/>
      <c r="J73" s="1534"/>
      <c r="K73" s="1534"/>
      <c r="L73" s="1534"/>
      <c r="X73" s="1526"/>
      <c r="Y73" s="1526"/>
      <c r="Z73" s="1526"/>
    </row>
    <row r="74" spans="1:26" ht="13.5" thickBot="1">
      <c r="A74" s="1461" t="s">
        <v>1198</v>
      </c>
      <c r="B74" s="1536">
        <f t="shared" si="169"/>
        <v>107.25</v>
      </c>
      <c r="C74" s="1536">
        <f t="shared" si="169"/>
        <v>108.75</v>
      </c>
      <c r="D74" s="1536">
        <f t="shared" si="133"/>
        <v>108.75</v>
      </c>
      <c r="E74" s="1536">
        <f t="shared" si="170"/>
        <v>105.75</v>
      </c>
      <c r="F74" s="1536">
        <f t="shared" si="170"/>
        <v>102.5</v>
      </c>
      <c r="G74" s="3346">
        <v>2003</v>
      </c>
      <c r="H74" s="1537">
        <v>1</v>
      </c>
      <c r="I74" s="1534"/>
      <c r="J74" s="1534"/>
      <c r="K74" s="1534"/>
      <c r="L74" s="1534"/>
      <c r="S74" s="1472"/>
      <c r="T74" s="1473"/>
      <c r="U74" s="1473"/>
      <c r="X74" s="1526"/>
      <c r="Y74" s="1526"/>
      <c r="Z74" s="1526"/>
    </row>
    <row r="75" spans="1:26" ht="13.5" thickBot="1">
      <c r="A75" s="1461" t="s">
        <v>1199</v>
      </c>
      <c r="B75" s="1538">
        <v>106</v>
      </c>
      <c r="C75" s="1538">
        <v>107</v>
      </c>
      <c r="D75" s="1538">
        <f t="shared" si="133"/>
        <v>107</v>
      </c>
      <c r="E75" s="1538">
        <v>105</v>
      </c>
      <c r="F75" s="1539">
        <v>102</v>
      </c>
      <c r="G75" s="3344">
        <v>2002</v>
      </c>
      <c r="H75" s="1482">
        <v>4</v>
      </c>
      <c r="I75" s="1534"/>
      <c r="J75" s="1534"/>
      <c r="K75" s="1534"/>
      <c r="L75" s="1534"/>
      <c r="N75" s="1535"/>
      <c r="O75" s="1534"/>
      <c r="P75" s="1534"/>
      <c r="Q75" s="1534"/>
      <c r="S75" s="1535"/>
      <c r="T75" s="1534"/>
      <c r="U75" s="1534"/>
      <c r="V75" s="1534"/>
      <c r="X75" s="1526"/>
      <c r="Y75" s="1526"/>
      <c r="Z75" s="1526"/>
    </row>
    <row r="76" spans="1:26">
      <c r="A76" s="1461" t="s">
        <v>1200</v>
      </c>
      <c r="B76" s="1536">
        <f t="shared" ref="B76:C78" si="171">B77+(B$75-B$79)/4</f>
        <v>105</v>
      </c>
      <c r="C76" s="1536">
        <f t="shared" si="171"/>
        <v>106</v>
      </c>
      <c r="D76" s="1536">
        <f t="shared" si="133"/>
        <v>106</v>
      </c>
      <c r="E76" s="1536">
        <f t="shared" ref="E76:F78" si="172">E77+(E$75-E$79)/4</f>
        <v>104.5</v>
      </c>
      <c r="F76" s="1536">
        <f t="shared" si="172"/>
        <v>101.5</v>
      </c>
      <c r="G76" s="3345">
        <v>2002</v>
      </c>
      <c r="H76" s="1487">
        <v>3</v>
      </c>
      <c r="I76" s="1534"/>
      <c r="J76" s="1534"/>
      <c r="K76" s="1534"/>
      <c r="L76" s="1534"/>
      <c r="X76" s="1526"/>
      <c r="Y76" s="1526"/>
      <c r="Z76" s="1526"/>
    </row>
    <row r="77" spans="1:26">
      <c r="A77" s="1461" t="s">
        <v>1201</v>
      </c>
      <c r="B77" s="1536">
        <f t="shared" si="171"/>
        <v>104</v>
      </c>
      <c r="C77" s="1536">
        <f t="shared" si="171"/>
        <v>105</v>
      </c>
      <c r="D77" s="1536">
        <f t="shared" si="133"/>
        <v>105</v>
      </c>
      <c r="E77" s="1536">
        <f t="shared" si="172"/>
        <v>104</v>
      </c>
      <c r="F77" s="1536">
        <f t="shared" si="172"/>
        <v>101</v>
      </c>
      <c r="G77" s="3345">
        <v>2002</v>
      </c>
      <c r="H77" s="1465">
        <v>2</v>
      </c>
      <c r="I77" s="1534"/>
      <c r="J77" s="1534"/>
      <c r="K77" s="1534"/>
      <c r="L77" s="1534"/>
      <c r="X77" s="1526"/>
      <c r="Y77" s="1526"/>
      <c r="Z77" s="1526"/>
    </row>
    <row r="78" spans="1:26" s="1498" customFormat="1" ht="13.5" thickBot="1">
      <c r="A78" s="1494" t="s">
        <v>1202</v>
      </c>
      <c r="B78" s="1540">
        <f t="shared" si="171"/>
        <v>103</v>
      </c>
      <c r="C78" s="1540">
        <f t="shared" si="171"/>
        <v>104</v>
      </c>
      <c r="D78" s="1540">
        <f t="shared" si="133"/>
        <v>104</v>
      </c>
      <c r="E78" s="1540">
        <f t="shared" si="172"/>
        <v>103.5</v>
      </c>
      <c r="F78" s="1540">
        <f t="shared" si="172"/>
        <v>100.5</v>
      </c>
      <c r="G78" s="3346">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1203</v>
      </c>
      <c r="G81" s="1550"/>
      <c r="N81" s="1550"/>
      <c r="S81" s="1550"/>
    </row>
    <row r="82" spans="1:22" s="1549" customFormat="1">
      <c r="A82" s="1549" t="s">
        <v>1204</v>
      </c>
      <c r="G82" s="1550"/>
      <c r="N82" s="1550"/>
      <c r="S82" s="1550"/>
    </row>
    <row r="83" spans="1:22" s="1549" customFormat="1">
      <c r="A83" s="1549" t="s">
        <v>1205</v>
      </c>
      <c r="G83" s="1550"/>
      <c r="I83" s="1551"/>
      <c r="J83" s="1551"/>
      <c r="K83" s="1551"/>
      <c r="L83" s="1551"/>
      <c r="N83" s="1552"/>
      <c r="O83" s="1551"/>
      <c r="P83" s="1551"/>
      <c r="Q83" s="1551"/>
      <c r="S83" s="1552"/>
      <c r="T83" s="1551"/>
      <c r="U83" s="1551"/>
      <c r="V83" s="1551"/>
    </row>
    <row r="84" spans="1:22" s="1549" customFormat="1">
      <c r="A84" s="1549" t="s">
        <v>1206</v>
      </c>
      <c r="G84" s="1550"/>
      <c r="N84" s="1550"/>
      <c r="S84" s="1550"/>
    </row>
    <row r="91" spans="1:22" ht="13.5" thickBot="1"/>
    <row r="92" spans="1:22">
      <c r="G92" s="1471"/>
      <c r="S92" s="1553" t="s">
        <v>1207</v>
      </c>
      <c r="T92" s="1554" t="s">
        <v>1208</v>
      </c>
      <c r="U92" s="1554" t="s">
        <v>1209</v>
      </c>
      <c r="V92" s="1554" t="s">
        <v>1210</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27536</v>
      </c>
      <c r="C2" s="2" t="s">
        <v>133</v>
      </c>
      <c r="D2" s="243"/>
      <c r="E2" s="243"/>
      <c r="F2" s="243"/>
      <c r="G2" s="243"/>
    </row>
    <row r="3" spans="1:7" s="244" customFormat="1" ht="18" customHeight="1" thickBot="1">
      <c r="A3" s="247" t="s">
        <v>85</v>
      </c>
      <c r="B3" s="248">
        <f ca="1">ROUND(B2*10000/'数据-汇总表'!E3,0)</f>
        <v>105790</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0</v>
      </c>
      <c r="F9" s="265"/>
      <c r="G9" s="270"/>
    </row>
    <row r="10" spans="1:7" s="258" customFormat="1" ht="13.5" customHeight="1">
      <c r="A10" s="950" t="s">
        <v>800</v>
      </c>
      <c r="B10" s="268" t="s">
        <v>94</v>
      </c>
      <c r="C10" s="269">
        <f>ROUND(D10*E10/10000,0)</f>
        <v>52</v>
      </c>
      <c r="D10" s="1032">
        <f>'数据-汇总表'!E6</f>
        <v>2602.9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1050</v>
      </c>
      <c r="B19" s="254" t="s">
        <v>111</v>
      </c>
      <c r="C19" s="255">
        <f>IF(G19="已包含在土地取得成本中","0",ROUND(D19*E19/10000,0))</f>
        <v>52</v>
      </c>
      <c r="D19" s="1036">
        <f>'数据-汇总表'!E3</f>
        <v>2602.9</v>
      </c>
      <c r="E19" s="255">
        <f>'数据-取费表'!B31</f>
        <v>200</v>
      </c>
      <c r="F19" s="275"/>
      <c r="G19" s="1" t="s">
        <v>1069</v>
      </c>
    </row>
    <row r="20" spans="1:7" s="258" customFormat="1" ht="13.5" customHeight="1">
      <c r="A20" s="948" t="s">
        <v>1052</v>
      </c>
      <c r="B20" s="254" t="s">
        <v>104</v>
      </c>
      <c r="C20" s="276">
        <f>ROUND((C5+C19)*F20,0)</f>
        <v>207</v>
      </c>
      <c r="D20" s="276"/>
      <c r="E20" s="276"/>
      <c r="F20" s="277">
        <f>'数据-取费表'!B37</f>
        <v>0.01</v>
      </c>
      <c r="G20" s="1289" t="s">
        <v>1063</v>
      </c>
    </row>
    <row r="21" spans="1:7" s="258" customFormat="1" ht="13.5" customHeight="1">
      <c r="A21" s="948" t="s">
        <v>1054</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904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1056</v>
      </c>
      <c r="C23" s="1355">
        <f ca="1">ROUND(IF('数据-取费表'!B22&lt;=1,C5*F22*'数据-取费表'!B23,C5*(POWER((1+F22),'数据-取费表'!B23)-1)),0)</f>
        <v>897</v>
      </c>
      <c r="D23" s="282"/>
      <c r="E23" s="282"/>
      <c r="F23" s="283"/>
      <c r="G23" s="284" t="s">
        <v>108</v>
      </c>
    </row>
    <row r="24" spans="1:7" s="258" customFormat="1" ht="13.5" customHeight="1">
      <c r="A24" s="951" t="s">
        <v>791</v>
      </c>
      <c r="B24" s="259" t="s">
        <v>1051</v>
      </c>
      <c r="C24" s="1355">
        <f ca="1">ROUND(IF('数据-取费表'!B22&lt;=1,C19*F22*('数据-取费表'!B19/2+'数据-取费表'!B21),C19*(POWER((1+F22),('数据-取费表'!B19/2+'数据-取费表'!B21))-1)),0)</f>
        <v>2</v>
      </c>
      <c r="D24" s="282"/>
      <c r="E24" s="282"/>
      <c r="F24" s="283"/>
      <c r="G24" s="284" t="s">
        <v>109</v>
      </c>
    </row>
    <row r="25" spans="1:7" s="258" customFormat="1" ht="24">
      <c r="A25" s="951" t="s">
        <v>792</v>
      </c>
      <c r="B25" s="259" t="s">
        <v>1053</v>
      </c>
      <c r="C25" s="1355">
        <f ca="1">ROUND(IF('数据-取费表'!B22&lt;=1,C20*F22*'数据-取费表'!B23/2,C20*(POWER((1+F22),'数据-取费表'!B23/2)-1)),0)</f>
        <v>5</v>
      </c>
      <c r="D25" s="282"/>
      <c r="E25" s="285"/>
      <c r="F25" s="283"/>
      <c r="G25" s="286" t="s">
        <v>110</v>
      </c>
    </row>
    <row r="26" spans="1:7" s="258" customFormat="1">
      <c r="A26" s="951" t="s">
        <v>794</v>
      </c>
      <c r="B26" s="259" t="s">
        <v>1055</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3548</v>
      </c>
      <c r="D27" s="279">
        <f>C29</f>
        <v>1.6999999999999999E-3</v>
      </c>
      <c r="E27" s="280" t="s">
        <v>126</v>
      </c>
      <c r="F27" s="290">
        <f>'数据-取费表'!Q16</f>
        <v>0.17</v>
      </c>
      <c r="G27" s="291" t="s">
        <v>1064</v>
      </c>
    </row>
    <row r="28" spans="1:7" s="258" customFormat="1" ht="13.5" customHeight="1">
      <c r="A28" s="951" t="s">
        <v>793</v>
      </c>
      <c r="B28" s="292" t="s">
        <v>1057</v>
      </c>
      <c r="C28" s="293">
        <f>ROUND((C5+C19+C20)*F27*'数据-取费表'!B21/'数据-取费表'!B20,0)</f>
        <v>3548</v>
      </c>
      <c r="D28" s="279"/>
      <c r="E28" s="280"/>
      <c r="F28" s="290"/>
      <c r="G28" s="291"/>
    </row>
    <row r="29" spans="1:7" s="258" customFormat="1" ht="13.5" customHeight="1">
      <c r="A29" s="951" t="s">
        <v>791</v>
      </c>
      <c r="B29" s="292" t="s">
        <v>1058</v>
      </c>
      <c r="C29" s="282">
        <f>ROUND(C21*F27*'数据-取费表'!B21/'数据-取费表'!B20,4)</f>
        <v>1.6999999999999999E-3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27060</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478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408</v>
      </c>
      <c r="D34" s="261"/>
      <c r="E34" s="264"/>
      <c r="F34" s="301">
        <f>IF('数据-取费表'!B24=0,1,'数据-取费表'!N16)</f>
        <v>1</v>
      </c>
      <c r="G34" s="263" t="s">
        <v>116</v>
      </c>
    </row>
    <row r="35" spans="1:7" ht="13.5" customHeight="1">
      <c r="A35" s="951" t="s">
        <v>795</v>
      </c>
      <c r="B35" s="259" t="s">
        <v>60</v>
      </c>
      <c r="C35" s="264">
        <f>ROUND(C34*F35,0)</f>
        <v>12</v>
      </c>
      <c r="D35" s="264"/>
      <c r="E35" s="264"/>
      <c r="F35" s="303">
        <f>'数据-取费表'!B33</f>
        <v>0.03</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52</v>
      </c>
      <c r="D37" s="261">
        <f>'数据-汇总表'!E3</f>
        <v>2602.9</v>
      </c>
      <c r="E37" s="293">
        <f>'数据-取费表'!B35</f>
        <v>200</v>
      </c>
      <c r="F37" s="303"/>
      <c r="G37" s="305" t="s">
        <v>119</v>
      </c>
    </row>
    <row r="38" spans="1:7" ht="13.5" customHeight="1">
      <c r="A38" s="951" t="s">
        <v>798</v>
      </c>
      <c r="B38" s="259" t="s">
        <v>63</v>
      </c>
      <c r="C38" s="264">
        <f>ROUND(C34*F38,0)</f>
        <v>6</v>
      </c>
      <c r="D38" s="264"/>
      <c r="E38" s="264"/>
      <c r="F38" s="303">
        <f>'数据-取费表'!B36</f>
        <v>1.4999999999999999E-2</v>
      </c>
      <c r="G38" s="263" t="s">
        <v>117</v>
      </c>
    </row>
    <row r="39" spans="1:7" s="258" customFormat="1" ht="13.5" customHeight="1">
      <c r="A39" s="948" t="s">
        <v>782</v>
      </c>
      <c r="B39" s="254" t="s">
        <v>104</v>
      </c>
      <c r="C39" s="276">
        <f>ROUND(C33*F20,0)</f>
        <v>5</v>
      </c>
      <c r="D39" s="276"/>
      <c r="E39" s="276"/>
      <c r="F39" s="277"/>
      <c r="G39" s="1289" t="s">
        <v>1066</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10</v>
      </c>
      <c r="D41" s="279">
        <f ca="1">C44</f>
        <v>2.0000000000000001E-4</v>
      </c>
      <c r="E41" s="280" t="s">
        <v>129</v>
      </c>
      <c r="F41" s="281"/>
      <c r="G41" s="1289" t="str">
        <f>IF('数据-取费表'!B22&lt;=1,"单利计息","复利计息")</f>
        <v>单利计息</v>
      </c>
    </row>
    <row r="42" spans="1:7" ht="13.5" customHeight="1">
      <c r="A42" s="951" t="s">
        <v>793</v>
      </c>
      <c r="B42" s="259" t="s">
        <v>1056</v>
      </c>
      <c r="C42" s="282">
        <f ca="1">ROUND(IF('数据-取费表'!B22&lt;=1,C33*F22*'数据-取费表'!B21/2,C33*(POWER((1+F22),'数据-取费表'!B21/2)-1)),0)</f>
        <v>10</v>
      </c>
      <c r="D42" s="282"/>
      <c r="E42" s="282"/>
      <c r="F42" s="283"/>
      <c r="G42" s="3207" t="s">
        <v>121</v>
      </c>
    </row>
    <row r="43" spans="1:7" ht="13.5" customHeight="1">
      <c r="A43" s="951" t="s">
        <v>791</v>
      </c>
      <c r="B43" s="259" t="s">
        <v>1059</v>
      </c>
      <c r="C43" s="282">
        <f ca="1">ROUND(IF('数据-取费表'!B22&lt;=1,C39*F22*'数据-取费表'!B21/2,C39*(POWER((1+F22),'数据-取费表'!B21/2)-1)),0)</f>
        <v>0</v>
      </c>
      <c r="D43" s="282"/>
      <c r="E43" s="282"/>
      <c r="F43" s="283"/>
      <c r="G43" s="3208"/>
    </row>
    <row r="44" spans="1:7" ht="13.5" customHeight="1">
      <c r="A44" s="951" t="s">
        <v>792</v>
      </c>
      <c r="B44" s="259" t="s">
        <v>1061</v>
      </c>
      <c r="C44" s="282">
        <f ca="1">ROUND(IF('数据-取费表'!B22&lt;=1,C40*F22*'数据-取费表'!B21/2,C40*(POWER((1+F22),'数据-取费表'!B21/2)-1)),4)</f>
        <v>2.0000000000000001E-4</v>
      </c>
      <c r="D44" s="282"/>
      <c r="E44" s="282"/>
      <c r="F44" s="283"/>
      <c r="G44" s="3209"/>
    </row>
    <row r="45" spans="1:7" s="258" customFormat="1" ht="13.5" customHeight="1">
      <c r="A45" s="948" t="s">
        <v>785</v>
      </c>
      <c r="B45" s="288" t="s">
        <v>112</v>
      </c>
      <c r="C45" s="289">
        <f>C46</f>
        <v>82</v>
      </c>
      <c r="D45" s="279">
        <f>C47</f>
        <v>1.6999999999999999E-3</v>
      </c>
      <c r="E45" s="280" t="s">
        <v>129</v>
      </c>
      <c r="F45" s="290"/>
      <c r="G45" s="291" t="s">
        <v>1067</v>
      </c>
    </row>
    <row r="46" spans="1:7" s="258" customFormat="1" ht="13.5" customHeight="1">
      <c r="A46" s="951" t="s">
        <v>793</v>
      </c>
      <c r="B46" s="292" t="s">
        <v>1060</v>
      </c>
      <c r="C46" s="293">
        <f>ROUND((C33+C39)*F27,0)</f>
        <v>82</v>
      </c>
      <c r="D46" s="307"/>
      <c r="E46" s="280"/>
      <c r="F46" s="290"/>
      <c r="G46" s="291"/>
    </row>
    <row r="47" spans="1:7" s="258" customFormat="1" ht="13.5" customHeight="1">
      <c r="A47" s="951" t="s">
        <v>791</v>
      </c>
      <c r="B47" s="292" t="s">
        <v>1062</v>
      </c>
      <c r="C47" s="282">
        <f>ROUND(C40*F27,4)</f>
        <v>1.6999999999999999E-3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615</v>
      </c>
      <c r="D49" s="276"/>
      <c r="E49" s="276"/>
      <c r="F49" s="308"/>
      <c r="G49" s="278" t="s">
        <v>1068</v>
      </c>
    </row>
    <row r="50" spans="1:7" s="302" customFormat="1" ht="24">
      <c r="A50" s="948" t="s">
        <v>788</v>
      </c>
      <c r="B50" s="254" t="s">
        <v>124</v>
      </c>
      <c r="C50" s="276"/>
      <c r="D50" s="276"/>
      <c r="E50" s="276"/>
      <c r="F50" s="308">
        <f>IF('数据-取费表'!B24=0,'数据-取费表'!N16,1)</f>
        <v>0.77400000000000002</v>
      </c>
      <c r="G50" s="291" t="s">
        <v>125</v>
      </c>
    </row>
    <row r="51" spans="1:7" ht="16.5" customHeight="1">
      <c r="A51" s="948" t="s">
        <v>789</v>
      </c>
      <c r="B51" s="254" t="s">
        <v>132</v>
      </c>
      <c r="C51" s="276">
        <f ca="1">ROUND(C49*F50,0)</f>
        <v>476</v>
      </c>
      <c r="D51" s="276"/>
      <c r="E51" s="276"/>
      <c r="F51" s="308"/>
      <c r="G51" s="278" t="s">
        <v>64</v>
      </c>
    </row>
    <row r="52" spans="1:7" s="252" customFormat="1" ht="16.5" thickBot="1">
      <c r="A52" s="309" t="s">
        <v>65</v>
      </c>
      <c r="B52" s="310"/>
      <c r="C52" s="311">
        <f ca="1">C31+C51</f>
        <v>27536</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3" t="s">
        <v>156</v>
      </c>
      <c r="B1" s="3353"/>
      <c r="C1" s="3353"/>
      <c r="D1" s="3353"/>
      <c r="E1" s="3353"/>
      <c r="F1" s="33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4" t="s">
        <v>169</v>
      </c>
      <c r="B2" s="3354"/>
      <c r="C2" s="3354"/>
      <c r="D2" s="3354"/>
      <c r="E2" s="3354"/>
      <c r="F2" s="33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1048</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1048</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0" t="str">
        <f>IF(项目基本情况!B9="房地产市场价值","估价结果一览表","结果表-2")</f>
        <v>估价结果一览表</v>
      </c>
      <c r="B1" s="3030"/>
      <c r="C1" s="3030"/>
      <c r="D1" s="3030"/>
      <c r="E1" s="3030"/>
      <c r="F1" s="3030"/>
      <c r="G1" s="3030"/>
      <c r="H1" s="3030"/>
      <c r="I1" s="3030"/>
    </row>
    <row r="2" spans="1:9" ht="30" customHeight="1" thickTop="1">
      <c r="A2" s="3031" t="s">
        <v>1632</v>
      </c>
      <c r="B2" s="3031" t="s">
        <v>1633</v>
      </c>
      <c r="C2" s="3031" t="s">
        <v>1634</v>
      </c>
      <c r="D2" s="3031" t="str">
        <f>结果表!D116</f>
        <v>出让国有建设用地使用权价值</v>
      </c>
      <c r="E2" s="3031"/>
      <c r="F2" s="3031" t="str">
        <f>结果表!F116</f>
        <v>在建建筑物价值</v>
      </c>
      <c r="G2" s="3031"/>
      <c r="H2" s="3031" t="str">
        <f>IF(项目基本情况!B9="房地产市场价值","房地产市场价值","房地产价值")</f>
        <v>房地产市场价值</v>
      </c>
      <c r="I2" s="3031"/>
    </row>
    <row r="3" spans="1:9" ht="15">
      <c r="A3" s="3032"/>
      <c r="B3" s="3032"/>
      <c r="C3" s="3032"/>
      <c r="D3" s="1044" t="s">
        <v>1629</v>
      </c>
      <c r="E3" s="1044" t="s">
        <v>1635</v>
      </c>
      <c r="F3" s="1044" t="s">
        <v>1629</v>
      </c>
      <c r="G3" s="1044" t="s">
        <v>1630</v>
      </c>
      <c r="H3" s="1044" t="s">
        <v>1629</v>
      </c>
      <c r="I3" s="1044" t="s">
        <v>1630</v>
      </c>
    </row>
    <row r="4" spans="1:9" ht="30">
      <c r="A4" s="1972" t="str">
        <f>项目基本情况!S2</f>
        <v>北京市怀柔区庙城镇郑重庄636号房地产</v>
      </c>
      <c r="B4" s="1044">
        <f>项目基本情况!C17</f>
        <v>2602.9</v>
      </c>
      <c r="C4" s="1044">
        <f>项目基本情况!C18</f>
        <v>10500</v>
      </c>
      <c r="D4" s="1044" t="e">
        <f ca="1">结果表!D118</f>
        <v>#REF!</v>
      </c>
      <c r="E4" s="1044" t="e">
        <f ca="1">结果表!E118</f>
        <v>#REF!</v>
      </c>
      <c r="F4" s="1044" t="e">
        <f ca="1">结果表!F118</f>
        <v>#REF!</v>
      </c>
      <c r="G4" s="1044" t="e">
        <f ca="1">结果表!G118</f>
        <v>#REF!</v>
      </c>
      <c r="H4" s="1044">
        <f ca="1">结果表!H118</f>
        <v>86</v>
      </c>
      <c r="I4" s="1044">
        <f ca="1">结果表!I118</f>
        <v>20141</v>
      </c>
    </row>
    <row r="5" spans="1:9" ht="30" customHeight="1">
      <c r="A5" s="3032" t="s">
        <v>1631</v>
      </c>
      <c r="B5" s="3032"/>
      <c r="C5" s="3032"/>
      <c r="D5" s="3033" t="e">
        <f ca="1">结果表!D119</f>
        <v>#REF!</v>
      </c>
      <c r="E5" s="3033"/>
      <c r="F5" s="3033" t="e">
        <f ca="1">结果表!F119</f>
        <v>#REF!</v>
      </c>
      <c r="G5" s="3033"/>
      <c r="H5" s="3033" t="str">
        <f ca="1">结果表!H119</f>
        <v>捌拾陆万元整</v>
      </c>
      <c r="I5" s="3033"/>
    </row>
    <row r="6" spans="1:9" ht="15.75">
      <c r="A6" s="3034" t="str">
        <f>结果表!A120</f>
        <v/>
      </c>
      <c r="B6" s="3034"/>
      <c r="C6" s="3034"/>
      <c r="D6" s="3034">
        <f>结果表!D120</f>
        <v>0</v>
      </c>
      <c r="E6" s="3034"/>
      <c r="F6" s="3034"/>
      <c r="G6" s="3034"/>
      <c r="H6" s="3034"/>
      <c r="I6" s="3034"/>
    </row>
    <row r="7" spans="1:9" ht="15">
      <c r="A7" s="3032" t="s">
        <v>1631</v>
      </c>
      <c r="B7" s="3032"/>
      <c r="C7" s="3032"/>
      <c r="D7" s="3035" t="str">
        <f>结果表!D121</f>
        <v>零元整</v>
      </c>
      <c r="E7" s="3036"/>
      <c r="F7" s="3036"/>
      <c r="G7" s="3036"/>
      <c r="H7" s="3036"/>
      <c r="I7" s="3037"/>
    </row>
    <row r="8" spans="1:9" ht="15.75">
      <c r="A8" s="3034" t="str">
        <f>结果表!A122</f>
        <v/>
      </c>
      <c r="B8" s="3034"/>
      <c r="C8" s="3034"/>
      <c r="D8" s="3034">
        <f ca="1">结果表!D122</f>
        <v>86</v>
      </c>
      <c r="E8" s="3034"/>
      <c r="F8" s="3034"/>
      <c r="G8" s="3034"/>
      <c r="H8" s="3034"/>
      <c r="I8" s="3034"/>
    </row>
    <row r="9" spans="1:9" ht="15">
      <c r="A9" s="3032" t="s">
        <v>1631</v>
      </c>
      <c r="B9" s="3032"/>
      <c r="C9" s="3032"/>
      <c r="D9" s="3033" t="str">
        <f ca="1">结果表!D123</f>
        <v>捌拾陆万元整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1631</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1631</v>
      </c>
      <c r="B13" s="3038"/>
      <c r="C13" s="3038"/>
      <c r="D13" s="3039" t="e">
        <f>结果表!D127</f>
        <v>#VALUE!</v>
      </c>
      <c r="E13" s="3039"/>
      <c r="F13" s="3039"/>
      <c r="G13" s="3039"/>
      <c r="H13" s="3039"/>
      <c r="I13" s="3039"/>
    </row>
    <row r="14" spans="1:9" ht="15" thickTop="1">
      <c r="A14" s="3040" t="s">
        <v>1636</v>
      </c>
      <c r="B14" s="3040"/>
      <c r="C14" s="3040"/>
      <c r="D14" s="3040"/>
      <c r="E14" s="3040"/>
      <c r="F14" s="3040"/>
      <c r="G14" s="3040"/>
      <c r="H14" s="3040"/>
      <c r="I14" s="3040"/>
    </row>
    <row r="16" spans="1:9" ht="18.75">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3" t="s">
        <v>866</v>
      </c>
      <c r="B1" s="3353"/>
    </row>
    <row r="2" spans="1:6" ht="14.25" thickBot="1">
      <c r="A2" s="1057"/>
      <c r="B2" s="1057"/>
    </row>
    <row r="3" spans="1:6" ht="14.25" thickBot="1">
      <c r="A3" s="1057"/>
      <c r="B3" s="1057"/>
      <c r="C3" s="1061" t="s">
        <v>869</v>
      </c>
      <c r="D3" s="1061" t="s">
        <v>870</v>
      </c>
      <c r="E3" s="1061" t="s">
        <v>871</v>
      </c>
      <c r="F3" s="1061" t="s">
        <v>872</v>
      </c>
    </row>
    <row r="4" spans="1:6" ht="14.25" thickBot="1">
      <c r="A4" s="1059" t="s">
        <v>867</v>
      </c>
      <c r="B4" s="1060" t="s">
        <v>868</v>
      </c>
      <c r="C4" s="1061"/>
      <c r="D4" s="1061"/>
      <c r="E4" s="1061"/>
      <c r="F4" s="1061"/>
    </row>
    <row r="5" spans="1:6" ht="14.25" thickBot="1">
      <c r="A5" s="840" t="s">
        <v>873</v>
      </c>
      <c r="B5" s="841" t="s">
        <v>874</v>
      </c>
      <c r="C5" s="1062">
        <v>8.8999999999999996E-2</v>
      </c>
      <c r="D5" s="1062">
        <v>7.3999999999999996E-2</v>
      </c>
      <c r="E5" s="1062">
        <v>7.4999999999999997E-2</v>
      </c>
      <c r="F5" s="1063">
        <v>0.1</v>
      </c>
    </row>
    <row r="6" spans="1:6" ht="14.25" thickBot="1">
      <c r="A6" s="840" t="s">
        <v>212</v>
      </c>
      <c r="B6" s="834" t="s">
        <v>875</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876</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877</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878</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879</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880</v>
      </c>
      <c r="C72" s="1077"/>
      <c r="D72" s="1077"/>
      <c r="E72" s="1077"/>
      <c r="F72" s="1065">
        <v>0.05</v>
      </c>
    </row>
    <row r="73" spans="1:6" ht="14.25" thickBot="1">
      <c r="A73" s="840" t="s">
        <v>137</v>
      </c>
      <c r="B73" s="834" t="s">
        <v>881</v>
      </c>
      <c r="C73" s="1077"/>
      <c r="D73" s="1077"/>
      <c r="E73" s="1077"/>
      <c r="F73" s="1065">
        <v>0.05</v>
      </c>
    </row>
    <row r="74" spans="1:6" ht="14.25" thickBot="1">
      <c r="A74" s="840" t="s">
        <v>137</v>
      </c>
      <c r="B74" s="834" t="s">
        <v>882</v>
      </c>
      <c r="C74" s="1077"/>
      <c r="D74" s="1077"/>
      <c r="E74" s="1077"/>
      <c r="F74" s="1065">
        <v>0.05</v>
      </c>
    </row>
    <row r="75" spans="1:6" ht="14.25" thickBot="1">
      <c r="A75" s="850" t="s">
        <v>137</v>
      </c>
      <c r="B75" s="846" t="s">
        <v>883</v>
      </c>
      <c r="C75" s="1074"/>
      <c r="D75" s="1074"/>
      <c r="E75" s="1074"/>
      <c r="F75" s="1067">
        <v>0.05</v>
      </c>
    </row>
    <row r="76" spans="1:6" ht="14.25" thickBot="1">
      <c r="A76" s="840" t="s">
        <v>523</v>
      </c>
      <c r="B76" s="841" t="s">
        <v>884</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885</v>
      </c>
      <c r="C102" s="1077"/>
      <c r="D102" s="1077"/>
      <c r="E102" s="1077"/>
      <c r="F102" s="1065">
        <v>0.05</v>
      </c>
    </row>
    <row r="103" spans="1:6" ht="24.75" thickBot="1">
      <c r="A103" s="840" t="s">
        <v>523</v>
      </c>
      <c r="B103" s="834" t="s">
        <v>886</v>
      </c>
      <c r="C103" s="1077"/>
      <c r="D103" s="1077"/>
      <c r="E103" s="1077"/>
      <c r="F103" s="1065">
        <v>0.05</v>
      </c>
    </row>
    <row r="104" spans="1:6" ht="14.25" thickBot="1">
      <c r="A104" s="840" t="s">
        <v>523</v>
      </c>
      <c r="B104" s="834" t="s">
        <v>887</v>
      </c>
      <c r="C104" s="1077"/>
      <c r="D104" s="1077"/>
      <c r="E104" s="1077"/>
      <c r="F104" s="1065">
        <v>0.05</v>
      </c>
    </row>
    <row r="105" spans="1:6" ht="14.25" thickBot="1">
      <c r="A105" s="840" t="s">
        <v>523</v>
      </c>
      <c r="B105" s="834" t="s">
        <v>888</v>
      </c>
      <c r="C105" s="1077"/>
      <c r="D105" s="1077"/>
      <c r="E105" s="1077"/>
      <c r="F105" s="1065">
        <v>0.05</v>
      </c>
    </row>
    <row r="106" spans="1:6" ht="14.25" thickBot="1">
      <c r="A106" s="840" t="s">
        <v>523</v>
      </c>
      <c r="B106" s="834" t="s">
        <v>889</v>
      </c>
      <c r="C106" s="1077"/>
      <c r="D106" s="1077"/>
      <c r="E106" s="1077"/>
      <c r="F106" s="1065">
        <v>0.05</v>
      </c>
    </row>
    <row r="107" spans="1:6" ht="24.75" thickBot="1">
      <c r="A107" s="840" t="s">
        <v>523</v>
      </c>
      <c r="B107" s="834" t="s">
        <v>890</v>
      </c>
      <c r="C107" s="1077"/>
      <c r="D107" s="1077"/>
      <c r="E107" s="1077"/>
      <c r="F107" s="1065">
        <v>0.05</v>
      </c>
    </row>
    <row r="108" spans="1:6" ht="24.75" thickBot="1">
      <c r="A108" s="840" t="s">
        <v>523</v>
      </c>
      <c r="B108" s="834" t="s">
        <v>891</v>
      </c>
      <c r="C108" s="1077"/>
      <c r="D108" s="1077"/>
      <c r="E108" s="1077"/>
      <c r="F108" s="1065">
        <v>0.05</v>
      </c>
    </row>
    <row r="109" spans="1:6" ht="24.75" thickBot="1">
      <c r="A109" s="850" t="s">
        <v>523</v>
      </c>
      <c r="B109" s="846" t="s">
        <v>892</v>
      </c>
      <c r="C109" s="1074"/>
      <c r="D109" s="1074"/>
      <c r="E109" s="1074"/>
      <c r="F109" s="1067">
        <v>0.05</v>
      </c>
    </row>
    <row r="110" spans="1:6" ht="14.25" thickBot="1">
      <c r="A110" s="840" t="s">
        <v>56</v>
      </c>
      <c r="B110" s="841" t="s">
        <v>893</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894</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895</v>
      </c>
      <c r="C138" s="1064">
        <v>0.105</v>
      </c>
      <c r="D138" s="1064">
        <v>0.125</v>
      </c>
      <c r="E138" s="1064">
        <v>0.112</v>
      </c>
      <c r="F138" s="1076"/>
    </row>
    <row r="139" spans="1:6" ht="14.25" thickBot="1">
      <c r="A139" s="840" t="s">
        <v>56</v>
      </c>
      <c r="B139" s="834" t="s">
        <v>896</v>
      </c>
      <c r="C139" s="1064">
        <v>0.127</v>
      </c>
      <c r="D139" s="1064">
        <v>0.127</v>
      </c>
      <c r="E139" s="1064">
        <v>0.122</v>
      </c>
      <c r="F139" s="1065">
        <v>0.13</v>
      </c>
    </row>
    <row r="140" spans="1:6" ht="14.25" thickBot="1">
      <c r="A140" s="840" t="s">
        <v>56</v>
      </c>
      <c r="B140" s="834" t="s">
        <v>897</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898</v>
      </c>
      <c r="C144" s="1069">
        <v>0.126</v>
      </c>
      <c r="D144" s="1069">
        <v>0.126</v>
      </c>
      <c r="E144" s="1069">
        <v>0.121</v>
      </c>
      <c r="F144" s="1076"/>
    </row>
    <row r="145" spans="1:6" ht="14.25" thickBot="1">
      <c r="A145" s="850" t="s">
        <v>56</v>
      </c>
      <c r="B145" s="1070" t="s">
        <v>899</v>
      </c>
      <c r="C145" s="1078"/>
      <c r="D145" s="1078"/>
      <c r="E145" s="1078"/>
      <c r="F145" s="1071">
        <v>0.05</v>
      </c>
    </row>
    <row r="146" spans="1:6" ht="24.75" thickBot="1">
      <c r="A146" s="1072" t="s">
        <v>56</v>
      </c>
      <c r="B146" s="844" t="s">
        <v>900</v>
      </c>
      <c r="C146" s="1077"/>
      <c r="D146" s="1077"/>
      <c r="E146" s="1077"/>
      <c r="F146" s="1073">
        <v>0.05</v>
      </c>
    </row>
    <row r="147" spans="1:6" ht="24.75" thickBot="1">
      <c r="A147" s="840" t="s">
        <v>56</v>
      </c>
      <c r="B147" s="834" t="s">
        <v>901</v>
      </c>
      <c r="C147" s="1077"/>
      <c r="D147" s="1077"/>
      <c r="E147" s="1077"/>
      <c r="F147" s="1065">
        <v>0.05</v>
      </c>
    </row>
    <row r="148" spans="1:6" ht="24.75" thickBot="1">
      <c r="A148" s="840" t="s">
        <v>56</v>
      </c>
      <c r="B148" s="834" t="s">
        <v>902</v>
      </c>
      <c r="C148" s="1077"/>
      <c r="D148" s="1077"/>
      <c r="E148" s="1077"/>
      <c r="F148" s="1065">
        <v>0.05</v>
      </c>
    </row>
    <row r="149" spans="1:6" ht="24.75" thickBot="1">
      <c r="A149" s="840" t="s">
        <v>56</v>
      </c>
      <c r="B149" s="834" t="s">
        <v>903</v>
      </c>
      <c r="C149" s="1077"/>
      <c r="D149" s="1077"/>
      <c r="E149" s="1077"/>
      <c r="F149" s="1065">
        <v>0.05</v>
      </c>
    </row>
    <row r="150" spans="1:6" ht="24.75" thickBot="1">
      <c r="A150" s="840" t="s">
        <v>56</v>
      </c>
      <c r="B150" s="834" t="s">
        <v>904</v>
      </c>
      <c r="C150" s="1077"/>
      <c r="D150" s="1077"/>
      <c r="E150" s="1077"/>
      <c r="F150" s="1065">
        <v>0.05</v>
      </c>
    </row>
    <row r="151" spans="1:6" ht="24.75" thickBot="1">
      <c r="A151" s="840" t="s">
        <v>56</v>
      </c>
      <c r="B151" s="834" t="s">
        <v>905</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906</v>
      </c>
      <c r="C153" s="1077"/>
      <c r="D153" s="1077"/>
      <c r="E153" s="1077"/>
      <c r="F153" s="1065">
        <v>0.05</v>
      </c>
    </row>
    <row r="154" spans="1:6" ht="14.25" thickBot="1">
      <c r="A154" s="840" t="s">
        <v>56</v>
      </c>
      <c r="B154" s="834" t="s">
        <v>907</v>
      </c>
      <c r="C154" s="1077"/>
      <c r="D154" s="1077"/>
      <c r="E154" s="1077"/>
      <c r="F154" s="1065">
        <v>0.05</v>
      </c>
    </row>
    <row r="155" spans="1:6" ht="24.75" thickBot="1">
      <c r="A155" s="840" t="s">
        <v>56</v>
      </c>
      <c r="B155" s="834" t="s">
        <v>908</v>
      </c>
      <c r="C155" s="1077"/>
      <c r="D155" s="1077"/>
      <c r="E155" s="1077"/>
      <c r="F155" s="1065">
        <v>0.05</v>
      </c>
    </row>
    <row r="156" spans="1:6" ht="24.75" thickBot="1">
      <c r="A156" s="840" t="s">
        <v>56</v>
      </c>
      <c r="B156" s="834" t="s">
        <v>909</v>
      </c>
      <c r="C156" s="1077"/>
      <c r="D156" s="1077"/>
      <c r="E156" s="1077"/>
      <c r="F156" s="1065">
        <v>0.05</v>
      </c>
    </row>
    <row r="157" spans="1:6" ht="14.25" thickBot="1">
      <c r="A157" s="850" t="s">
        <v>56</v>
      </c>
      <c r="B157" s="846" t="s">
        <v>910</v>
      </c>
      <c r="C157" s="1074"/>
      <c r="D157" s="1074"/>
      <c r="E157" s="1074"/>
      <c r="F157" s="1067">
        <v>0.05</v>
      </c>
    </row>
    <row r="158" spans="1:6" ht="14.25" thickBot="1">
      <c r="A158" s="840" t="s">
        <v>526</v>
      </c>
      <c r="B158" s="841" t="s">
        <v>911</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912</v>
      </c>
      <c r="C171" s="1064">
        <v>0.127</v>
      </c>
      <c r="D171" s="1064">
        <v>0.126</v>
      </c>
      <c r="E171" s="1064">
        <v>0.126</v>
      </c>
      <c r="F171" s="1065">
        <v>0.11799999999999999</v>
      </c>
    </row>
    <row r="172" spans="1:6" ht="14.25" thickBot="1">
      <c r="A172" s="840" t="s">
        <v>526</v>
      </c>
      <c r="B172" s="834" t="s">
        <v>913</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914</v>
      </c>
      <c r="C174" s="1064">
        <v>0.13</v>
      </c>
      <c r="D174" s="1064">
        <v>0.13</v>
      </c>
      <c r="E174" s="1064">
        <v>0.13</v>
      </c>
      <c r="F174" s="1065">
        <v>0.13</v>
      </c>
    </row>
    <row r="175" spans="1:6" ht="14.25" thickBot="1">
      <c r="A175" s="840" t="s">
        <v>526</v>
      </c>
      <c r="B175" s="834" t="s">
        <v>915</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916</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917</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918</v>
      </c>
      <c r="C185" s="1064">
        <v>0.127</v>
      </c>
      <c r="D185" s="1064">
        <v>0.127</v>
      </c>
      <c r="E185" s="1064">
        <v>0.128</v>
      </c>
      <c r="F185" s="1065">
        <v>0.13</v>
      </c>
    </row>
    <row r="186" spans="1:6" ht="24.75" thickBot="1">
      <c r="A186" s="840" t="s">
        <v>526</v>
      </c>
      <c r="B186" s="834" t="s">
        <v>919</v>
      </c>
      <c r="C186" s="1077"/>
      <c r="D186" s="1077"/>
      <c r="E186" s="1077"/>
      <c r="F186" s="1065">
        <v>0.05</v>
      </c>
    </row>
    <row r="187" spans="1:6" ht="14.25" thickBot="1">
      <c r="A187" s="840" t="s">
        <v>526</v>
      </c>
      <c r="B187" s="834" t="s">
        <v>920</v>
      </c>
      <c r="C187" s="1077"/>
      <c r="D187" s="1077"/>
      <c r="E187" s="1077"/>
      <c r="F187" s="1065">
        <v>0.05</v>
      </c>
    </row>
    <row r="188" spans="1:6" ht="14.25" thickBot="1">
      <c r="A188" s="840" t="s">
        <v>526</v>
      </c>
      <c r="B188" s="834" t="s">
        <v>921</v>
      </c>
      <c r="C188" s="1077"/>
      <c r="D188" s="1077"/>
      <c r="E188" s="1077"/>
      <c r="F188" s="1065">
        <v>0.05</v>
      </c>
    </row>
    <row r="189" spans="1:6" ht="24.75" thickBot="1">
      <c r="A189" s="840" t="s">
        <v>526</v>
      </c>
      <c r="B189" s="834" t="s">
        <v>922</v>
      </c>
      <c r="C189" s="1077"/>
      <c r="D189" s="1077"/>
      <c r="E189" s="1077"/>
      <c r="F189" s="1065">
        <v>0.05</v>
      </c>
    </row>
    <row r="190" spans="1:6" ht="24.75" thickBot="1">
      <c r="A190" s="840" t="s">
        <v>526</v>
      </c>
      <c r="B190" s="834" t="s">
        <v>923</v>
      </c>
      <c r="C190" s="1077"/>
      <c r="D190" s="1077"/>
      <c r="E190" s="1077"/>
      <c r="F190" s="1065">
        <v>0.05</v>
      </c>
    </row>
    <row r="191" spans="1:6" ht="24.75" thickBot="1">
      <c r="A191" s="840" t="s">
        <v>526</v>
      </c>
      <c r="B191" s="834" t="s">
        <v>924</v>
      </c>
      <c r="C191" s="1077"/>
      <c r="D191" s="1077"/>
      <c r="E191" s="1077"/>
      <c r="F191" s="1065">
        <v>0.05</v>
      </c>
    </row>
    <row r="192" spans="1:6" ht="24.75" thickBot="1">
      <c r="A192" s="840" t="s">
        <v>526</v>
      </c>
      <c r="B192" s="834" t="s">
        <v>925</v>
      </c>
      <c r="C192" s="1077"/>
      <c r="D192" s="1077"/>
      <c r="E192" s="1077"/>
      <c r="F192" s="1065">
        <v>0.05</v>
      </c>
    </row>
    <row r="193" spans="1:6" ht="24.75" thickBot="1">
      <c r="A193" s="840" t="s">
        <v>526</v>
      </c>
      <c r="B193" s="834" t="s">
        <v>926</v>
      </c>
      <c r="C193" s="1077"/>
      <c r="D193" s="1077"/>
      <c r="E193" s="1077"/>
      <c r="F193" s="1065">
        <v>0.05</v>
      </c>
    </row>
    <row r="194" spans="1:6" ht="24.75" thickBot="1">
      <c r="A194" s="840" t="s">
        <v>526</v>
      </c>
      <c r="B194" s="834" t="s">
        <v>927</v>
      </c>
      <c r="C194" s="1077"/>
      <c r="D194" s="1077"/>
      <c r="E194" s="1077"/>
      <c r="F194" s="1065">
        <v>0.05</v>
      </c>
    </row>
    <row r="195" spans="1:6" ht="14.25" thickBot="1">
      <c r="A195" s="840" t="s">
        <v>526</v>
      </c>
      <c r="B195" s="834" t="s">
        <v>928</v>
      </c>
      <c r="C195" s="1077"/>
      <c r="D195" s="1077"/>
      <c r="E195" s="1077"/>
      <c r="F195" s="1065">
        <v>0.05</v>
      </c>
    </row>
    <row r="196" spans="1:6" ht="24.75" thickBot="1">
      <c r="A196" s="840" t="s">
        <v>526</v>
      </c>
      <c r="B196" s="834" t="s">
        <v>929</v>
      </c>
      <c r="C196" s="1077"/>
      <c r="D196" s="1077"/>
      <c r="E196" s="1077"/>
      <c r="F196" s="1065">
        <v>0.05</v>
      </c>
    </row>
    <row r="197" spans="1:6" ht="24.75" thickBot="1">
      <c r="A197" s="840" t="s">
        <v>526</v>
      </c>
      <c r="B197" s="834" t="s">
        <v>930</v>
      </c>
      <c r="C197" s="1077"/>
      <c r="D197" s="1077"/>
      <c r="E197" s="1077"/>
      <c r="F197" s="1065">
        <v>0.05</v>
      </c>
    </row>
    <row r="198" spans="1:6" ht="24.75" thickBot="1">
      <c r="A198" s="840" t="s">
        <v>526</v>
      </c>
      <c r="B198" s="834" t="s">
        <v>931</v>
      </c>
      <c r="C198" s="1077"/>
      <c r="D198" s="1077"/>
      <c r="E198" s="1077"/>
      <c r="F198" s="1065">
        <v>0.05</v>
      </c>
    </row>
    <row r="199" spans="1:6" ht="24.75" thickBot="1">
      <c r="A199" s="840" t="s">
        <v>526</v>
      </c>
      <c r="B199" s="834" t="s">
        <v>932</v>
      </c>
      <c r="C199" s="1077"/>
      <c r="D199" s="1077"/>
      <c r="E199" s="1077"/>
      <c r="F199" s="1065">
        <v>0.05</v>
      </c>
    </row>
    <row r="200" spans="1:6" ht="24.75" thickBot="1">
      <c r="A200" s="840" t="s">
        <v>526</v>
      </c>
      <c r="B200" s="834" t="s">
        <v>933</v>
      </c>
      <c r="C200" s="1077"/>
      <c r="D200" s="1077"/>
      <c r="E200" s="1077"/>
      <c r="F200" s="1065">
        <v>0.05</v>
      </c>
    </row>
    <row r="201" spans="1:6" ht="24.75" thickBot="1">
      <c r="A201" s="840" t="s">
        <v>526</v>
      </c>
      <c r="B201" s="834" t="s">
        <v>934</v>
      </c>
      <c r="C201" s="1077"/>
      <c r="D201" s="1077"/>
      <c r="E201" s="1077"/>
      <c r="F201" s="1065">
        <v>0.05</v>
      </c>
    </row>
    <row r="202" spans="1:6" ht="24.75" thickBot="1">
      <c r="A202" s="840" t="s">
        <v>526</v>
      </c>
      <c r="B202" s="834" t="s">
        <v>935</v>
      </c>
      <c r="C202" s="1077"/>
      <c r="D202" s="1077"/>
      <c r="E202" s="1077"/>
      <c r="F202" s="1065">
        <v>0.05</v>
      </c>
    </row>
    <row r="203" spans="1:6" ht="24.75" thickBot="1">
      <c r="A203" s="840" t="s">
        <v>526</v>
      </c>
      <c r="B203" s="834" t="s">
        <v>936</v>
      </c>
      <c r="C203" s="1077"/>
      <c r="D203" s="1077"/>
      <c r="E203" s="1077"/>
      <c r="F203" s="1065">
        <v>0.05</v>
      </c>
    </row>
    <row r="204" spans="1:6" ht="14.25" thickBot="1">
      <c r="A204" s="840" t="s">
        <v>526</v>
      </c>
      <c r="B204" s="834" t="s">
        <v>937</v>
      </c>
      <c r="C204" s="1077"/>
      <c r="D204" s="1077"/>
      <c r="E204" s="1077"/>
      <c r="F204" s="1065">
        <v>0.05</v>
      </c>
    </row>
    <row r="205" spans="1:6" ht="14.25" thickBot="1">
      <c r="A205" s="850" t="s">
        <v>526</v>
      </c>
      <c r="B205" s="846" t="s">
        <v>938</v>
      </c>
      <c r="C205" s="1074"/>
      <c r="D205" s="1074"/>
      <c r="E205" s="1074"/>
      <c r="F205" s="1067">
        <v>0.05</v>
      </c>
    </row>
    <row r="206" spans="1:6" ht="14.25" thickBot="1">
      <c r="A206" s="840" t="s">
        <v>528</v>
      </c>
      <c r="B206" s="841" t="s">
        <v>939</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940</v>
      </c>
      <c r="C210" s="1064">
        <v>0.15</v>
      </c>
      <c r="D210" s="1064">
        <v>0.15</v>
      </c>
      <c r="E210" s="1064">
        <v>0.15</v>
      </c>
      <c r="F210" s="1065">
        <v>0.13800000000000001</v>
      </c>
    </row>
    <row r="211" spans="1:6" ht="14.25" thickBot="1">
      <c r="A211" s="840" t="s">
        <v>528</v>
      </c>
      <c r="B211" s="834" t="s">
        <v>941</v>
      </c>
      <c r="C211" s="1064">
        <v>0.13700000000000001</v>
      </c>
      <c r="D211" s="1064">
        <v>0.13500000000000001</v>
      </c>
      <c r="E211" s="1064">
        <v>0.13600000000000001</v>
      </c>
      <c r="F211" s="1065">
        <v>0.1</v>
      </c>
    </row>
    <row r="212" spans="1:6" ht="14.25" thickBot="1">
      <c r="A212" s="840" t="s">
        <v>528</v>
      </c>
      <c r="B212" s="834" t="s">
        <v>942</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943</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944</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945</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946</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947</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948</v>
      </c>
      <c r="C231" s="1064">
        <v>0.128</v>
      </c>
      <c r="D231" s="1064">
        <v>0.125</v>
      </c>
      <c r="E231" s="1064">
        <v>0.13200000000000001</v>
      </c>
      <c r="F231" s="1076"/>
    </row>
    <row r="232" spans="1:6" ht="14.25" thickBot="1">
      <c r="A232" s="840" t="s">
        <v>528</v>
      </c>
      <c r="B232" s="834" t="s">
        <v>949</v>
      </c>
      <c r="C232" s="1064">
        <v>0.14499999999999999</v>
      </c>
      <c r="D232" s="1064">
        <v>0.14399999999999999</v>
      </c>
      <c r="E232" s="1064">
        <v>0.14599999999999999</v>
      </c>
      <c r="F232" s="1065">
        <v>0.13800000000000001</v>
      </c>
    </row>
    <row r="233" spans="1:6" ht="14.25" thickBot="1">
      <c r="A233" s="840" t="s">
        <v>528</v>
      </c>
      <c r="B233" s="834" t="s">
        <v>950</v>
      </c>
      <c r="C233" s="1064">
        <v>0.14499999999999999</v>
      </c>
      <c r="D233" s="1064">
        <v>0.14299999999999999</v>
      </c>
      <c r="E233" s="1064">
        <v>0.14199999999999999</v>
      </c>
      <c r="F233" s="1076"/>
    </row>
    <row r="234" spans="1:6" ht="14.25" thickBot="1">
      <c r="A234" s="840" t="s">
        <v>528</v>
      </c>
      <c r="B234" s="834" t="s">
        <v>951</v>
      </c>
      <c r="C234" s="1064">
        <v>0.14000000000000001</v>
      </c>
      <c r="D234" s="1064">
        <v>0.14000000000000001</v>
      </c>
      <c r="E234" s="1064">
        <v>0.14399999999999999</v>
      </c>
      <c r="F234" s="1076"/>
    </row>
    <row r="235" spans="1:6" ht="14.25" thickBot="1">
      <c r="A235" s="840" t="s">
        <v>528</v>
      </c>
      <c r="B235" s="834" t="s">
        <v>952</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953</v>
      </c>
      <c r="C237" s="1077"/>
      <c r="D237" s="1077"/>
      <c r="E237" s="1077"/>
      <c r="F237" s="1065">
        <v>0.05</v>
      </c>
    </row>
    <row r="238" spans="1:6" ht="24.75" thickBot="1">
      <c r="A238" s="840" t="s">
        <v>528</v>
      </c>
      <c r="B238" s="834" t="s">
        <v>954</v>
      </c>
      <c r="C238" s="1077"/>
      <c r="D238" s="1077"/>
      <c r="E238" s="1077"/>
      <c r="F238" s="1065">
        <v>0.05</v>
      </c>
    </row>
    <row r="239" spans="1:6" ht="24.75" thickBot="1">
      <c r="A239" s="840" t="s">
        <v>528</v>
      </c>
      <c r="B239" s="834" t="s">
        <v>955</v>
      </c>
      <c r="C239" s="1077"/>
      <c r="D239" s="1077"/>
      <c r="E239" s="1077"/>
      <c r="F239" s="1065">
        <v>0.05</v>
      </c>
    </row>
    <row r="240" spans="1:6" ht="24.75" thickBot="1">
      <c r="A240" s="840" t="s">
        <v>528</v>
      </c>
      <c r="B240" s="834" t="s">
        <v>956</v>
      </c>
      <c r="C240" s="1077"/>
      <c r="D240" s="1077"/>
      <c r="E240" s="1077"/>
      <c r="F240" s="1065">
        <v>0.05</v>
      </c>
    </row>
    <row r="241" spans="1:6" ht="24.75" thickBot="1">
      <c r="A241" s="840" t="s">
        <v>528</v>
      </c>
      <c r="B241" s="834" t="s">
        <v>957</v>
      </c>
      <c r="C241" s="1077"/>
      <c r="D241" s="1077"/>
      <c r="E241" s="1077"/>
      <c r="F241" s="1065">
        <v>0.05</v>
      </c>
    </row>
    <row r="242" spans="1:6" ht="24.75" thickBot="1">
      <c r="A242" s="840" t="s">
        <v>528</v>
      </c>
      <c r="B242" s="834" t="s">
        <v>958</v>
      </c>
      <c r="C242" s="1077"/>
      <c r="D242" s="1077"/>
      <c r="E242" s="1077"/>
      <c r="F242" s="1065">
        <v>0.05</v>
      </c>
    </row>
    <row r="243" spans="1:6" ht="24.75" thickBot="1">
      <c r="A243" s="840" t="s">
        <v>528</v>
      </c>
      <c r="B243" s="834" t="s">
        <v>959</v>
      </c>
      <c r="C243" s="1077"/>
      <c r="D243" s="1077"/>
      <c r="E243" s="1077"/>
      <c r="F243" s="1065">
        <v>0.05</v>
      </c>
    </row>
    <row r="244" spans="1:6" ht="24.75" thickBot="1">
      <c r="A244" s="850" t="s">
        <v>528</v>
      </c>
      <c r="B244" s="846" t="s">
        <v>960</v>
      </c>
      <c r="C244" s="1074"/>
      <c r="D244" s="1074"/>
      <c r="E244" s="1074"/>
      <c r="F244" s="1067">
        <v>0.05</v>
      </c>
    </row>
    <row r="245" spans="1:6" ht="14.25" thickBot="1">
      <c r="A245" s="840" t="s">
        <v>530</v>
      </c>
      <c r="B245" s="841" t="s">
        <v>961</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962</v>
      </c>
      <c r="C247" s="1064">
        <v>0.15</v>
      </c>
      <c r="D247" s="1064">
        <v>0.15</v>
      </c>
      <c r="E247" s="1064">
        <v>0.15</v>
      </c>
      <c r="F247" s="1065">
        <v>0.15</v>
      </c>
    </row>
    <row r="248" spans="1:6" ht="14.25" thickBot="1">
      <c r="A248" s="840" t="s">
        <v>530</v>
      </c>
      <c r="B248" s="834" t="s">
        <v>963</v>
      </c>
      <c r="C248" s="1064">
        <v>0.15</v>
      </c>
      <c r="D248" s="1064">
        <v>0.15</v>
      </c>
      <c r="E248" s="1064">
        <v>0.15</v>
      </c>
      <c r="F248" s="1065">
        <v>0.14000000000000001</v>
      </c>
    </row>
    <row r="249" spans="1:6" ht="14.25" thickBot="1">
      <c r="A249" s="840" t="s">
        <v>530</v>
      </c>
      <c r="B249" s="834" t="s">
        <v>964</v>
      </c>
      <c r="C249" s="1064">
        <v>0.15</v>
      </c>
      <c r="D249" s="1064">
        <v>0.14899999999999999</v>
      </c>
      <c r="E249" s="1064">
        <v>0.15</v>
      </c>
      <c r="F249" s="1065">
        <v>0.1</v>
      </c>
    </row>
    <row r="250" spans="1:6" ht="14.25" thickBot="1">
      <c r="A250" s="840" t="s">
        <v>530</v>
      </c>
      <c r="B250" s="834" t="s">
        <v>965</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966</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967</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968</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969</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970</v>
      </c>
      <c r="C273" s="1064">
        <v>0.14199999999999999</v>
      </c>
      <c r="D273" s="1064">
        <v>0.14299999999999999</v>
      </c>
      <c r="E273" s="1064">
        <v>0.15</v>
      </c>
      <c r="F273" s="1065">
        <v>0.1</v>
      </c>
    </row>
    <row r="274" spans="1:6" ht="14.25" thickBot="1">
      <c r="A274" s="840" t="s">
        <v>530</v>
      </c>
      <c r="B274" s="834" t="s">
        <v>971</v>
      </c>
      <c r="C274" s="1064">
        <v>0.14799999999999999</v>
      </c>
      <c r="D274" s="1064">
        <v>0.14799999999999999</v>
      </c>
      <c r="E274" s="1064">
        <v>0.15</v>
      </c>
      <c r="F274" s="1065">
        <v>6.7000000000000004E-2</v>
      </c>
    </row>
    <row r="275" spans="1:6" ht="14.25" thickBot="1">
      <c r="A275" s="840" t="s">
        <v>530</v>
      </c>
      <c r="B275" s="834" t="s">
        <v>972</v>
      </c>
      <c r="C275" s="1064">
        <v>0.15</v>
      </c>
      <c r="D275" s="1064">
        <v>0.15</v>
      </c>
      <c r="E275" s="1064">
        <v>0.15</v>
      </c>
      <c r="F275" s="1065">
        <v>0.15</v>
      </c>
    </row>
    <row r="276" spans="1:6" ht="14.25" thickBot="1">
      <c r="A276" s="840" t="s">
        <v>530</v>
      </c>
      <c r="B276" s="834" t="s">
        <v>973</v>
      </c>
      <c r="C276" s="1064">
        <v>0.14499999999999999</v>
      </c>
      <c r="D276" s="1064">
        <v>0.14299999999999999</v>
      </c>
      <c r="E276" s="1064">
        <v>0.15</v>
      </c>
      <c r="F276" s="1065">
        <v>5.8999999999999997E-2</v>
      </c>
    </row>
    <row r="277" spans="1:6" ht="14.25" thickBot="1">
      <c r="A277" s="840" t="s">
        <v>530</v>
      </c>
      <c r="B277" s="834" t="s">
        <v>974</v>
      </c>
      <c r="C277" s="1064">
        <v>0.15</v>
      </c>
      <c r="D277" s="1064">
        <v>0.15</v>
      </c>
      <c r="E277" s="1064">
        <v>0.15</v>
      </c>
      <c r="F277" s="1065">
        <v>0.121</v>
      </c>
    </row>
    <row r="278" spans="1:6" ht="14.25" thickBot="1">
      <c r="A278" s="840" t="s">
        <v>530</v>
      </c>
      <c r="B278" s="834" t="s">
        <v>975</v>
      </c>
      <c r="C278" s="1064">
        <v>0.15</v>
      </c>
      <c r="D278" s="1064">
        <v>0.15</v>
      </c>
      <c r="E278" s="1064">
        <v>0.15</v>
      </c>
      <c r="F278" s="1065">
        <v>0.13800000000000001</v>
      </c>
    </row>
    <row r="279" spans="1:6" ht="24.75" thickBot="1">
      <c r="A279" s="840" t="s">
        <v>530</v>
      </c>
      <c r="B279" s="834" t="s">
        <v>976</v>
      </c>
      <c r="C279" s="1077"/>
      <c r="D279" s="1077"/>
      <c r="E279" s="1077"/>
      <c r="F279" s="1065">
        <v>0.05</v>
      </c>
    </row>
    <row r="280" spans="1:6" ht="24.75" thickBot="1">
      <c r="A280" s="840" t="s">
        <v>530</v>
      </c>
      <c r="B280" s="834" t="s">
        <v>977</v>
      </c>
      <c r="C280" s="1077"/>
      <c r="D280" s="1077"/>
      <c r="E280" s="1077"/>
      <c r="F280" s="1065">
        <v>0.05</v>
      </c>
    </row>
    <row r="281" spans="1:6" ht="24.75" thickBot="1">
      <c r="A281" s="840" t="s">
        <v>530</v>
      </c>
      <c r="B281" s="834" t="s">
        <v>978</v>
      </c>
      <c r="C281" s="1077"/>
      <c r="D281" s="1077"/>
      <c r="E281" s="1077"/>
      <c r="F281" s="1065">
        <v>0.05</v>
      </c>
    </row>
    <row r="282" spans="1:6" ht="24.75" thickBot="1">
      <c r="A282" s="840" t="s">
        <v>530</v>
      </c>
      <c r="B282" s="834" t="s">
        <v>979</v>
      </c>
      <c r="C282" s="1077"/>
      <c r="D282" s="1077"/>
      <c r="E282" s="1077"/>
      <c r="F282" s="1065">
        <v>0.05</v>
      </c>
    </row>
    <row r="283" spans="1:6" ht="24.75" thickBot="1">
      <c r="A283" s="840" t="s">
        <v>530</v>
      </c>
      <c r="B283" s="834" t="s">
        <v>980</v>
      </c>
      <c r="C283" s="1077"/>
      <c r="D283" s="1077"/>
      <c r="E283" s="1077"/>
      <c r="F283" s="1065">
        <v>0.05</v>
      </c>
    </row>
    <row r="284" spans="1:6" ht="24.75" thickBot="1">
      <c r="A284" s="840" t="s">
        <v>530</v>
      </c>
      <c r="B284" s="834" t="s">
        <v>981</v>
      </c>
      <c r="C284" s="1077"/>
      <c r="D284" s="1077"/>
      <c r="E284" s="1077"/>
      <c r="F284" s="1065">
        <v>0.05</v>
      </c>
    </row>
    <row r="285" spans="1:6" ht="24.75" thickBot="1">
      <c r="A285" s="840" t="s">
        <v>530</v>
      </c>
      <c r="B285" s="834" t="s">
        <v>982</v>
      </c>
      <c r="C285" s="1077"/>
      <c r="D285" s="1077"/>
      <c r="E285" s="1077"/>
      <c r="F285" s="1065">
        <v>0.05</v>
      </c>
    </row>
    <row r="286" spans="1:6" ht="24.75" thickBot="1">
      <c r="A286" s="840" t="s">
        <v>530</v>
      </c>
      <c r="B286" s="834" t="s">
        <v>983</v>
      </c>
      <c r="C286" s="1077"/>
      <c r="D286" s="1077"/>
      <c r="E286" s="1077"/>
      <c r="F286" s="1065">
        <v>0.05</v>
      </c>
    </row>
    <row r="287" spans="1:6" ht="24.75" thickBot="1">
      <c r="A287" s="840" t="s">
        <v>530</v>
      </c>
      <c r="B287" s="834" t="s">
        <v>984</v>
      </c>
      <c r="C287" s="1077"/>
      <c r="D287" s="1077"/>
      <c r="E287" s="1077"/>
      <c r="F287" s="1065">
        <v>0.05</v>
      </c>
    </row>
    <row r="288" spans="1:6" ht="24.75" thickBot="1">
      <c r="A288" s="840" t="s">
        <v>530</v>
      </c>
      <c r="B288" s="834" t="s">
        <v>985</v>
      </c>
      <c r="C288" s="1077"/>
      <c r="D288" s="1077"/>
      <c r="E288" s="1077"/>
      <c r="F288" s="1065">
        <v>0.05</v>
      </c>
    </row>
    <row r="289" spans="1:6" ht="24.75" thickBot="1">
      <c r="A289" s="850" t="s">
        <v>530</v>
      </c>
      <c r="B289" s="846" t="s">
        <v>986</v>
      </c>
      <c r="C289" s="1074"/>
      <c r="D289" s="1074"/>
      <c r="E289" s="1074"/>
      <c r="F289" s="1067">
        <v>0.05</v>
      </c>
    </row>
    <row r="290" spans="1:6" ht="14.25" thickBot="1">
      <c r="A290" s="840" t="s">
        <v>534</v>
      </c>
      <c r="B290" s="841" t="s">
        <v>987</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988</v>
      </c>
      <c r="C292" s="1064">
        <v>0.15</v>
      </c>
      <c r="D292" s="1064">
        <v>0.15</v>
      </c>
      <c r="E292" s="1064">
        <v>0.15</v>
      </c>
      <c r="F292" s="1065">
        <v>0.14699999999999999</v>
      </c>
    </row>
    <row r="293" spans="1:6" ht="14.25" thickBot="1">
      <c r="A293" s="840" t="s">
        <v>534</v>
      </c>
      <c r="B293" s="834" t="s">
        <v>989</v>
      </c>
      <c r="C293" s="1077"/>
      <c r="D293" s="1077"/>
      <c r="E293" s="1077"/>
      <c r="F293" s="1065">
        <v>0.1</v>
      </c>
    </row>
    <row r="294" spans="1:6" ht="14.25" thickBot="1">
      <c r="A294" s="840" t="s">
        <v>534</v>
      </c>
      <c r="B294" s="834" t="s">
        <v>990</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991</v>
      </c>
      <c r="C296" s="1064">
        <v>0.15</v>
      </c>
      <c r="D296" s="1064">
        <v>0.15</v>
      </c>
      <c r="E296" s="1064">
        <v>0.15</v>
      </c>
      <c r="F296" s="1065">
        <v>0.15</v>
      </c>
    </row>
    <row r="297" spans="1:6" ht="14.25" thickBot="1">
      <c r="A297" s="840" t="s">
        <v>534</v>
      </c>
      <c r="B297" s="834" t="s">
        <v>992</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993</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994</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995</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996</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997</v>
      </c>
      <c r="C310" s="1064">
        <v>0.15</v>
      </c>
      <c r="D310" s="1064">
        <v>0.15</v>
      </c>
      <c r="E310" s="1064">
        <v>0.15</v>
      </c>
      <c r="F310" s="1065">
        <v>0.13700000000000001</v>
      </c>
    </row>
    <row r="311" spans="1:6" ht="14.25" thickBot="1">
      <c r="A311" s="840" t="s">
        <v>534</v>
      </c>
      <c r="B311" s="834" t="s">
        <v>998</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999</v>
      </c>
      <c r="C313" s="1064">
        <v>0.15</v>
      </c>
      <c r="D313" s="1064">
        <v>0.15</v>
      </c>
      <c r="E313" s="1064">
        <v>0.15</v>
      </c>
      <c r="F313" s="1065">
        <v>0.15</v>
      </c>
    </row>
    <row r="314" spans="1:6" ht="24.75" thickBot="1">
      <c r="A314" s="840" t="s">
        <v>534</v>
      </c>
      <c r="B314" s="834" t="s">
        <v>1000</v>
      </c>
      <c r="C314" s="1077"/>
      <c r="D314" s="1077"/>
      <c r="E314" s="1077"/>
      <c r="F314" s="1065">
        <v>0.05</v>
      </c>
    </row>
    <row r="315" spans="1:6" ht="24.75" thickBot="1">
      <c r="A315" s="840" t="s">
        <v>534</v>
      </c>
      <c r="B315" s="834" t="s">
        <v>1001</v>
      </c>
      <c r="C315" s="1077"/>
      <c r="D315" s="1077"/>
      <c r="E315" s="1077"/>
      <c r="F315" s="1065">
        <v>0.05</v>
      </c>
    </row>
    <row r="316" spans="1:6" ht="24.75" thickBot="1">
      <c r="A316" s="850" t="s">
        <v>534</v>
      </c>
      <c r="B316" s="846" t="s">
        <v>1002</v>
      </c>
      <c r="C316" s="1074"/>
      <c r="D316" s="1074"/>
      <c r="E316" s="1074"/>
      <c r="F316" s="1067">
        <v>0.05</v>
      </c>
    </row>
    <row r="317" spans="1:6" ht="14.25" thickBot="1">
      <c r="A317" s="840" t="s">
        <v>1003</v>
      </c>
      <c r="B317" s="841" t="s">
        <v>1004</v>
      </c>
      <c r="C317" s="1062">
        <v>0.15</v>
      </c>
      <c r="D317" s="1062">
        <v>0.15</v>
      </c>
      <c r="E317" s="1062">
        <v>0.15</v>
      </c>
      <c r="F317" s="1063">
        <v>0.15</v>
      </c>
    </row>
    <row r="318" spans="1:6" ht="14.25" thickBot="1">
      <c r="A318" s="840" t="s">
        <v>1003</v>
      </c>
      <c r="B318" s="834" t="s">
        <v>1005</v>
      </c>
      <c r="C318" s="1064">
        <v>0.107</v>
      </c>
      <c r="D318" s="1064">
        <v>0.11</v>
      </c>
      <c r="E318" s="1064">
        <v>0.112</v>
      </c>
      <c r="F318" s="1076"/>
    </row>
    <row r="319" spans="1:6" ht="14.25" thickBot="1">
      <c r="A319" s="840" t="s">
        <v>1003</v>
      </c>
      <c r="B319" s="834" t="s">
        <v>1006</v>
      </c>
      <c r="C319" s="1064">
        <v>0.15</v>
      </c>
      <c r="D319" s="1064">
        <v>0.15</v>
      </c>
      <c r="E319" s="1064">
        <v>0.15</v>
      </c>
      <c r="F319" s="1065">
        <v>0.15</v>
      </c>
    </row>
    <row r="320" spans="1:6" ht="14.25" thickBot="1">
      <c r="A320" s="840" t="s">
        <v>1003</v>
      </c>
      <c r="B320" s="834" t="s">
        <v>223</v>
      </c>
      <c r="C320" s="1064">
        <v>0.15</v>
      </c>
      <c r="D320" s="1064">
        <v>0.15</v>
      </c>
      <c r="E320" s="1064">
        <v>0.15</v>
      </c>
      <c r="F320" s="1076"/>
    </row>
    <row r="321" spans="1:6" ht="14.25" thickBot="1">
      <c r="A321" s="840" t="s">
        <v>1003</v>
      </c>
      <c r="B321" s="834" t="s">
        <v>1007</v>
      </c>
      <c r="C321" s="1064">
        <v>0.15</v>
      </c>
      <c r="D321" s="1064">
        <v>0.15</v>
      </c>
      <c r="E321" s="1064">
        <v>0.15</v>
      </c>
      <c r="F321" s="1076"/>
    </row>
    <row r="322" spans="1:6" ht="14.25" thickBot="1">
      <c r="A322" s="840" t="s">
        <v>1003</v>
      </c>
      <c r="B322" s="834" t="s">
        <v>1008</v>
      </c>
      <c r="C322" s="1064">
        <v>0.15</v>
      </c>
      <c r="D322" s="1064">
        <v>0.15</v>
      </c>
      <c r="E322" s="1064">
        <v>0.15</v>
      </c>
      <c r="F322" s="1065">
        <v>0.15</v>
      </c>
    </row>
    <row r="323" spans="1:6" ht="14.25" thickBot="1">
      <c r="A323" s="840" t="s">
        <v>1003</v>
      </c>
      <c r="B323" s="834" t="s">
        <v>1009</v>
      </c>
      <c r="C323" s="1064">
        <v>0.15</v>
      </c>
      <c r="D323" s="1064">
        <v>0.15</v>
      </c>
      <c r="E323" s="1064">
        <v>0.15</v>
      </c>
      <c r="F323" s="1076"/>
    </row>
    <row r="324" spans="1:6" ht="14.25" thickBot="1">
      <c r="A324" s="840" t="s">
        <v>1003</v>
      </c>
      <c r="B324" s="834" t="s">
        <v>1010</v>
      </c>
      <c r="C324" s="1064">
        <v>0.15</v>
      </c>
      <c r="D324" s="1064">
        <v>0.15</v>
      </c>
      <c r="E324" s="1064">
        <v>0.15</v>
      </c>
      <c r="F324" s="1076"/>
    </row>
    <row r="325" spans="1:6" ht="14.25" thickBot="1">
      <c r="A325" s="840" t="s">
        <v>1003</v>
      </c>
      <c r="B325" s="834" t="s">
        <v>1011</v>
      </c>
      <c r="C325" s="1064">
        <v>0.15</v>
      </c>
      <c r="D325" s="1064">
        <v>0.15</v>
      </c>
      <c r="E325" s="1064">
        <v>0.15</v>
      </c>
      <c r="F325" s="1065">
        <v>0.14699999999999999</v>
      </c>
    </row>
    <row r="326" spans="1:6" ht="14.25" thickBot="1">
      <c r="A326" s="840" t="s">
        <v>1003</v>
      </c>
      <c r="B326" s="834" t="s">
        <v>290</v>
      </c>
      <c r="C326" s="1064">
        <v>0.15</v>
      </c>
      <c r="D326" s="1064">
        <v>0.15</v>
      </c>
      <c r="E326" s="1064">
        <v>0.15</v>
      </c>
      <c r="F326" s="1076"/>
    </row>
    <row r="327" spans="1:6" ht="14.25" thickBot="1">
      <c r="A327" s="840" t="s">
        <v>1003</v>
      </c>
      <c r="B327" s="834" t="s">
        <v>1012</v>
      </c>
      <c r="C327" s="1064">
        <v>0.15</v>
      </c>
      <c r="D327" s="1064">
        <v>0.15</v>
      </c>
      <c r="E327" s="1064">
        <v>0.15</v>
      </c>
      <c r="F327" s="1065">
        <v>0.15</v>
      </c>
    </row>
    <row r="328" spans="1:6" ht="14.25" thickBot="1">
      <c r="A328" s="840" t="s">
        <v>1003</v>
      </c>
      <c r="B328" s="834" t="s">
        <v>310</v>
      </c>
      <c r="C328" s="1064">
        <v>0.15</v>
      </c>
      <c r="D328" s="1064">
        <v>0.15</v>
      </c>
      <c r="E328" s="1064">
        <v>0.15</v>
      </c>
      <c r="F328" s="1065">
        <v>0.14099999999999999</v>
      </c>
    </row>
    <row r="329" spans="1:6" ht="14.25" thickBot="1">
      <c r="A329" s="840" t="s">
        <v>1003</v>
      </c>
      <c r="B329" s="834" t="s">
        <v>320</v>
      </c>
      <c r="C329" s="1064">
        <v>0.15</v>
      </c>
      <c r="D329" s="1064">
        <v>0.15</v>
      </c>
      <c r="E329" s="1064">
        <v>0.15</v>
      </c>
      <c r="F329" s="1065">
        <v>0.15</v>
      </c>
    </row>
    <row r="330" spans="1:6" ht="14.25" thickBot="1">
      <c r="A330" s="840" t="s">
        <v>1003</v>
      </c>
      <c r="B330" s="834" t="s">
        <v>331</v>
      </c>
      <c r="C330" s="1064">
        <v>0.15</v>
      </c>
      <c r="D330" s="1064">
        <v>0.15</v>
      </c>
      <c r="E330" s="1064">
        <v>0.15</v>
      </c>
      <c r="F330" s="1076"/>
    </row>
    <row r="331" spans="1:6" ht="14.25" thickBot="1">
      <c r="A331" s="840" t="s">
        <v>1003</v>
      </c>
      <c r="B331" s="834" t="s">
        <v>1013</v>
      </c>
      <c r="C331" s="1064">
        <v>0.15</v>
      </c>
      <c r="D331" s="1064">
        <v>0.15</v>
      </c>
      <c r="E331" s="1064">
        <v>0.15</v>
      </c>
      <c r="F331" s="1065">
        <v>0.15</v>
      </c>
    </row>
    <row r="332" spans="1:6" ht="14.25" thickBot="1">
      <c r="A332" s="840" t="s">
        <v>1003</v>
      </c>
      <c r="B332" s="834" t="s">
        <v>352</v>
      </c>
      <c r="C332" s="1064">
        <v>0.15</v>
      </c>
      <c r="D332" s="1064">
        <v>0.15</v>
      </c>
      <c r="E332" s="1064">
        <v>0.15</v>
      </c>
      <c r="F332" s="1065">
        <v>0.15</v>
      </c>
    </row>
    <row r="333" spans="1:6" ht="14.25" thickBot="1">
      <c r="A333" s="840" t="s">
        <v>1003</v>
      </c>
      <c r="B333" s="834" t="s">
        <v>1014</v>
      </c>
      <c r="C333" s="1064">
        <v>0.15</v>
      </c>
      <c r="D333" s="1064">
        <v>0.15</v>
      </c>
      <c r="E333" s="1064">
        <v>0.15</v>
      </c>
      <c r="F333" s="1065">
        <v>0.14099999999999999</v>
      </c>
    </row>
    <row r="334" spans="1:6" ht="14.25" thickBot="1">
      <c r="A334" s="840" t="s">
        <v>1003</v>
      </c>
      <c r="B334" s="834" t="s">
        <v>372</v>
      </c>
      <c r="C334" s="1064">
        <v>0.15</v>
      </c>
      <c r="D334" s="1064">
        <v>0.15</v>
      </c>
      <c r="E334" s="1064">
        <v>0.15</v>
      </c>
      <c r="F334" s="1065">
        <v>0.15</v>
      </c>
    </row>
    <row r="335" spans="1:6" ht="14.25" thickBot="1">
      <c r="A335" s="840" t="s">
        <v>1003</v>
      </c>
      <c r="B335" s="834" t="s">
        <v>382</v>
      </c>
      <c r="C335" s="1064">
        <v>0.15</v>
      </c>
      <c r="D335" s="1064">
        <v>0.15</v>
      </c>
      <c r="E335" s="1064">
        <v>0.15</v>
      </c>
      <c r="F335" s="1076"/>
    </row>
    <row r="336" spans="1:6" ht="14.25" thickBot="1">
      <c r="A336" s="840" t="s">
        <v>1003</v>
      </c>
      <c r="B336" s="834" t="s">
        <v>1015</v>
      </c>
      <c r="C336" s="1064">
        <v>0.15</v>
      </c>
      <c r="D336" s="1064">
        <v>0.15</v>
      </c>
      <c r="E336" s="1064">
        <v>0.15</v>
      </c>
      <c r="F336" s="1065">
        <v>0.11799999999999999</v>
      </c>
    </row>
    <row r="337" spans="1:6" ht="14.25" thickBot="1">
      <c r="A337" s="850" t="s">
        <v>1003</v>
      </c>
      <c r="B337" s="846" t="s">
        <v>400</v>
      </c>
      <c r="C337" s="1074"/>
      <c r="D337" s="1074"/>
      <c r="E337" s="1074"/>
      <c r="F337" s="1067">
        <v>0.14299999999999999</v>
      </c>
    </row>
    <row r="338" spans="1:6" ht="14.25" thickBot="1">
      <c r="A338" s="840" t="s">
        <v>1016</v>
      </c>
      <c r="B338" s="841" t="s">
        <v>1017</v>
      </c>
      <c r="C338" s="1062">
        <v>0.15</v>
      </c>
      <c r="D338" s="1062">
        <v>0.15</v>
      </c>
      <c r="E338" s="1062">
        <v>0.15</v>
      </c>
      <c r="F338" s="1079"/>
    </row>
    <row r="339" spans="1:6" ht="14.25" thickBot="1">
      <c r="A339" s="840" t="s">
        <v>1016</v>
      </c>
      <c r="B339" s="834" t="s">
        <v>1018</v>
      </c>
      <c r="C339" s="1064">
        <v>0.15</v>
      </c>
      <c r="D339" s="1064">
        <v>0.15</v>
      </c>
      <c r="E339" s="1064">
        <v>0.15</v>
      </c>
      <c r="F339" s="1076"/>
    </row>
    <row r="340" spans="1:6" ht="14.25" thickBot="1">
      <c r="A340" s="840" t="s">
        <v>1016</v>
      </c>
      <c r="B340" s="834" t="s">
        <v>1019</v>
      </c>
      <c r="C340" s="1064">
        <v>0.15</v>
      </c>
      <c r="D340" s="1064">
        <v>0.15</v>
      </c>
      <c r="E340" s="1064">
        <v>0.15</v>
      </c>
      <c r="F340" s="1076"/>
    </row>
    <row r="341" spans="1:6" ht="14.25" thickBot="1">
      <c r="A341" s="840" t="s">
        <v>1016</v>
      </c>
      <c r="B341" s="834" t="s">
        <v>1020</v>
      </c>
      <c r="C341" s="1064">
        <v>0.15</v>
      </c>
      <c r="D341" s="1064">
        <v>0.15</v>
      </c>
      <c r="E341" s="1064">
        <v>0.15</v>
      </c>
      <c r="F341" s="1065">
        <v>0.15</v>
      </c>
    </row>
    <row r="342" spans="1:6" ht="14.25" thickBot="1">
      <c r="A342" s="840" t="s">
        <v>1016</v>
      </c>
      <c r="B342" s="834" t="s">
        <v>1021</v>
      </c>
      <c r="C342" s="1064">
        <v>0.15</v>
      </c>
      <c r="D342" s="1064">
        <v>0.15</v>
      </c>
      <c r="E342" s="1064">
        <v>0.15</v>
      </c>
      <c r="F342" s="1065">
        <v>0.15</v>
      </c>
    </row>
    <row r="343" spans="1:6" ht="14.25" thickBot="1">
      <c r="A343" s="840" t="s">
        <v>1016</v>
      </c>
      <c r="B343" s="834" t="s">
        <v>1022</v>
      </c>
      <c r="C343" s="1064">
        <v>0.15</v>
      </c>
      <c r="D343" s="1064">
        <v>0.15</v>
      </c>
      <c r="E343" s="1064">
        <v>0.15</v>
      </c>
      <c r="F343" s="1065">
        <v>0.15</v>
      </c>
    </row>
    <row r="344" spans="1:6" ht="14.25" thickBot="1">
      <c r="A344" s="850" t="s">
        <v>1016</v>
      </c>
      <c r="B344" s="846" t="s">
        <v>1023</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43922</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1" t="s">
        <v>1653</v>
      </c>
      <c r="B1" s="3041"/>
      <c r="C1" s="3041"/>
      <c r="D1" s="3041"/>
    </row>
    <row r="2" spans="1:4" ht="18">
      <c r="A2" s="3042" t="s">
        <v>1637</v>
      </c>
      <c r="B2" s="3042"/>
      <c r="C2" s="3042"/>
      <c r="D2" s="3042"/>
    </row>
    <row r="3" spans="1:4" ht="18.75">
      <c r="A3" s="1976" t="s">
        <v>1638</v>
      </c>
      <c r="B3" s="1976" t="s">
        <v>1639</v>
      </c>
      <c r="C3" s="1976" t="s">
        <v>1640</v>
      </c>
      <c r="D3" s="1976" t="s">
        <v>1641</v>
      </c>
    </row>
    <row r="4" spans="1:4" ht="56.25" customHeight="1">
      <c r="A4" s="1977">
        <f>项目基本情况!B4</f>
        <v>0</v>
      </c>
      <c r="B4" s="1978">
        <f>项目基本情况!C4</f>
        <v>0</v>
      </c>
      <c r="C4" s="1979"/>
      <c r="D4" s="1980" t="s">
        <v>1642</v>
      </c>
    </row>
    <row r="5" spans="1:4" ht="56.25" customHeight="1">
      <c r="A5" s="1977">
        <f>项目基本情况!D4</f>
        <v>0</v>
      </c>
      <c r="B5" s="1978">
        <f>项目基本情况!E4</f>
        <v>0</v>
      </c>
      <c r="C5" s="1981"/>
      <c r="D5" s="1980" t="s">
        <v>1642</v>
      </c>
    </row>
    <row r="6" spans="1:4" ht="18">
      <c r="A6" s="3042" t="s">
        <v>1643</v>
      </c>
      <c r="B6" s="3042"/>
      <c r="C6" s="3042"/>
      <c r="D6" s="3042"/>
    </row>
    <row r="7" spans="1:4" ht="18.75">
      <c r="A7" s="1976" t="s">
        <v>1638</v>
      </c>
      <c r="B7" s="1978" t="s">
        <v>1644</v>
      </c>
      <c r="C7" s="1976" t="s">
        <v>1640</v>
      </c>
      <c r="D7" s="1976" t="s">
        <v>1641</v>
      </c>
    </row>
    <row r="8" spans="1:4" ht="56.25" customHeight="1">
      <c r="A8" s="1982" t="s">
        <v>864</v>
      </c>
      <c r="B8" s="1982" t="s">
        <v>1</v>
      </c>
      <c r="C8" s="1979"/>
      <c r="D8" s="1980" t="s">
        <v>1642</v>
      </c>
    </row>
    <row r="9" spans="1:4">
      <c r="A9" s="728"/>
      <c r="B9" s="728"/>
      <c r="C9" s="728"/>
      <c r="D9" s="728"/>
    </row>
    <row r="10" spans="1:4" ht="18.75">
      <c r="A10" s="1983" t="s">
        <v>1645</v>
      </c>
      <c r="B10" s="728"/>
      <c r="C10" s="728"/>
      <c r="D10" s="728"/>
    </row>
    <row r="11" spans="1:4" ht="30" customHeight="1">
      <c r="A11" s="3043" t="s">
        <v>1646</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4" t="str">
        <f>IF(项目基本情况!B8="抵押","3.抵押双方在办理抵押登记手续时，应使用本公司出具的正式《房地产评估报告》，特提醒报告使用者注意。","——")</f>
        <v>——</v>
      </c>
      <c r="B13" s="3045"/>
      <c r="C13" s="3045"/>
      <c r="D13" s="3045"/>
    </row>
    <row r="14" spans="1:4" ht="15.75" customHeight="1">
      <c r="A14" s="3044" t="str">
        <f>IF(项目基本情况!B8="抵押","4.本次评估估价师所知悉的法定优先受偿款情况说明如下：","——")</f>
        <v>——</v>
      </c>
      <c r="B14" s="3045"/>
      <c r="C14" s="3045"/>
      <c r="D14" s="3045"/>
    </row>
    <row r="15" spans="1:4" ht="42" customHeight="1">
      <c r="A15" s="3044" t="str">
        <f>IF(项目基本情况!B8="抵押","（1）"&amp;CONCATENATE(项目基本情况!L20,项目基本情况!L21,项目基本情况!L22),"——")</f>
        <v>——</v>
      </c>
      <c r="B15" s="3044"/>
      <c r="C15" s="3044"/>
      <c r="D15" s="3044"/>
    </row>
    <row r="16" spans="1:4" ht="30" customHeight="1">
      <c r="A16" s="3047" t="s">
        <v>1647</v>
      </c>
      <c r="B16" s="3047"/>
      <c r="C16" s="3047"/>
      <c r="D16" s="3047"/>
    </row>
    <row r="17" spans="1:4" ht="144" customHeight="1">
      <c r="A17" s="3047" t="s">
        <v>1648</v>
      </c>
      <c r="B17" s="3047"/>
      <c r="C17" s="3047"/>
      <c r="D17" s="3047"/>
    </row>
    <row r="18" spans="1:4" ht="15.75" customHeight="1">
      <c r="A18" s="3044" t="str">
        <f>IF(项目基本情况!B8="抵押",结果表!K120,"——")</f>
        <v>——</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1649</v>
      </c>
      <c r="B22" s="3049"/>
      <c r="C22" s="3049"/>
      <c r="D22" s="3049"/>
    </row>
    <row r="23" spans="1:4">
      <c r="A23" s="1984"/>
      <c r="B23" s="1956"/>
      <c r="C23" s="1956"/>
      <c r="D23" s="1956"/>
    </row>
    <row r="24" spans="1:4">
      <c r="A24" s="1984"/>
      <c r="B24" s="1956"/>
      <c r="C24" s="1956"/>
      <c r="D24" s="1956"/>
    </row>
    <row r="25" spans="1:4" ht="18.75">
      <c r="A25" s="1985" t="s">
        <v>1650</v>
      </c>
    </row>
    <row r="26" spans="1:4" ht="18">
      <c r="A26" s="1954"/>
    </row>
    <row r="27" spans="1:4" ht="18.75">
      <c r="A27" s="1954" t="s">
        <v>1651</v>
      </c>
    </row>
    <row r="30" spans="1:4" ht="18.75">
      <c r="D30" s="1985" t="s">
        <v>1652</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865</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3.5">
      <c r="A15" s="3055" t="s">
        <v>1660</v>
      </c>
      <c r="B15" s="3050" t="s">
        <v>136</v>
      </c>
      <c r="C15" s="3051"/>
    </row>
    <row r="16" spans="1:7" ht="13.5">
      <c r="A16" s="3056"/>
      <c r="B16" s="3050" t="s">
        <v>69</v>
      </c>
      <c r="C16" s="3051"/>
    </row>
    <row r="17" spans="1:3" ht="13.5">
      <c r="A17" s="3056"/>
      <c r="B17" s="3053" t="s">
        <v>1661</v>
      </c>
      <c r="C17" s="1999" t="s">
        <v>1660</v>
      </c>
    </row>
    <row r="18" spans="1:3" ht="13.5">
      <c r="A18" s="3056"/>
      <c r="B18" s="3053"/>
      <c r="C18" s="1999" t="s">
        <v>1662</v>
      </c>
    </row>
    <row r="19" spans="1:3" ht="13.5">
      <c r="A19" s="3056"/>
      <c r="B19" s="3053"/>
      <c r="C19" s="1999" t="s">
        <v>1663</v>
      </c>
    </row>
    <row r="20" spans="1:3" ht="13.5">
      <c r="A20" s="3057"/>
      <c r="B20" s="3052" t="s">
        <v>1664</v>
      </c>
      <c r="C20" s="3051"/>
    </row>
    <row r="21" spans="1:3" ht="13.5">
      <c r="A21" s="2000" t="s">
        <v>1665</v>
      </c>
      <c r="B21" s="2001"/>
      <c r="C21" s="2002"/>
    </row>
    <row r="22" spans="1:3" ht="13.5">
      <c r="A22" s="3054" t="s">
        <v>1666</v>
      </c>
      <c r="B22" s="3052" t="s">
        <v>1667</v>
      </c>
      <c r="C22" s="3051"/>
    </row>
    <row r="23" spans="1:3" ht="13.5">
      <c r="A23" s="3054"/>
      <c r="B23" s="3052" t="s">
        <v>1668</v>
      </c>
      <c r="C23" s="3051"/>
    </row>
    <row r="24" spans="1:3" ht="13.5">
      <c r="A24" s="3054"/>
      <c r="B24" s="3052" t="s">
        <v>1669</v>
      </c>
      <c r="C24" s="3051"/>
    </row>
    <row r="25" spans="1:3" ht="13.5">
      <c r="A25" s="3054"/>
      <c r="B25" s="3053" t="s">
        <v>1670</v>
      </c>
      <c r="C25" s="1999" t="s">
        <v>1671</v>
      </c>
    </row>
    <row r="26" spans="1:3" ht="13.5">
      <c r="A26" s="3054"/>
      <c r="B26" s="3053"/>
      <c r="C26" s="1999" t="s">
        <v>1672</v>
      </c>
    </row>
    <row r="27" spans="1:3" ht="13.5">
      <c r="A27" s="3054"/>
      <c r="B27" s="3053"/>
      <c r="C27" s="1999" t="s">
        <v>1673</v>
      </c>
    </row>
    <row r="28" spans="1:3" ht="13.5">
      <c r="A28" s="3054"/>
      <c r="B28" s="3053"/>
      <c r="C28" s="1999" t="s">
        <v>1674</v>
      </c>
    </row>
    <row r="29" spans="1:3" ht="13.5">
      <c r="A29" s="3054"/>
      <c r="B29" s="3053"/>
      <c r="C29" s="1999" t="s">
        <v>1675</v>
      </c>
    </row>
    <row r="30" spans="1:3" ht="13.5">
      <c r="A30" s="3054"/>
      <c r="B30" s="3053"/>
      <c r="C30" s="1999" t="s">
        <v>1676</v>
      </c>
    </row>
    <row r="31" spans="1:3" ht="13.5">
      <c r="A31" s="3054"/>
      <c r="B31" s="3053"/>
      <c r="C31" s="1999" t="s">
        <v>1677</v>
      </c>
    </row>
    <row r="32" spans="1:3" ht="13.5">
      <c r="A32" s="3054"/>
      <c r="B32" s="3053"/>
      <c r="C32" s="1999" t="s">
        <v>1678</v>
      </c>
    </row>
    <row r="33" spans="1:3" ht="13.5">
      <c r="A33" s="3054"/>
      <c r="B33" s="3053"/>
      <c r="C33" s="1999" t="s">
        <v>1679</v>
      </c>
    </row>
    <row r="34" spans="1:3">
      <c r="A34" s="2003" t="s">
        <v>76</v>
      </c>
    </row>
    <row r="37" spans="1:3">
      <c r="A37" s="2003" t="s">
        <v>1680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43928</v>
      </c>
      <c r="C2" s="1019" t="s">
        <v>825</v>
      </c>
      <c r="D2" s="1019"/>
    </row>
    <row r="3" spans="1:6" ht="24" customHeight="1">
      <c r="A3" s="1020" t="s">
        <v>826</v>
      </c>
      <c r="B3" s="1021" t="s">
        <v>827</v>
      </c>
      <c r="C3" s="2344" t="s">
        <v>828</v>
      </c>
      <c r="D3" s="2347" t="s">
        <v>829</v>
      </c>
      <c r="E3" s="1022" t="s">
        <v>830</v>
      </c>
      <c r="F3" s="1021" t="s">
        <v>828</v>
      </c>
    </row>
    <row r="4" spans="1:6" ht="24" customHeight="1">
      <c r="A4" s="1702" t="s">
        <v>831</v>
      </c>
      <c r="B4" s="1022">
        <f ca="1">IF(C4&lt;B2,"已过期",1119970066)</f>
        <v>1119970066</v>
      </c>
      <c r="C4" s="2925">
        <v>44876</v>
      </c>
      <c r="D4" s="2348" t="s">
        <v>831</v>
      </c>
      <c r="E4" s="1022">
        <f ca="1">IF(F4&lt;B2,"已过期",96010014)</f>
        <v>96010014</v>
      </c>
      <c r="F4" s="1030">
        <v>47118</v>
      </c>
    </row>
    <row r="5" spans="1:6" ht="24" customHeight="1">
      <c r="A5" s="1702"/>
      <c r="B5" s="1022"/>
      <c r="C5" s="2345"/>
      <c r="D5" s="2348"/>
      <c r="E5" s="1022"/>
      <c r="F5" s="1030"/>
    </row>
    <row r="6" spans="1:6" ht="24" customHeight="1">
      <c r="A6" s="1702" t="s">
        <v>832</v>
      </c>
      <c r="B6" s="1022">
        <f ca="1">IF(C6&lt;B2,"已过期",1119970111)</f>
        <v>1119970111</v>
      </c>
      <c r="C6" s="2345">
        <v>44876</v>
      </c>
      <c r="D6" s="2348" t="s">
        <v>832</v>
      </c>
      <c r="E6" s="1022">
        <f ca="1">IF(F6&lt;B2,"已过期",94010078)</f>
        <v>94010078</v>
      </c>
      <c r="F6" s="1030">
        <v>46387</v>
      </c>
    </row>
    <row r="7" spans="1:6" ht="24" customHeight="1">
      <c r="A7" s="1702" t="s">
        <v>833</v>
      </c>
      <c r="B7" s="1022">
        <f ca="1">IF(C7&lt;B2,"已过期",1120050019)</f>
        <v>1120050019</v>
      </c>
      <c r="C7" s="2345">
        <v>44395</v>
      </c>
      <c r="D7" s="2348" t="s">
        <v>833</v>
      </c>
      <c r="E7" s="1022">
        <f ca="1">IF(F7&lt;B2,"已过期",2002110030)</f>
        <v>2002110030</v>
      </c>
      <c r="F7" s="1030">
        <v>46387</v>
      </c>
    </row>
    <row r="8" spans="1:6" ht="24" customHeight="1">
      <c r="A8" s="1702" t="s">
        <v>834</v>
      </c>
      <c r="B8" s="1022">
        <f ca="1">IF(C8&lt;B2,"已过期",1120000080)</f>
        <v>1120000080</v>
      </c>
      <c r="C8" s="2925">
        <v>44876</v>
      </c>
      <c r="D8" s="2348" t="s">
        <v>834</v>
      </c>
      <c r="E8" s="1022">
        <f ca="1">IF(F8&lt;B2,"已过期",2000110082)</f>
        <v>2000110082</v>
      </c>
      <c r="F8" s="1030">
        <v>46387</v>
      </c>
    </row>
    <row r="9" spans="1:6" ht="24" customHeight="1">
      <c r="A9" s="1702" t="s">
        <v>835</v>
      </c>
      <c r="B9" s="1022">
        <f ca="1">IF(C9&lt;B2,"已过期",1419970001)</f>
        <v>1419970001</v>
      </c>
      <c r="C9" s="2925">
        <v>44899</v>
      </c>
      <c r="D9" s="2348" t="s">
        <v>835</v>
      </c>
      <c r="E9" s="1022">
        <f ca="1">IF(F9&lt;B2,"已过期",2002110125)</f>
        <v>2002110125</v>
      </c>
      <c r="F9" s="1030">
        <v>47118</v>
      </c>
    </row>
    <row r="10" spans="1:6" ht="24" customHeight="1">
      <c r="A10" s="1702" t="s">
        <v>836</v>
      </c>
      <c r="B10" s="1022">
        <f ca="1">IF(C10&lt;B2,"已过期",1120060040)</f>
        <v>1120060040</v>
      </c>
      <c r="C10" s="2345">
        <v>44554</v>
      </c>
      <c r="D10" s="2348" t="s">
        <v>836</v>
      </c>
      <c r="E10" s="1022">
        <f ca="1">IF(F10&lt;B2,"已过期",2004110096)</f>
        <v>2004110096</v>
      </c>
      <c r="F10" s="1030">
        <v>47118</v>
      </c>
    </row>
    <row r="11" spans="1:6" ht="24" customHeight="1">
      <c r="A11" s="1702" t="s">
        <v>837</v>
      </c>
      <c r="B11" s="1022">
        <f ca="1">IF(C11&lt;B2,"已过期",1120100036)</f>
        <v>1120100036</v>
      </c>
      <c r="C11" s="2345">
        <v>44675</v>
      </c>
      <c r="D11" s="2348" t="s">
        <v>837</v>
      </c>
      <c r="E11" s="1022">
        <f ca="1">IF(F11&lt;B2,"已过期",2010110070)</f>
        <v>2010110070</v>
      </c>
      <c r="F11" s="1030">
        <v>47907</v>
      </c>
    </row>
    <row r="12" spans="1:6" ht="24" customHeight="1">
      <c r="A12" s="1702"/>
      <c r="B12" s="1022"/>
      <c r="C12" s="2925"/>
      <c r="D12" s="1702"/>
      <c r="E12" s="1022"/>
      <c r="F12" s="1030"/>
    </row>
    <row r="13" spans="1:6" ht="24" customHeight="1">
      <c r="A13" s="1702" t="s">
        <v>838</v>
      </c>
      <c r="B13" s="1022">
        <f ca="1">IF(C13&lt;B2,"已过期",1120070131)</f>
        <v>1120070131</v>
      </c>
      <c r="C13" s="2345">
        <v>44849</v>
      </c>
      <c r="D13" s="2348" t="s">
        <v>838</v>
      </c>
      <c r="E13" s="1022">
        <f ca="1">IF(F13&lt;B2,"已过期",2014110011)</f>
        <v>2014110011</v>
      </c>
      <c r="F13" s="1030">
        <v>49302</v>
      </c>
    </row>
    <row r="14" spans="1:6" ht="24" customHeight="1">
      <c r="A14" s="1702" t="s">
        <v>3034</v>
      </c>
      <c r="B14" s="1022">
        <f ca="1">IF(C14&lt;B2,"已过期",1120040230)</f>
        <v>1120040230</v>
      </c>
      <c r="C14" s="2345">
        <v>44864</v>
      </c>
      <c r="D14" s="2348" t="s">
        <v>3034</v>
      </c>
      <c r="E14" s="1022">
        <f ca="1">IF(F14&lt;B2,"已过期",98030020)</f>
        <v>98030020</v>
      </c>
      <c r="F14" s="1030">
        <v>47118</v>
      </c>
    </row>
    <row r="15" spans="1:6" ht="24" customHeight="1">
      <c r="A15" s="1703"/>
      <c r="B15" s="1022"/>
      <c r="C15" s="2345"/>
      <c r="D15" s="2349"/>
      <c r="E15" s="1022"/>
      <c r="F15" s="1023"/>
    </row>
    <row r="16" spans="1:6" ht="24" customHeight="1">
      <c r="A16" s="1702"/>
      <c r="B16" s="1022"/>
      <c r="C16" s="2925"/>
      <c r="D16" s="2348"/>
      <c r="E16" s="1022"/>
      <c r="F16" s="1030"/>
    </row>
    <row r="17" spans="1:7" ht="24" customHeight="1">
      <c r="A17" s="1702"/>
      <c r="B17" s="1022"/>
      <c r="C17" s="2345"/>
      <c r="D17" s="2348"/>
      <c r="E17" s="1022"/>
      <c r="F17" s="1030"/>
    </row>
    <row r="18" spans="1:7" ht="24" customHeight="1">
      <c r="A18" s="1702" t="s">
        <v>3041</v>
      </c>
      <c r="B18" s="1022">
        <v>1120190079</v>
      </c>
      <c r="C18" s="2925">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839</v>
      </c>
      <c r="E21" s="1022">
        <f ca="1">IF(F21&lt;B2,"已过期",2011110090)</f>
        <v>2011110090</v>
      </c>
      <c r="F21" s="1030">
        <v>48302</v>
      </c>
    </row>
    <row r="22" spans="1:7" ht="24" customHeight="1">
      <c r="A22" s="1702" t="s">
        <v>840</v>
      </c>
      <c r="B22" s="1022">
        <f ca="1">IF(C22&lt;B2,"已过期",1120020033)</f>
        <v>1120020033</v>
      </c>
      <c r="C22" s="2925">
        <v>44339</v>
      </c>
      <c r="D22" s="2348" t="s">
        <v>840</v>
      </c>
      <c r="E22" s="1022">
        <f ca="1">IF(F22&lt;B2,"已过期",2000110137)</f>
        <v>2000110137</v>
      </c>
      <c r="F22" s="1030">
        <v>46387</v>
      </c>
    </row>
    <row r="23" spans="1:7" ht="24" customHeight="1">
      <c r="A23" s="1702" t="s">
        <v>3043</v>
      </c>
      <c r="B23" s="1022">
        <v>1119980106</v>
      </c>
      <c r="C23" s="2345">
        <v>44969</v>
      </c>
      <c r="D23" s="2348"/>
      <c r="E23" s="1022"/>
      <c r="F23" s="1022"/>
    </row>
    <row r="24" spans="1:7" s="1024" customFormat="1" ht="24" customHeight="1">
      <c r="A24" s="1703" t="s">
        <v>1325</v>
      </c>
      <c r="B24" s="1703" t="s">
        <v>1325</v>
      </c>
      <c r="C24" s="2346" t="s">
        <v>1325</v>
      </c>
      <c r="D24" s="2349" t="s">
        <v>1325</v>
      </c>
      <c r="E24" s="1703" t="s">
        <v>1325</v>
      </c>
      <c r="F24" s="1703" t="s">
        <v>1325</v>
      </c>
    </row>
    <row r="25" spans="1:7" ht="24" customHeight="1">
      <c r="A25" s="3058" t="s">
        <v>841</v>
      </c>
      <c r="B25" s="3058"/>
      <c r="C25" s="3058"/>
      <c r="D25" s="3058"/>
      <c r="E25" s="3058"/>
      <c r="F25" s="3058"/>
      <c r="G25" s="3058"/>
    </row>
    <row r="26" spans="1:7" s="1025" customFormat="1" ht="24" customHeight="1">
      <c r="A26" s="3059" t="s">
        <v>842</v>
      </c>
      <c r="B26" s="3059"/>
      <c r="C26" s="3060"/>
      <c r="D26" s="3061" t="s">
        <v>843</v>
      </c>
      <c r="E26" s="3059"/>
      <c r="F26" s="3059"/>
    </row>
    <row r="27" spans="1:7" s="1027" customFormat="1" ht="24" customHeight="1">
      <c r="A27" s="1026" t="s">
        <v>844</v>
      </c>
      <c r="B27" s="1021" t="s">
        <v>845</v>
      </c>
      <c r="C27" s="2344" t="s">
        <v>846</v>
      </c>
      <c r="D27" s="2351" t="s">
        <v>844</v>
      </c>
      <c r="E27" s="1021" t="s">
        <v>845</v>
      </c>
      <c r="F27" s="1021" t="s">
        <v>846</v>
      </c>
    </row>
    <row r="28" spans="1:7" s="1027" customFormat="1" ht="24" customHeight="1">
      <c r="A28" s="1028" t="s">
        <v>847</v>
      </c>
      <c r="B28" s="1029" t="s">
        <v>848</v>
      </c>
      <c r="C28" s="1030">
        <v>44820</v>
      </c>
      <c r="D28" s="2352" t="s">
        <v>849</v>
      </c>
      <c r="E28" s="1028" t="s">
        <v>850</v>
      </c>
      <c r="F28" s="1058">
        <v>44377</v>
      </c>
    </row>
    <row r="29" spans="1:7" s="1027" customFormat="1" ht="24" customHeight="1">
      <c r="A29" s="1028"/>
      <c r="B29" s="1028"/>
      <c r="C29" s="2350"/>
      <c r="D29" s="2352" t="s">
        <v>851</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面积及结果汇总</vt:lpstr>
      <vt:lpstr>典型户型修正</vt:lpstr>
      <vt:lpstr>成本法 (商业1)</vt:lpstr>
      <vt:lpstr>假设开发法</vt:lpstr>
      <vt:lpstr>收益法</vt:lpstr>
      <vt:lpstr>成本法 (商业2层)</vt:lpstr>
      <vt:lpstr>成本法 (办公) </vt:lpstr>
      <vt:lpstr>收益法 (商业1)</vt:lpstr>
      <vt:lpstr>收益法（汇总）</vt:lpstr>
      <vt:lpstr>酒店收入计算</vt:lpstr>
      <vt:lpstr>比较法-住宅</vt:lpstr>
      <vt:lpstr>收益法 (商业2层) </vt:lpstr>
      <vt:lpstr>收益法 (办公)</vt:lpstr>
      <vt:lpstr>比较法（商业1）</vt:lpstr>
      <vt:lpstr>比较法（办公）</vt:lpstr>
      <vt:lpstr>案例</vt:lpstr>
      <vt:lpstr>比较法-工业</vt:lpstr>
      <vt:lpstr>比较法-车位</vt:lpstr>
      <vt:lpstr>比较法-仓储</vt:lpstr>
      <vt:lpstr>土地比较法-住宅、综合</vt:lpstr>
      <vt:lpstr>土地比较法-工业</vt:lpstr>
      <vt:lpstr>基准地价修正（商业1）</vt:lpstr>
      <vt:lpstr>修正</vt:lpstr>
      <vt:lpstr>容积率修正</vt:lpstr>
      <vt:lpstr>基准地价修正（商业2层）</vt:lpstr>
      <vt:lpstr>基准地价修正（办公）</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(办公)'!Print_Area</vt:lpstr>
      <vt:lpstr>'收益法 (商业1)'!Print_Area</vt:lpstr>
      <vt:lpstr>'收益法 (商业2层) '!Print_Area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'基准地价修正（商业2层）'!季度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2020-04-07T07:52:54Z</dcterms:modified>
</cp:coreProperties>
</file>