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E5" l="1"/>
  <c r="L3" i="59"/>
  <c r="K3"/>
  <c r="J3"/>
  <c r="I3"/>
  <c r="AH5"/>
  <c r="AG5"/>
  <c r="AE5"/>
  <c r="AF5"/>
  <c r="AD5"/>
  <c r="Q5"/>
  <c r="Q6"/>
  <c r="P5"/>
  <c r="P6"/>
  <c r="O5"/>
  <c r="O6"/>
  <c r="N5"/>
  <c r="N6"/>
  <c r="N7"/>
  <c r="O7"/>
  <c r="P7"/>
  <c r="Q7"/>
  <c r="AD6"/>
  <c r="AE6"/>
  <c r="AF6" s="1"/>
  <c r="AG6"/>
  <c r="AH6"/>
  <c r="M48" i="15"/>
  <c r="B2" i="1"/>
  <c r="F30" s="1"/>
  <c r="B23"/>
  <c r="B13"/>
  <c r="L49" i="15" s="1"/>
  <c r="J50"/>
  <c r="J51"/>
  <c r="B25" i="1"/>
  <c r="AH7" i="59"/>
  <c r="AG7"/>
  <c r="AE7"/>
  <c r="AF7" s="1"/>
  <c r="AD7"/>
  <c r="AH8"/>
  <c r="AG8"/>
  <c r="AE8"/>
  <c r="AF8" s="1"/>
  <c r="AD8"/>
  <c r="Q8"/>
  <c r="P8"/>
  <c r="O8"/>
  <c r="N8"/>
  <c r="Q9"/>
  <c r="P9"/>
  <c r="O9"/>
  <c r="N9"/>
  <c r="D9"/>
  <c r="E8"/>
  <c r="E7" s="1"/>
  <c r="E6" s="1"/>
  <c r="E5" s="1"/>
  <c r="F8"/>
  <c r="F7" s="1"/>
  <c r="F6" s="1"/>
  <c r="F5" s="1"/>
  <c r="C8"/>
  <c r="C7" s="1"/>
  <c r="B8"/>
  <c r="B7" s="1"/>
  <c r="B6" s="1"/>
  <c r="B5" s="1"/>
  <c r="A2" i="50"/>
  <c r="V8" i="59"/>
  <c r="K60" i="15"/>
  <c r="P59" s="1"/>
  <c r="A126" i="57"/>
  <c r="A123" i="9"/>
  <c r="A16" i="54"/>
  <c r="A14"/>
  <c r="A19" i="55"/>
  <c r="A13"/>
  <c r="A1" i="52"/>
  <c r="A4" i="50"/>
  <c r="P10" i="59"/>
  <c r="O10"/>
  <c r="N10"/>
  <c r="Q10"/>
  <c r="C76" i="9"/>
  <c r="C77" i="57"/>
  <c r="J56"/>
  <c r="K55" i="9"/>
  <c r="J55"/>
  <c r="I6" i="4"/>
  <c r="K56" i="9" s="1"/>
  <c r="J57" i="57"/>
  <c r="J58" s="1"/>
  <c r="J60" s="1"/>
  <c r="J62" s="1"/>
  <c r="K57"/>
  <c r="J56" i="9"/>
  <c r="E15" i="62"/>
  <c r="F15"/>
  <c r="E16"/>
  <c r="F16"/>
  <c r="E17"/>
  <c r="F17"/>
  <c r="E18"/>
  <c r="F18"/>
  <c r="E19"/>
  <c r="F19"/>
  <c r="E20"/>
  <c r="F20"/>
  <c r="E21"/>
  <c r="F21"/>
  <c r="E22"/>
  <c r="F22"/>
  <c r="E23"/>
  <c r="F23"/>
  <c r="C14"/>
  <c r="B2" s="1"/>
  <c r="B14"/>
  <c r="B1" s="1"/>
  <c r="B3"/>
  <c r="O11" i="59"/>
  <c r="P11"/>
  <c r="Q11"/>
  <c r="N11"/>
  <c r="AD3"/>
  <c r="AE3"/>
  <c r="AF3"/>
  <c r="AG3"/>
  <c r="AH3"/>
  <c r="AD9"/>
  <c r="AE9"/>
  <c r="AF9" s="1"/>
  <c r="AG9"/>
  <c r="AH9"/>
  <c r="AD10"/>
  <c r="AE10"/>
  <c r="AF10" s="1"/>
  <c r="AG10"/>
  <c r="AH10"/>
  <c r="AD11"/>
  <c r="AE11"/>
  <c r="AF11" s="1"/>
  <c r="AG11"/>
  <c r="AH11"/>
  <c r="AD12"/>
  <c r="AE12"/>
  <c r="AF12"/>
  <c r="AG12"/>
  <c r="AH12"/>
  <c r="AD13"/>
  <c r="AE13"/>
  <c r="AF13" s="1"/>
  <c r="AG13"/>
  <c r="AH13"/>
  <c r="AD14"/>
  <c r="AE14"/>
  <c r="AF14" s="1"/>
  <c r="AG14"/>
  <c r="AH14"/>
  <c r="AD15"/>
  <c r="AE15"/>
  <c r="AF15" s="1"/>
  <c r="AG15"/>
  <c r="AH15"/>
  <c r="AD16"/>
  <c r="AE16"/>
  <c r="AF16"/>
  <c r="AG16"/>
  <c r="AH16"/>
  <c r="AD17"/>
  <c r="AE17"/>
  <c r="AF17" s="1"/>
  <c r="AG17"/>
  <c r="AH17"/>
  <c r="AD18"/>
  <c r="AE18"/>
  <c r="AF18" s="1"/>
  <c r="AG18"/>
  <c r="AH18"/>
  <c r="AD19"/>
  <c r="AE19"/>
  <c r="AF19" s="1"/>
  <c r="AG19"/>
  <c r="AH19"/>
  <c r="AD20"/>
  <c r="AE20"/>
  <c r="AF20"/>
  <c r="AG20"/>
  <c r="AH20"/>
  <c r="AD21"/>
  <c r="AE21"/>
  <c r="AF21" s="1"/>
  <c r="AG21"/>
  <c r="AH21"/>
  <c r="AD22"/>
  <c r="AE22"/>
  <c r="AF22" s="1"/>
  <c r="AG22"/>
  <c r="AH22"/>
  <c r="AH23"/>
  <c r="AG23"/>
  <c r="AE23"/>
  <c r="AD23"/>
  <c r="AF23"/>
  <c r="AD24"/>
  <c r="AE24"/>
  <c r="AF24" s="1"/>
  <c r="AG24"/>
  <c r="AH24"/>
  <c r="S5" i="31"/>
  <c r="M5"/>
  <c r="N5"/>
  <c r="O5"/>
  <c r="P5"/>
  <c r="Q5"/>
  <c r="R5"/>
  <c r="C1" i="61"/>
  <c r="L1" s="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C7"/>
  <c r="C15" s="1"/>
  <c r="C35"/>
  <c r="B24" i="60"/>
  <c r="C34" i="50"/>
  <c r="C33"/>
  <c r="C12"/>
  <c r="C14"/>
  <c r="C13"/>
  <c r="B13" i="60"/>
  <c r="C42" i="50"/>
  <c r="C36"/>
  <c r="C39"/>
  <c r="I19" i="43"/>
  <c r="A135" i="57"/>
  <c r="F118"/>
  <c r="D73" i="59"/>
  <c r="F72"/>
  <c r="F71" s="1"/>
  <c r="F70" s="1"/>
  <c r="E72"/>
  <c r="E71"/>
  <c r="E70" s="1"/>
  <c r="C72"/>
  <c r="D72" s="1"/>
  <c r="B72"/>
  <c r="B71" s="1"/>
  <c r="B70" s="1"/>
  <c r="D69"/>
  <c r="F68"/>
  <c r="F67" s="1"/>
  <c r="F66" s="1"/>
  <c r="E68"/>
  <c r="E67" s="1"/>
  <c r="E66" s="1"/>
  <c r="C68"/>
  <c r="D68" s="1"/>
  <c r="B68"/>
  <c r="B67" s="1"/>
  <c r="B66"/>
  <c r="D65"/>
  <c r="S64"/>
  <c r="Q64"/>
  <c r="P64"/>
  <c r="O64"/>
  <c r="N64"/>
  <c r="F64"/>
  <c r="V64"/>
  <c r="E64"/>
  <c r="U64"/>
  <c r="C64"/>
  <c r="T64"/>
  <c r="B64"/>
  <c r="Q63"/>
  <c r="P63"/>
  <c r="O63"/>
  <c r="N63"/>
  <c r="F63"/>
  <c r="F62" s="1"/>
  <c r="B63"/>
  <c r="B62" s="1"/>
  <c r="Q62"/>
  <c r="P62"/>
  <c r="O62"/>
  <c r="N62"/>
  <c r="Q61"/>
  <c r="P61"/>
  <c r="O61"/>
  <c r="N61"/>
  <c r="D61"/>
  <c r="Q60"/>
  <c r="P60"/>
  <c r="O60"/>
  <c r="N60"/>
  <c r="F60"/>
  <c r="E60"/>
  <c r="U60" s="1"/>
  <c r="C60"/>
  <c r="T60" s="1"/>
  <c r="B60"/>
  <c r="S60" s="1"/>
  <c r="Q59"/>
  <c r="P59"/>
  <c r="O59"/>
  <c r="N59"/>
  <c r="Q58"/>
  <c r="P58"/>
  <c r="O58"/>
  <c r="N58"/>
  <c r="Q57"/>
  <c r="P57"/>
  <c r="O57"/>
  <c r="N57"/>
  <c r="D57"/>
  <c r="Q56"/>
  <c r="P56"/>
  <c r="O56"/>
  <c r="N56"/>
  <c r="F56"/>
  <c r="V56" s="1"/>
  <c r="E56"/>
  <c r="C56"/>
  <c r="B56"/>
  <c r="S56" s="1"/>
  <c r="Q55"/>
  <c r="P55"/>
  <c r="O55"/>
  <c r="N55"/>
  <c r="Q54"/>
  <c r="P54"/>
  <c r="O54"/>
  <c r="N54"/>
  <c r="Q53"/>
  <c r="P53"/>
  <c r="O53"/>
  <c r="N53"/>
  <c r="D53"/>
  <c r="F52"/>
  <c r="V52" s="1"/>
  <c r="E52"/>
  <c r="E51" s="1"/>
  <c r="C52"/>
  <c r="B52"/>
  <c r="S52" s="1"/>
  <c r="B51"/>
  <c r="D49"/>
  <c r="Q48"/>
  <c r="P48"/>
  <c r="O48"/>
  <c r="N48"/>
  <c r="Q47"/>
  <c r="P47"/>
  <c r="O47"/>
  <c r="N47"/>
  <c r="Q46"/>
  <c r="P46"/>
  <c r="O46"/>
  <c r="N46"/>
  <c r="Q45"/>
  <c r="F46" s="1"/>
  <c r="F47" s="1"/>
  <c r="F48" s="1"/>
  <c r="V48" s="1"/>
  <c r="P45"/>
  <c r="E46" s="1"/>
  <c r="O45"/>
  <c r="C46" s="1"/>
  <c r="N45"/>
  <c r="B46" s="1"/>
  <c r="B47" s="1"/>
  <c r="B48" s="1"/>
  <c r="S48" s="1"/>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Q38"/>
  <c r="P38"/>
  <c r="O38"/>
  <c r="N38"/>
  <c r="Q37"/>
  <c r="F38" s="1"/>
  <c r="F39" s="1"/>
  <c r="F40" s="1"/>
  <c r="V40" s="1"/>
  <c r="P37"/>
  <c r="E38" s="1"/>
  <c r="O37"/>
  <c r="C38" s="1"/>
  <c r="N37"/>
  <c r="B38" s="1"/>
  <c r="B39" s="1"/>
  <c r="B40" s="1"/>
  <c r="S40" s="1"/>
  <c r="D37"/>
  <c r="Q36"/>
  <c r="P36"/>
  <c r="O36"/>
  <c r="N36"/>
  <c r="Q35"/>
  <c r="P35"/>
  <c r="O35"/>
  <c r="N35"/>
  <c r="Q34"/>
  <c r="P34"/>
  <c r="O34"/>
  <c r="N34"/>
  <c r="Q33"/>
  <c r="F34"/>
  <c r="F35" s="1"/>
  <c r="F36" s="1"/>
  <c r="V36" s="1"/>
  <c r="P33"/>
  <c r="E34" s="1"/>
  <c r="O33"/>
  <c r="C34" s="1"/>
  <c r="N33"/>
  <c r="B34" s="1"/>
  <c r="B35" s="1"/>
  <c r="B36" s="1"/>
  <c r="S36" s="1"/>
  <c r="D33"/>
  <c r="T32"/>
  <c r="Q32"/>
  <c r="P32"/>
  <c r="O32"/>
  <c r="N32"/>
  <c r="D32"/>
  <c r="Q31"/>
  <c r="P31"/>
  <c r="O31"/>
  <c r="N31"/>
  <c r="Q30"/>
  <c r="P30"/>
  <c r="O30"/>
  <c r="N30"/>
  <c r="Q29"/>
  <c r="F30" s="1"/>
  <c r="F31" s="1"/>
  <c r="F32" s="1"/>
  <c r="V32" s="1"/>
  <c r="P29"/>
  <c r="E30" s="1"/>
  <c r="E31" s="1"/>
  <c r="E32" s="1"/>
  <c r="U32" s="1"/>
  <c r="O29"/>
  <c r="C30"/>
  <c r="N29"/>
  <c r="B30"/>
  <c r="B31" s="1"/>
  <c r="B32" s="1"/>
  <c r="S32" s="1"/>
  <c r="D29"/>
  <c r="Q28"/>
  <c r="P28"/>
  <c r="O28"/>
  <c r="N28"/>
  <c r="Q27"/>
  <c r="P27"/>
  <c r="O27"/>
  <c r="N27"/>
  <c r="Q26"/>
  <c r="P26"/>
  <c r="O26"/>
  <c r="N26"/>
  <c r="Q25"/>
  <c r="F26" s="1"/>
  <c r="F27" s="1"/>
  <c r="F28" s="1"/>
  <c r="V28" s="1"/>
  <c r="P25"/>
  <c r="E26" s="1"/>
  <c r="E27" s="1"/>
  <c r="E28" s="1"/>
  <c r="U28" s="1"/>
  <c r="O25"/>
  <c r="C26" s="1"/>
  <c r="N25"/>
  <c r="B26" s="1"/>
  <c r="B27" s="1"/>
  <c r="B28" s="1"/>
  <c r="S28" s="1"/>
  <c r="D25"/>
  <c r="Q24"/>
  <c r="P24"/>
  <c r="O24"/>
  <c r="N24"/>
  <c r="Q23"/>
  <c r="AB23" s="1"/>
  <c r="P23"/>
  <c r="AA23" s="1"/>
  <c r="O23"/>
  <c r="Y23" s="1"/>
  <c r="Z23" s="1"/>
  <c r="N23"/>
  <c r="X23" s="1"/>
  <c r="Q22"/>
  <c r="P22"/>
  <c r="O22"/>
  <c r="Y22" s="1"/>
  <c r="Z22" s="1"/>
  <c r="N22"/>
  <c r="X22" s="1"/>
  <c r="Q21"/>
  <c r="P21"/>
  <c r="AA21" s="1"/>
  <c r="O21"/>
  <c r="Y21" s="1"/>
  <c r="Z21" s="1"/>
  <c r="N21"/>
  <c r="B22" s="1"/>
  <c r="B23" s="1"/>
  <c r="B24" s="1"/>
  <c r="S24" s="1"/>
  <c r="D21"/>
  <c r="Q20"/>
  <c r="P20"/>
  <c r="AA20" s="1"/>
  <c r="O20"/>
  <c r="N20"/>
  <c r="X20" s="1"/>
  <c r="Q19"/>
  <c r="P19"/>
  <c r="AA19" s="1"/>
  <c r="O19"/>
  <c r="N19"/>
  <c r="X19" s="1"/>
  <c r="Q18"/>
  <c r="P18"/>
  <c r="AA18" s="1"/>
  <c r="O18"/>
  <c r="N18"/>
  <c r="X18" s="1"/>
  <c r="Q17"/>
  <c r="P17"/>
  <c r="O17"/>
  <c r="C18"/>
  <c r="C19" s="1"/>
  <c r="N17"/>
  <c r="B18"/>
  <c r="B19" s="1"/>
  <c r="B20" s="1"/>
  <c r="S20" s="1"/>
  <c r="D17"/>
  <c r="Q16"/>
  <c r="P16"/>
  <c r="O16"/>
  <c r="Y16" s="1"/>
  <c r="Z16" s="1"/>
  <c r="N16"/>
  <c r="Q15"/>
  <c r="P15"/>
  <c r="O15"/>
  <c r="Y15" s="1"/>
  <c r="Z15" s="1"/>
  <c r="N15"/>
  <c r="Q14"/>
  <c r="P14"/>
  <c r="O14"/>
  <c r="Y14" s="1"/>
  <c r="Z14" s="1"/>
  <c r="N14"/>
  <c r="Q13"/>
  <c r="AB13" s="1"/>
  <c r="P13"/>
  <c r="O13"/>
  <c r="Y13" s="1"/>
  <c r="Z13" s="1"/>
  <c r="N13"/>
  <c r="B14" s="1"/>
  <c r="B15" s="1"/>
  <c r="B16" s="1"/>
  <c r="S16" s="1"/>
  <c r="D13"/>
  <c r="O12"/>
  <c r="N12"/>
  <c r="B12" s="1"/>
  <c r="C12"/>
  <c r="T12"/>
  <c r="X3"/>
  <c r="C31"/>
  <c r="D31" s="1"/>
  <c r="D30"/>
  <c r="P12"/>
  <c r="E39"/>
  <c r="E40" s="1"/>
  <c r="U40" s="1"/>
  <c r="E43"/>
  <c r="E44" s="1"/>
  <c r="U44" s="1"/>
  <c r="E47"/>
  <c r="E48"/>
  <c r="U48" s="1"/>
  <c r="U56"/>
  <c r="E55"/>
  <c r="E54" s="1"/>
  <c r="Q12"/>
  <c r="F12" s="1"/>
  <c r="C39"/>
  <c r="D39" s="1"/>
  <c r="D38"/>
  <c r="C43"/>
  <c r="D43" s="1"/>
  <c r="D42"/>
  <c r="C47"/>
  <c r="D47" s="1"/>
  <c r="D46"/>
  <c r="N51"/>
  <c r="B50"/>
  <c r="N50" s="1"/>
  <c r="T52"/>
  <c r="O52"/>
  <c r="D52"/>
  <c r="C51"/>
  <c r="C50" s="1"/>
  <c r="T56"/>
  <c r="D56"/>
  <c r="C55"/>
  <c r="Q52"/>
  <c r="C59"/>
  <c r="E59"/>
  <c r="E58" s="1"/>
  <c r="D60"/>
  <c r="C63"/>
  <c r="D63" s="1"/>
  <c r="E63"/>
  <c r="E62" s="1"/>
  <c r="D64"/>
  <c r="C67"/>
  <c r="C71"/>
  <c r="D71" s="1"/>
  <c r="AB3"/>
  <c r="AB10"/>
  <c r="AB12"/>
  <c r="E12"/>
  <c r="E11" s="1"/>
  <c r="E10" s="1"/>
  <c r="AA11"/>
  <c r="AA3"/>
  <c r="C11"/>
  <c r="C10" s="1"/>
  <c r="D10" s="1"/>
  <c r="D12"/>
  <c r="D67"/>
  <c r="C66"/>
  <c r="D66"/>
  <c r="D59"/>
  <c r="C58"/>
  <c r="D58" s="1"/>
  <c r="C54"/>
  <c r="D54" s="1"/>
  <c r="D55"/>
  <c r="C70"/>
  <c r="D70" s="1"/>
  <c r="C62"/>
  <c r="D62" s="1"/>
  <c r="O51"/>
  <c r="C48"/>
  <c r="D48" s="1"/>
  <c r="C44"/>
  <c r="D44" s="1"/>
  <c r="C40"/>
  <c r="D40" s="1"/>
  <c r="N49"/>
  <c r="D11"/>
  <c r="T40"/>
  <c r="T44"/>
  <c r="T48"/>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21"/>
  <c r="AA21" s="1"/>
  <c r="C21"/>
  <c r="G20" i="20"/>
  <c r="B86" i="43" s="1"/>
  <c r="C22" i="20"/>
  <c r="B66" i="43" s="1"/>
  <c r="AB25" i="40"/>
  <c r="S25"/>
  <c r="S18" i="36"/>
  <c r="W18" i="35"/>
  <c r="U18"/>
  <c r="U21" i="37"/>
  <c r="S21" i="34"/>
  <c r="U21" i="33"/>
  <c r="S21"/>
  <c r="J25" i="40"/>
  <c r="J27" i="39"/>
  <c r="H27"/>
  <c r="F27"/>
  <c r="H18" i="36"/>
  <c r="J18"/>
  <c r="J21" i="37"/>
  <c r="F84" i="34"/>
  <c r="H21"/>
  <c r="J21" i="33"/>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1" i="58"/>
  <c r="C27"/>
  <c r="C32" s="1"/>
  <c r="I23"/>
  <c r="D20"/>
  <c r="I19"/>
  <c r="I18"/>
  <c r="I17"/>
  <c r="I20" s="1"/>
  <c r="E15"/>
  <c r="I14"/>
  <c r="I13"/>
  <c r="I12"/>
  <c r="I15" s="1"/>
  <c r="I9"/>
  <c r="I8"/>
  <c r="I7"/>
  <c r="I6"/>
  <c r="I5"/>
  <c r="I4"/>
  <c r="I3"/>
  <c r="I10" s="1"/>
  <c r="I21" s="1"/>
  <c r="G57" i="40"/>
  <c r="G56"/>
  <c r="C56" s="1"/>
  <c r="B21" i="50"/>
  <c r="B42" s="1"/>
  <c r="D1" i="43"/>
  <c r="F113"/>
  <c r="N99"/>
  <c r="N108" s="1"/>
  <c r="M99"/>
  <c r="L99"/>
  <c r="L108" s="1"/>
  <c r="K99"/>
  <c r="K108" s="1"/>
  <c r="J99"/>
  <c r="J108" s="1"/>
  <c r="I99"/>
  <c r="H99"/>
  <c r="H108" s="1"/>
  <c r="G99"/>
  <c r="G108" s="1"/>
  <c r="F99"/>
  <c r="E99"/>
  <c r="D99"/>
  <c r="D108" s="1"/>
  <c r="C99"/>
  <c r="C108" s="1"/>
  <c r="G100"/>
  <c r="D100"/>
  <c r="H100"/>
  <c r="J100"/>
  <c r="N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c r="R448"/>
  <c r="T448"/>
  <c r="R449"/>
  <c r="R450"/>
  <c r="T450" s="1"/>
  <c r="R451"/>
  <c r="R452"/>
  <c r="T452" s="1"/>
  <c r="R453"/>
  <c r="T453" s="1"/>
  <c r="R454"/>
  <c r="R455"/>
  <c r="T455" s="1"/>
  <c r="R456"/>
  <c r="T456" s="1"/>
  <c r="R457"/>
  <c r="T457" s="1"/>
  <c r="R458"/>
  <c r="R459"/>
  <c r="T459"/>
  <c r="R460"/>
  <c r="T460"/>
  <c r="R461"/>
  <c r="T46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s="1"/>
  <c r="G2" i="43"/>
  <c r="F33" s="1"/>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C18"/>
  <c r="F15"/>
  <c r="E15"/>
  <c r="D15"/>
  <c r="C15"/>
  <c r="C10"/>
  <c r="C11" s="1"/>
  <c r="C9"/>
  <c r="A7"/>
  <c r="E1" i="61"/>
  <c r="E31" i="1"/>
  <c r="E29" s="1"/>
  <c r="G1" i="15"/>
  <c r="F35" i="11"/>
  <c r="F38"/>
  <c r="E37"/>
  <c r="F20"/>
  <c r="F21"/>
  <c r="C40" s="1"/>
  <c r="C47" s="1"/>
  <c r="D45" s="1"/>
  <c r="F7"/>
  <c r="F12" i="12"/>
  <c r="F13"/>
  <c r="F15"/>
  <c r="E14"/>
  <c r="E19"/>
  <c r="E20"/>
  <c r="E17"/>
  <c r="F22"/>
  <c r="F23"/>
  <c r="F24"/>
  <c r="C24" s="1"/>
  <c r="C17" i="9"/>
  <c r="D17"/>
  <c r="I55"/>
  <c r="F55" s="1"/>
  <c r="O53" s="1"/>
  <c r="D89"/>
  <c r="C89" s="1"/>
  <c r="C87" s="1"/>
  <c r="E15" i="1"/>
  <c r="E19" i="11" s="1"/>
  <c r="E40" i="1"/>
  <c r="F34" i="15" s="1"/>
  <c r="F63" s="1"/>
  <c r="E59" i="9"/>
  <c r="N55"/>
  <c r="F59"/>
  <c r="O55"/>
  <c r="N54"/>
  <c r="N53"/>
  <c r="E48"/>
  <c r="N52"/>
  <c r="F56"/>
  <c r="O54"/>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c r="C79" i="35"/>
  <c r="J31"/>
  <c r="H31"/>
  <c r="AB31"/>
  <c r="F31"/>
  <c r="D87"/>
  <c r="E87" s="1"/>
  <c r="F87" s="1"/>
  <c r="G87" s="1"/>
  <c r="H87" s="1"/>
  <c r="I87" s="1"/>
  <c r="J87" s="1"/>
  <c r="K87" s="1"/>
  <c r="L87" s="1"/>
  <c r="M87" s="1"/>
  <c r="H29"/>
  <c r="H34" i="37"/>
  <c r="AB34"/>
  <c r="D101"/>
  <c r="F34"/>
  <c r="AA34" s="1"/>
  <c r="D99"/>
  <c r="E99" s="1"/>
  <c r="F99"/>
  <c r="G99" s="1"/>
  <c r="H42" i="34"/>
  <c r="J42"/>
  <c r="AC42" s="1"/>
  <c r="F42"/>
  <c r="J38"/>
  <c r="D114"/>
  <c r="D112"/>
  <c r="E112" s="1"/>
  <c r="F112"/>
  <c r="G112" s="1"/>
  <c r="H112" s="1"/>
  <c r="I112" s="1"/>
  <c r="J112" s="1"/>
  <c r="K112" s="1"/>
  <c r="L112" s="1"/>
  <c r="M112" s="1"/>
  <c r="F40" i="33"/>
  <c r="J41"/>
  <c r="W41" s="1"/>
  <c r="D113"/>
  <c r="E113" s="1"/>
  <c r="F113" s="1"/>
  <c r="G113" s="1"/>
  <c r="H113" s="1"/>
  <c r="I113" s="1"/>
  <c r="J113" s="1"/>
  <c r="K113" s="1"/>
  <c r="L113" s="1"/>
  <c r="M113" s="1"/>
  <c r="F37"/>
  <c r="S37" s="1"/>
  <c r="D111"/>
  <c r="E111" s="1"/>
  <c r="F111" s="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c r="F100" s="1"/>
  <c r="G100" s="1"/>
  <c r="H100" s="1"/>
  <c r="I100" s="1"/>
  <c r="J100" s="1"/>
  <c r="K100" s="1"/>
  <c r="L100" s="1"/>
  <c r="M100" s="1"/>
  <c r="D98"/>
  <c r="E98" s="1"/>
  <c r="D96"/>
  <c r="E96" s="1"/>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H12" s="1"/>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F8"/>
  <c r="AA8"/>
  <c r="C20" i="36"/>
  <c r="C20" i="35"/>
  <c r="C16" i="36"/>
  <c r="C16" i="35"/>
  <c r="C14" i="36"/>
  <c r="C14" i="35"/>
  <c r="B80" i="37"/>
  <c r="H25"/>
  <c r="U25" s="1"/>
  <c r="B110"/>
  <c r="J39" s="1"/>
  <c r="AC39"/>
  <c r="B108"/>
  <c r="C23"/>
  <c r="C19"/>
  <c r="C17"/>
  <c r="C15"/>
  <c r="B112"/>
  <c r="H40" s="1"/>
  <c r="D107"/>
  <c r="E107" s="1"/>
  <c r="F107" s="1"/>
  <c r="G107" s="1"/>
  <c r="H107" s="1"/>
  <c r="I107" s="1"/>
  <c r="J107" s="1"/>
  <c r="K107" s="1"/>
  <c r="L107" s="1"/>
  <c r="M107" s="1"/>
  <c r="D105"/>
  <c r="E105" s="1"/>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F31"/>
  <c r="S31" s="1"/>
  <c r="M86"/>
  <c r="L86"/>
  <c r="K86"/>
  <c r="J86"/>
  <c r="I86"/>
  <c r="H86"/>
  <c r="G86"/>
  <c r="F86"/>
  <c r="E86"/>
  <c r="D86"/>
  <c r="C86"/>
  <c r="D85"/>
  <c r="H29"/>
  <c r="D81"/>
  <c r="E81" s="1"/>
  <c r="F81" s="1"/>
  <c r="G81" s="1"/>
  <c r="H81" s="1"/>
  <c r="I81" s="1"/>
  <c r="J81" s="1"/>
  <c r="K81" s="1"/>
  <c r="L81" s="1"/>
  <c r="M81" s="1"/>
  <c r="G79"/>
  <c r="F79"/>
  <c r="E79"/>
  <c r="D79"/>
  <c r="C79"/>
  <c r="B93"/>
  <c r="H33"/>
  <c r="AB33" s="1"/>
  <c r="B91"/>
  <c r="F32" s="1"/>
  <c r="B95"/>
  <c r="H34" s="1"/>
  <c r="D83"/>
  <c r="E83"/>
  <c r="D78"/>
  <c r="E78"/>
  <c r="F78" s="1"/>
  <c r="G78" s="1"/>
  <c r="H78" s="1"/>
  <c r="I78" s="1"/>
  <c r="J78" s="1"/>
  <c r="K78" s="1"/>
  <c r="L78" s="1"/>
  <c r="M78" s="1"/>
  <c r="B75"/>
  <c r="B73"/>
  <c r="B71"/>
  <c r="D70"/>
  <c r="H22"/>
  <c r="AB22"/>
  <c r="D68"/>
  <c r="E68"/>
  <c r="F68" s="1"/>
  <c r="G68" s="1"/>
  <c r="D64"/>
  <c r="E64"/>
  <c r="F64" s="1"/>
  <c r="G64" s="1"/>
  <c r="J16"/>
  <c r="W16"/>
  <c r="D62"/>
  <c r="E62"/>
  <c r="F62" s="1"/>
  <c r="G62" s="1"/>
  <c r="H14"/>
  <c r="AB14"/>
  <c r="B59"/>
  <c r="B57"/>
  <c r="F12" s="1"/>
  <c r="AA12" s="1"/>
  <c r="B55"/>
  <c r="F54"/>
  <c r="G54" s="1"/>
  <c r="H54" s="1"/>
  <c r="I54" s="1"/>
  <c r="C51"/>
  <c r="H9" s="1"/>
  <c r="AB9" s="1"/>
  <c r="P37"/>
  <c r="P36"/>
  <c r="V35"/>
  <c r="T35"/>
  <c r="R35"/>
  <c r="P35"/>
  <c r="Q34"/>
  <c r="Z34" s="1"/>
  <c r="Q33"/>
  <c r="Z33" s="1"/>
  <c r="Q32"/>
  <c r="Z32" s="1"/>
  <c r="Q31"/>
  <c r="Z31" s="1"/>
  <c r="Q30"/>
  <c r="Z30" s="1"/>
  <c r="Q29"/>
  <c r="Z29" s="1"/>
  <c r="Q28"/>
  <c r="Z28" s="1"/>
  <c r="J28"/>
  <c r="AC28" s="1"/>
  <c r="Q27"/>
  <c r="Z27" s="1"/>
  <c r="Q26"/>
  <c r="Z26" s="1"/>
  <c r="H26"/>
  <c r="Q25"/>
  <c r="Z25" s="1"/>
  <c r="Q24"/>
  <c r="Z24" s="1"/>
  <c r="Q23"/>
  <c r="Z23" s="1"/>
  <c r="J23"/>
  <c r="AC23" s="1"/>
  <c r="H23"/>
  <c r="F23"/>
  <c r="Q22"/>
  <c r="Z22" s="1"/>
  <c r="J22"/>
  <c r="Q20"/>
  <c r="Z20" s="1"/>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F13" s="1"/>
  <c r="B59"/>
  <c r="B131" i="34"/>
  <c r="F47" s="1"/>
  <c r="B129"/>
  <c r="B127"/>
  <c r="H45" s="1"/>
  <c r="B99"/>
  <c r="B97"/>
  <c r="H31" s="1"/>
  <c r="B95"/>
  <c r="B93"/>
  <c r="J29" s="1"/>
  <c r="B75"/>
  <c r="B73"/>
  <c r="J13" s="1"/>
  <c r="B71"/>
  <c r="B130" i="33"/>
  <c r="F46" s="1"/>
  <c r="B128"/>
  <c r="B126"/>
  <c r="J44" s="1"/>
  <c r="AC44" s="1"/>
  <c r="B98"/>
  <c r="B96"/>
  <c r="B94"/>
  <c r="B74"/>
  <c r="F14" s="1"/>
  <c r="AA14" s="1"/>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AC8"/>
  <c r="H8"/>
  <c r="AB8"/>
  <c r="F8"/>
  <c r="AA8" s="1"/>
  <c r="C7"/>
  <c r="C48" s="1"/>
  <c r="D48" s="1"/>
  <c r="E48" s="1"/>
  <c r="D120" i="34"/>
  <c r="E120"/>
  <c r="F120" s="1"/>
  <c r="G120" s="1"/>
  <c r="H120" s="1"/>
  <c r="I120" s="1"/>
  <c r="J120" s="1"/>
  <c r="K120" s="1"/>
  <c r="L120" s="1"/>
  <c r="M120" s="1"/>
  <c r="D90"/>
  <c r="E90"/>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F28" s="1"/>
  <c r="B89"/>
  <c r="J27"/>
  <c r="D88"/>
  <c r="E88"/>
  <c r="F88" s="1"/>
  <c r="G88" s="1"/>
  <c r="H88" s="1"/>
  <c r="I88" s="1"/>
  <c r="J88" s="1"/>
  <c r="K88" s="1"/>
  <c r="L88" s="1"/>
  <c r="M88" s="1"/>
  <c r="D86"/>
  <c r="E86"/>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c r="Q13"/>
  <c r="Z13"/>
  <c r="Q12"/>
  <c r="Z12"/>
  <c r="J12"/>
  <c r="H12"/>
  <c r="U12" s="1"/>
  <c r="F12"/>
  <c r="Q11"/>
  <c r="Z11" s="1"/>
  <c r="Q10"/>
  <c r="Z10" s="1"/>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H12"/>
  <c r="U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C18"/>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s="1"/>
  <c r="AA12" s="1"/>
  <c r="F10"/>
  <c r="AA10" s="1"/>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F36"/>
  <c r="S36" s="1"/>
  <c r="F39"/>
  <c r="S39" s="1"/>
  <c r="H35"/>
  <c r="AB35" s="1"/>
  <c r="J8"/>
  <c r="AC8" s="1"/>
  <c r="J9"/>
  <c r="H8"/>
  <c r="U8" s="1"/>
  <c r="H9"/>
  <c r="AB9" s="1"/>
  <c r="H10"/>
  <c r="AB10" s="1"/>
  <c r="H36"/>
  <c r="U36" s="1"/>
  <c r="F35"/>
  <c r="AA35" s="1"/>
  <c r="J33"/>
  <c r="W33" s="1"/>
  <c r="H33"/>
  <c r="F33"/>
  <c r="AA33" s="1"/>
  <c r="J10"/>
  <c r="AC10" s="1"/>
  <c r="H26"/>
  <c r="AB26" s="1"/>
  <c r="F19"/>
  <c r="AA19" s="1"/>
  <c r="H19"/>
  <c r="AB19" s="1"/>
  <c r="J19"/>
  <c r="W19" s="1"/>
  <c r="J12"/>
  <c r="AC12" s="1"/>
  <c r="H12"/>
  <c r="AB12" s="1"/>
  <c r="J26"/>
  <c r="W26" s="1"/>
  <c r="F26"/>
  <c r="S26" s="1"/>
  <c r="AB41"/>
  <c r="U41"/>
  <c r="S41"/>
  <c r="AA41"/>
  <c r="W41"/>
  <c r="F45" i="39"/>
  <c r="J45"/>
  <c r="W45" s="1"/>
  <c r="J44"/>
  <c r="F36"/>
  <c r="S36"/>
  <c r="H36"/>
  <c r="AB36"/>
  <c r="J36"/>
  <c r="AC36"/>
  <c r="S8"/>
  <c r="U38"/>
  <c r="H32" i="37"/>
  <c r="AB32"/>
  <c r="U8"/>
  <c r="W31"/>
  <c r="F39"/>
  <c r="S39"/>
  <c r="S30"/>
  <c r="W30"/>
  <c r="F29" i="36"/>
  <c r="AA29" s="1"/>
  <c r="F16"/>
  <c r="S16" s="1"/>
  <c r="U22"/>
  <c r="AA31"/>
  <c r="AC31"/>
  <c r="W31"/>
  <c r="J33"/>
  <c r="W33" s="1"/>
  <c r="H22" i="35"/>
  <c r="AB22"/>
  <c r="U31"/>
  <c r="S32"/>
  <c r="S31"/>
  <c r="W31"/>
  <c r="U32"/>
  <c r="F36" i="34"/>
  <c r="AA36" s="1"/>
  <c r="U39"/>
  <c r="H39" i="33"/>
  <c r="AB39" s="1"/>
  <c r="F26"/>
  <c r="S40"/>
  <c r="W8" i="21"/>
  <c r="AC38"/>
  <c r="H39" i="37"/>
  <c r="AB39" s="1"/>
  <c r="F11" i="40"/>
  <c r="AA11" s="1"/>
  <c r="S8"/>
  <c r="H11"/>
  <c r="AB11"/>
  <c r="W8"/>
  <c r="U9"/>
  <c r="S34"/>
  <c r="U34"/>
  <c r="F42" i="39"/>
  <c r="AA42"/>
  <c r="F41"/>
  <c r="AA41"/>
  <c r="H40"/>
  <c r="AB40"/>
  <c r="H39"/>
  <c r="U39"/>
  <c r="S38"/>
  <c r="H34"/>
  <c r="AB34" s="1"/>
  <c r="E109"/>
  <c r="F109" s="1"/>
  <c r="G109" s="1"/>
  <c r="H109" s="1"/>
  <c r="I109" s="1"/>
  <c r="J109" s="1"/>
  <c r="K109" s="1"/>
  <c r="L109" s="1"/>
  <c r="M109" s="1"/>
  <c r="H31"/>
  <c r="AB31" s="1"/>
  <c r="E103"/>
  <c r="H19"/>
  <c r="AB19"/>
  <c r="F19"/>
  <c r="S19"/>
  <c r="H17"/>
  <c r="U17"/>
  <c r="F17"/>
  <c r="AA17"/>
  <c r="J23" i="40"/>
  <c r="AC23"/>
  <c r="H42" i="39"/>
  <c r="AB42"/>
  <c r="J34"/>
  <c r="AC34"/>
  <c r="F103"/>
  <c r="H29"/>
  <c r="U29"/>
  <c r="J19"/>
  <c r="AC19"/>
  <c r="J17"/>
  <c r="W17" s="1"/>
  <c r="J29"/>
  <c r="AC29" s="1"/>
  <c r="F29"/>
  <c r="AA29" s="1"/>
  <c r="F11" i="21"/>
  <c r="S11" s="1"/>
  <c r="C21" i="39"/>
  <c r="H11"/>
  <c r="AB11" s="1"/>
  <c r="AB39"/>
  <c r="H11" i="21"/>
  <c r="U11"/>
  <c r="J11"/>
  <c r="AC11"/>
  <c r="H36" i="40"/>
  <c r="U36" s="1"/>
  <c r="F35"/>
  <c r="S35" s="1"/>
  <c r="J30"/>
  <c r="W30" s="1"/>
  <c r="F30"/>
  <c r="AA30" s="1"/>
  <c r="F96"/>
  <c r="G96" s="1"/>
  <c r="H96" s="1"/>
  <c r="I96" s="1"/>
  <c r="J96" s="1"/>
  <c r="K96" s="1"/>
  <c r="L96" s="1"/>
  <c r="M96" s="1"/>
  <c r="H23"/>
  <c r="AB23" s="1"/>
  <c r="J11"/>
  <c r="W11" s="1"/>
  <c r="S44" i="39"/>
  <c r="J34" i="36"/>
  <c r="U30"/>
  <c r="J30" i="35"/>
  <c r="W30" s="1"/>
  <c r="H30"/>
  <c r="AB30" s="1"/>
  <c r="F22"/>
  <c r="AA22" s="1"/>
  <c r="H10"/>
  <c r="U10" s="1"/>
  <c r="U33" i="36"/>
  <c r="F33"/>
  <c r="S33" s="1"/>
  <c r="E85"/>
  <c r="F85" s="1"/>
  <c r="G85" s="1"/>
  <c r="H85" s="1"/>
  <c r="I85" s="1"/>
  <c r="J85" s="1"/>
  <c r="K85" s="1"/>
  <c r="L85" s="1"/>
  <c r="M85" s="1"/>
  <c r="J29"/>
  <c r="AC29" s="1"/>
  <c r="F34"/>
  <c r="AA34" s="1"/>
  <c r="H20"/>
  <c r="J20"/>
  <c r="W20" s="1"/>
  <c r="AB8"/>
  <c r="F14" i="35"/>
  <c r="F23"/>
  <c r="AA23" s="1"/>
  <c r="J32"/>
  <c r="AC32" s="1"/>
  <c r="J16"/>
  <c r="W16" s="1"/>
  <c r="H14"/>
  <c r="AB14" s="1"/>
  <c r="H33"/>
  <c r="AB33" s="1"/>
  <c r="S8"/>
  <c r="W8"/>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J19"/>
  <c r="W19" s="1"/>
  <c r="J15"/>
  <c r="AC15" s="1"/>
  <c r="H15"/>
  <c r="AB15" s="1"/>
  <c r="J10"/>
  <c r="W10" s="1"/>
  <c r="H10"/>
  <c r="AB10" s="1"/>
  <c r="F41" i="33"/>
  <c r="S41" s="1"/>
  <c r="J34"/>
  <c r="F36"/>
  <c r="S36" s="1"/>
  <c r="F25"/>
  <c r="AA25" s="1"/>
  <c r="J25"/>
  <c r="AC25" s="1"/>
  <c r="H25"/>
  <c r="AB25" s="1"/>
  <c r="J23"/>
  <c r="AC23" s="1"/>
  <c r="F23"/>
  <c r="AA23" s="1"/>
  <c r="H23"/>
  <c r="F19"/>
  <c r="S19" s="1"/>
  <c r="J19"/>
  <c r="W19" s="1"/>
  <c r="J17"/>
  <c r="AC17" s="1"/>
  <c r="H17"/>
  <c r="AB17" s="1"/>
  <c r="J15"/>
  <c r="AC15" s="1"/>
  <c r="F11"/>
  <c r="AA11" s="1"/>
  <c r="W10"/>
  <c r="H10"/>
  <c r="U10" s="1"/>
  <c r="S10" i="21"/>
  <c r="U40" i="33"/>
  <c r="U8"/>
  <c r="S8"/>
  <c r="F37" i="40"/>
  <c r="AA37"/>
  <c r="F36"/>
  <c r="AA36"/>
  <c r="F23"/>
  <c r="AA23"/>
  <c r="AC11"/>
  <c r="AB30" i="36"/>
  <c r="AC30" i="35"/>
  <c r="W32"/>
  <c r="F29"/>
  <c r="S29" s="1"/>
  <c r="U34" i="37"/>
  <c r="AB42" i="34"/>
  <c r="H38"/>
  <c r="U15"/>
  <c r="H37" i="33"/>
  <c r="AB37" s="1"/>
  <c r="AA37"/>
  <c r="H36"/>
  <c r="U36" s="1"/>
  <c r="S25"/>
  <c r="F17"/>
  <c r="AA17" s="1"/>
  <c r="H15"/>
  <c r="AB15" s="1"/>
  <c r="AB11"/>
  <c r="W42" i="34"/>
  <c r="AA42"/>
  <c r="S42"/>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s="1"/>
  <c r="H83" s="1"/>
  <c r="I83" s="1"/>
  <c r="J83" s="1"/>
  <c r="K83" s="1"/>
  <c r="L83" s="1"/>
  <c r="M83" s="1"/>
  <c r="F28"/>
  <c r="AA28" s="1"/>
  <c r="J13" i="33"/>
  <c r="AC13" s="1"/>
  <c r="H13"/>
  <c r="AB13" s="1"/>
  <c r="F13"/>
  <c r="S13" s="1"/>
  <c r="J29"/>
  <c r="W29" s="1"/>
  <c r="H29"/>
  <c r="U29" s="1"/>
  <c r="F29"/>
  <c r="S29" s="1"/>
  <c r="J31"/>
  <c r="W31" s="1"/>
  <c r="H31"/>
  <c r="AB31" s="1"/>
  <c r="F31"/>
  <c r="AA31" s="1"/>
  <c r="H45"/>
  <c r="U45" s="1"/>
  <c r="J45"/>
  <c r="W45" s="1"/>
  <c r="F45"/>
  <c r="S45" s="1"/>
  <c r="J14" i="34"/>
  <c r="W14" s="1"/>
  <c r="F14"/>
  <c r="AA14" s="1"/>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30"/>
  <c r="S30" s="1"/>
  <c r="F44"/>
  <c r="S44" s="1"/>
  <c r="H13" i="34"/>
  <c r="U13" s="1"/>
  <c r="F13"/>
  <c r="AA13" s="1"/>
  <c r="F29"/>
  <c r="S29" s="1"/>
  <c r="J31"/>
  <c r="AC31" s="1"/>
  <c r="F31"/>
  <c r="S31" s="1"/>
  <c r="J45"/>
  <c r="W45" s="1"/>
  <c r="H47"/>
  <c r="U47" s="1"/>
  <c r="J47"/>
  <c r="AC47" s="1"/>
  <c r="J13" i="35"/>
  <c r="AC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c r="H33"/>
  <c r="AB33"/>
  <c r="J35"/>
  <c r="AC35"/>
  <c r="H13"/>
  <c r="U13"/>
  <c r="J13"/>
  <c r="W13"/>
  <c r="F13"/>
  <c r="AA13"/>
  <c r="F14" i="37"/>
  <c r="S14"/>
  <c r="F13" i="39"/>
  <c r="AA13"/>
  <c r="J13"/>
  <c r="W13"/>
  <c r="H13"/>
  <c r="U13"/>
  <c r="H14" i="40"/>
  <c r="AB14"/>
  <c r="J14"/>
  <c r="W14"/>
  <c r="F14"/>
  <c r="AA14"/>
  <c r="J14" i="37"/>
  <c r="AC14"/>
  <c r="AB37"/>
  <c r="S14" i="33"/>
  <c r="AC14" i="34"/>
  <c r="J10" i="36"/>
  <c r="AC10" s="1"/>
  <c r="AB46" i="21"/>
  <c r="AC14"/>
  <c r="AC11" i="36"/>
  <c r="AC29" i="33"/>
  <c r="AB28"/>
  <c r="S33" i="21"/>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U39" i="37"/>
  <c r="AC8"/>
  <c r="S25"/>
  <c r="AB8" i="34"/>
  <c r="AA13" i="33"/>
  <c r="AC31"/>
  <c r="AA30"/>
  <c r="AB10"/>
  <c r="S11"/>
  <c r="AB38" i="21"/>
  <c r="W10" i="36"/>
  <c r="H37" i="21"/>
  <c r="U37" s="1"/>
  <c r="J37"/>
  <c r="W37" s="1"/>
  <c r="H19" i="34"/>
  <c r="U19" s="1"/>
  <c r="F36" i="35"/>
  <c r="AA36" s="1"/>
  <c r="J9" i="37"/>
  <c r="W9" s="1"/>
  <c r="H9"/>
  <c r="AB9" s="1"/>
  <c r="F9"/>
  <c r="AA9" s="1"/>
  <c r="F11"/>
  <c r="S11" s="1"/>
  <c r="J42" i="39"/>
  <c r="AC42" s="1"/>
  <c r="S37" i="21"/>
  <c r="AB37"/>
  <c r="C12" i="43"/>
  <c r="D15" i="47"/>
  <c r="D17"/>
  <c r="D19"/>
  <c r="D21"/>
  <c r="D23"/>
  <c r="D27"/>
  <c r="D33"/>
  <c r="D37"/>
  <c r="F37" s="1"/>
  <c r="B35" s="1"/>
  <c r="D39"/>
  <c r="D41"/>
  <c r="D43"/>
  <c r="D16"/>
  <c r="D18"/>
  <c r="D20"/>
  <c r="D22"/>
  <c r="D26"/>
  <c r="D28"/>
  <c r="D30"/>
  <c r="D32"/>
  <c r="D34"/>
  <c r="D38"/>
  <c r="D40"/>
  <c r="D42"/>
  <c r="D44"/>
  <c r="D9"/>
  <c r="D8"/>
  <c r="D6"/>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J33"/>
  <c r="W33" s="1"/>
  <c r="J37"/>
  <c r="W37" s="1"/>
  <c r="S23"/>
  <c r="AB33"/>
  <c r="AC37"/>
  <c r="J26" i="35"/>
  <c r="W26" s="1"/>
  <c r="F26"/>
  <c r="AA26" s="1"/>
  <c r="H26"/>
  <c r="U26" s="1"/>
  <c r="U28" i="21"/>
  <c r="K145"/>
  <c r="K144"/>
  <c r="K141"/>
  <c r="K143"/>
  <c r="B101" i="9"/>
  <c r="C112" s="1"/>
  <c r="H110" s="1"/>
  <c r="F23" i="21"/>
  <c r="AA23"/>
  <c r="J23"/>
  <c r="AC23"/>
  <c r="H23"/>
  <c r="U23"/>
  <c r="F17"/>
  <c r="AA17"/>
  <c r="J17"/>
  <c r="AC17"/>
  <c r="H17"/>
  <c r="AB17"/>
  <c r="J15"/>
  <c r="W15" s="1"/>
  <c r="U35"/>
  <c r="AC35"/>
  <c r="H102" i="57"/>
  <c r="A131" i="9"/>
  <c r="A134" i="57"/>
  <c r="B102"/>
  <c r="B106" s="1"/>
  <c r="C111"/>
  <c r="H106" s="1"/>
  <c r="D127"/>
  <c r="S23" i="21"/>
  <c r="W17"/>
  <c r="AC15"/>
  <c r="C109" i="57"/>
  <c r="H103" s="1"/>
  <c r="T27" i="31"/>
  <c r="S27"/>
  <c r="B113" i="43"/>
  <c r="I118" s="1"/>
  <c r="J118" s="1"/>
  <c r="K118" s="1"/>
  <c r="L118" s="1"/>
  <c r="M118" s="1"/>
  <c r="M101"/>
  <c r="M103" s="1"/>
  <c r="K101"/>
  <c r="K104" s="1"/>
  <c r="I101"/>
  <c r="I102" s="1"/>
  <c r="G101"/>
  <c r="G107" s="1"/>
  <c r="E10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s="1"/>
  <c r="AB40"/>
  <c r="U40"/>
  <c r="U15" i="21"/>
  <c r="AB15"/>
  <c r="AA16" i="35"/>
  <c r="S14" i="39"/>
  <c r="AB29" i="35"/>
  <c r="U29"/>
  <c r="AA35" i="39"/>
  <c r="U25" i="35"/>
  <c r="W44" i="33"/>
  <c r="U36" i="37"/>
  <c r="S14" i="34"/>
  <c r="W44" i="21"/>
  <c r="AB38" i="34"/>
  <c r="U38"/>
  <c r="F40"/>
  <c r="AA40"/>
  <c r="G118"/>
  <c r="U20" i="36"/>
  <c r="AB20"/>
  <c r="AA16"/>
  <c r="AC44" i="39"/>
  <c r="W44"/>
  <c r="H13" i="21"/>
  <c r="U13"/>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c r="W9" i="39"/>
  <c r="U14"/>
  <c r="H32"/>
  <c r="U32"/>
  <c r="F21"/>
  <c r="AA21"/>
  <c r="F31" i="37"/>
  <c r="AA31"/>
  <c r="S44" i="21"/>
  <c r="F17" i="37"/>
  <c r="AA17" s="1"/>
  <c r="AB28" i="36"/>
  <c r="AB13" i="40"/>
  <c r="U33"/>
  <c r="AB13" i="37"/>
  <c r="U11" i="36"/>
  <c r="AB11" i="35"/>
  <c r="U32" i="34"/>
  <c r="AB32"/>
  <c r="AA30"/>
  <c r="H45" i="21"/>
  <c r="AB45" s="1"/>
  <c r="J14" i="36"/>
  <c r="AC14" s="1"/>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101" s="1"/>
  <c r="G101" s="1"/>
  <c r="H101" s="1"/>
  <c r="I101" s="1"/>
  <c r="J101" s="1"/>
  <c r="K101" s="1"/>
  <c r="L101" s="1"/>
  <c r="M101" s="1"/>
  <c r="F32"/>
  <c r="AA32" s="1"/>
  <c r="H9" i="34"/>
  <c r="AB9" s="1"/>
  <c r="W27"/>
  <c r="AC27"/>
  <c r="H28"/>
  <c r="U28" s="1"/>
  <c r="E116"/>
  <c r="F116" s="1"/>
  <c r="G116" s="1"/>
  <c r="H116" s="1"/>
  <c r="I116" s="1"/>
  <c r="J116" s="1"/>
  <c r="K116" s="1"/>
  <c r="L116" s="1"/>
  <c r="M116" s="1"/>
  <c r="J39"/>
  <c r="W39"/>
  <c r="J27" i="36"/>
  <c r="F37" i="34"/>
  <c r="AA37" s="1"/>
  <c r="H37"/>
  <c r="U37" s="1"/>
  <c r="F26" i="47"/>
  <c r="B24" s="1"/>
  <c r="AB12" i="40"/>
  <c r="U12"/>
  <c r="AC14" i="39"/>
  <c r="AA32" i="34"/>
  <c r="S31" i="33"/>
  <c r="U10" i="36"/>
  <c r="W28" i="33"/>
  <c r="W34"/>
  <c r="AC34"/>
  <c r="AA14" i="35"/>
  <c r="S14"/>
  <c r="W11" i="21"/>
  <c r="S45" i="39"/>
  <c r="AA45"/>
  <c r="H27" i="21"/>
  <c r="AB27" s="1"/>
  <c r="J27"/>
  <c r="W27" s="1"/>
  <c r="F27"/>
  <c r="AA27" s="1"/>
  <c r="J29"/>
  <c r="AC29" s="1"/>
  <c r="H29"/>
  <c r="U29" s="1"/>
  <c r="F29"/>
  <c r="AA29" s="1"/>
  <c r="J31"/>
  <c r="W31"/>
  <c r="H31"/>
  <c r="F31"/>
  <c r="AA31" s="1"/>
  <c r="H39"/>
  <c r="U39" s="1"/>
  <c r="F117"/>
  <c r="G117" s="1"/>
  <c r="S9"/>
  <c r="AA9"/>
  <c r="AA15" i="33"/>
  <c r="S15"/>
  <c r="AA35"/>
  <c r="E117"/>
  <c r="F117" s="1"/>
  <c r="G117" s="1"/>
  <c r="J39"/>
  <c r="AC39" s="1"/>
  <c r="E125"/>
  <c r="H43"/>
  <c r="U43" s="1"/>
  <c r="E91"/>
  <c r="F91" s="1"/>
  <c r="G91" s="1"/>
  <c r="H91" s="1"/>
  <c r="I91" s="1"/>
  <c r="J91" s="1"/>
  <c r="K91" s="1"/>
  <c r="L91" s="1"/>
  <c r="M91" s="1"/>
  <c r="F27"/>
  <c r="S27" s="1"/>
  <c r="H41"/>
  <c r="U41" s="1"/>
  <c r="S12" i="34"/>
  <c r="AA12"/>
  <c r="AA11"/>
  <c r="S11"/>
  <c r="F80"/>
  <c r="G80" s="1"/>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M9"/>
  <c r="M1"/>
  <c r="N3"/>
  <c r="F48" s="1"/>
  <c r="A121" i="9"/>
  <c r="N5" i="43"/>
  <c r="F101" i="9"/>
  <c r="M4" i="43"/>
  <c r="F33" i="9"/>
  <c r="C25" i="57"/>
  <c r="N102" i="43"/>
  <c r="G103"/>
  <c r="D103"/>
  <c r="E103"/>
  <c r="F59"/>
  <c r="H63" s="1"/>
  <c r="G15" i="47"/>
  <c r="W40" i="40"/>
  <c r="AB24" i="36"/>
  <c r="H25" i="34"/>
  <c r="U25"/>
  <c r="AB35" i="39"/>
  <c r="AC40" i="37"/>
  <c r="AC36"/>
  <c r="S27"/>
  <c r="AA12"/>
  <c r="AA34" i="35"/>
  <c r="S34"/>
  <c r="AB24"/>
  <c r="J17" i="34"/>
  <c r="AC17"/>
  <c r="F17"/>
  <c r="AA17" s="1"/>
  <c r="H27" i="33"/>
  <c r="AB27" s="1"/>
  <c r="F43"/>
  <c r="S43" s="1"/>
  <c r="F125"/>
  <c r="G125" s="1"/>
  <c r="J43"/>
  <c r="AC43" s="1"/>
  <c r="AB31" i="21"/>
  <c r="U31"/>
  <c r="S29"/>
  <c r="AC27"/>
  <c r="H27" i="36"/>
  <c r="AB27" s="1"/>
  <c r="F27"/>
  <c r="AA27" s="1"/>
  <c r="J28" i="34"/>
  <c r="W28" s="1"/>
  <c r="AB34" i="21"/>
  <c r="H11" i="34"/>
  <c r="U11" s="1"/>
  <c r="S17" i="37"/>
  <c r="J11"/>
  <c r="AC11"/>
  <c r="AC36" i="34"/>
  <c r="W12" i="39"/>
  <c r="AC12"/>
  <c r="W9" i="34"/>
  <c r="AB13" i="21"/>
  <c r="AC37" i="37"/>
  <c r="U38" i="40"/>
  <c r="F23" i="39"/>
  <c r="AA23"/>
  <c r="F97"/>
  <c r="G97"/>
  <c r="S26" i="37"/>
  <c r="S24" i="36"/>
  <c r="F44" i="34"/>
  <c r="F126"/>
  <c r="G126" s="1"/>
  <c r="J44"/>
  <c r="AC44" s="1"/>
  <c r="S40" i="21"/>
  <c r="U31" i="37"/>
  <c r="W27"/>
  <c r="AB27"/>
  <c r="H60"/>
  <c r="H10"/>
  <c r="U10"/>
  <c r="S24" i="35"/>
  <c r="AA27" i="33"/>
  <c r="S31" i="21"/>
  <c r="AB29"/>
  <c r="AC27" i="36"/>
  <c r="W27"/>
  <c r="U9" i="34"/>
  <c r="J32" i="33"/>
  <c r="W32"/>
  <c r="H32"/>
  <c r="AB32"/>
  <c r="U45" i="21"/>
  <c r="AC45"/>
  <c r="W45"/>
  <c r="W13"/>
  <c r="AC13"/>
  <c r="AA44" i="34"/>
  <c r="S44"/>
  <c r="S27" i="36"/>
  <c r="AB25" i="34"/>
  <c r="I60" i="37"/>
  <c r="J10"/>
  <c r="AC10" s="1"/>
  <c r="H23" i="39"/>
  <c r="AB23" s="1"/>
  <c r="J11" i="34"/>
  <c r="W11" s="1"/>
  <c r="J27" i="33"/>
  <c r="W27" s="1"/>
  <c r="W17" i="34"/>
  <c r="J25"/>
  <c r="W25" s="1"/>
  <c r="AC11"/>
  <c r="G26" i="47"/>
  <c r="K53" i="43"/>
  <c r="J53" s="1"/>
  <c r="M53"/>
  <c r="N53" s="1"/>
  <c r="K49"/>
  <c r="J49" s="1"/>
  <c r="D49"/>
  <c r="M49"/>
  <c r="N49" s="1"/>
  <c r="K54"/>
  <c r="J54" s="1"/>
  <c r="M54"/>
  <c r="N54" s="1"/>
  <c r="K50"/>
  <c r="J50" s="1"/>
  <c r="D50"/>
  <c r="M50"/>
  <c r="N50" s="1"/>
  <c r="K55"/>
  <c r="J55" s="1"/>
  <c r="D55"/>
  <c r="M55"/>
  <c r="N55" s="1"/>
  <c r="K51"/>
  <c r="J51" s="1"/>
  <c r="D51"/>
  <c r="M51"/>
  <c r="N51" s="1"/>
  <c r="K48"/>
  <c r="J48" s="1"/>
  <c r="M48"/>
  <c r="N48" s="1"/>
  <c r="K52"/>
  <c r="J52" s="1"/>
  <c r="D52"/>
  <c r="M52"/>
  <c r="N52" s="1"/>
  <c r="K56"/>
  <c r="J56" s="1"/>
  <c r="M56"/>
  <c r="N56" s="1"/>
  <c r="F43" i="15"/>
  <c r="F72" s="1"/>
  <c r="D93" i="9"/>
  <c r="D37" i="11"/>
  <c r="C37" s="1"/>
  <c r="M29" i="15"/>
  <c r="P51"/>
  <c r="D10" i="11"/>
  <c r="C10" s="1"/>
  <c r="E13" i="1" s="1"/>
  <c r="C8" i="11" s="1"/>
  <c r="C2" i="31"/>
  <c r="I23" s="1"/>
  <c r="P60" i="15"/>
  <c r="D3" i="35"/>
  <c r="D3" i="34"/>
  <c r="D78" i="9"/>
  <c r="D94" i="57"/>
  <c r="D79"/>
  <c r="C29" i="12"/>
  <c r="D28" s="1"/>
  <c r="C114" i="57"/>
  <c r="H109" s="1"/>
  <c r="A16" i="55"/>
  <c r="B46" i="60" s="1"/>
  <c r="D3" i="33"/>
  <c r="D3" i="37"/>
  <c r="D3" i="36"/>
  <c r="C14" i="12"/>
  <c r="AB36" i="40"/>
  <c r="AA32"/>
  <c r="W32"/>
  <c r="W31"/>
  <c r="AC9"/>
  <c r="S9"/>
  <c r="AC38"/>
  <c r="W35"/>
  <c r="W33"/>
  <c r="W34"/>
  <c r="J37"/>
  <c r="AC37" s="1"/>
  <c r="H35"/>
  <c r="H37"/>
  <c r="AB37" s="1"/>
  <c r="H28"/>
  <c r="F28"/>
  <c r="S28" s="1"/>
  <c r="J28"/>
  <c r="F98"/>
  <c r="G98" s="1"/>
  <c r="H98" s="1"/>
  <c r="I98" s="1"/>
  <c r="J98" s="1"/>
  <c r="K98" s="1"/>
  <c r="L98" s="1"/>
  <c r="M98" s="1"/>
  <c r="F21"/>
  <c r="H21"/>
  <c r="U21" s="1"/>
  <c r="F90"/>
  <c r="G90" s="1"/>
  <c r="J21"/>
  <c r="W21" s="1"/>
  <c r="W19"/>
  <c r="F86"/>
  <c r="G86" s="1"/>
  <c r="H17"/>
  <c r="U17" s="1"/>
  <c r="J17"/>
  <c r="AC17" s="1"/>
  <c r="F17"/>
  <c r="S17" s="1"/>
  <c r="F84"/>
  <c r="G84" s="1"/>
  <c r="F15"/>
  <c r="J15"/>
  <c r="W15" s="1"/>
  <c r="H15"/>
  <c r="AB15" s="1"/>
  <c r="AC25"/>
  <c r="W25"/>
  <c r="U19"/>
  <c r="U14"/>
  <c r="U8"/>
  <c r="AA19"/>
  <c r="S36"/>
  <c r="AA35"/>
  <c r="AC38" i="39"/>
  <c r="AC17"/>
  <c r="AB29"/>
  <c r="AC25"/>
  <c r="S23"/>
  <c r="S21"/>
  <c r="W27"/>
  <c r="AC27"/>
  <c r="W35"/>
  <c r="AC15"/>
  <c r="U41"/>
  <c r="AB15"/>
  <c r="U42"/>
  <c r="AB13"/>
  <c r="U19"/>
  <c r="AB27"/>
  <c r="U27"/>
  <c r="AA27"/>
  <c r="S27"/>
  <c r="S40"/>
  <c r="AC11"/>
  <c r="AA12"/>
  <c r="S13"/>
  <c r="S34" i="36"/>
  <c r="S11"/>
  <c r="S12"/>
  <c r="S22"/>
  <c r="AC16"/>
  <c r="W14"/>
  <c r="S26"/>
  <c r="U27"/>
  <c r="AC26"/>
  <c r="AA25"/>
  <c r="S14"/>
  <c r="U14"/>
  <c r="S10"/>
  <c r="W18"/>
  <c r="AC18"/>
  <c r="AC12"/>
  <c r="W25"/>
  <c r="AC32"/>
  <c r="AC20"/>
  <c r="W29"/>
  <c r="W28"/>
  <c r="W8"/>
  <c r="U13"/>
  <c r="AB18"/>
  <c r="U18"/>
  <c r="S28"/>
  <c r="S29"/>
  <c r="W35" i="35"/>
  <c r="W24"/>
  <c r="AC25"/>
  <c r="W23"/>
  <c r="S23"/>
  <c r="AB23"/>
  <c r="W11"/>
  <c r="AA12"/>
  <c r="W10"/>
  <c r="AB16"/>
  <c r="W14"/>
  <c r="W34"/>
  <c r="AC26"/>
  <c r="W28"/>
  <c r="AC27"/>
  <c r="U14"/>
  <c r="U35"/>
  <c r="AB10"/>
  <c r="U8"/>
  <c r="AB12"/>
  <c r="S20"/>
  <c r="S10"/>
  <c r="S34" i="37"/>
  <c r="W32"/>
  <c r="W26"/>
  <c r="AB28"/>
  <c r="AC12"/>
  <c r="J33"/>
  <c r="AC33" s="1"/>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J15"/>
  <c r="AC15" s="1"/>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AC41"/>
  <c r="AA45"/>
  <c r="S23"/>
  <c r="S17"/>
  <c r="W17"/>
  <c r="U15"/>
  <c r="AB9"/>
  <c r="U9"/>
  <c r="S10"/>
  <c r="W39"/>
  <c r="W9"/>
  <c r="W13"/>
  <c r="AC19"/>
  <c r="W21"/>
  <c r="AC21"/>
  <c r="AB41"/>
  <c r="AB42"/>
  <c r="U13"/>
  <c r="U39"/>
  <c r="S42"/>
  <c r="S9"/>
  <c r="W42" i="21"/>
  <c r="AA39"/>
  <c r="W39"/>
  <c r="AA34"/>
  <c r="AC26"/>
  <c r="AC32"/>
  <c r="AB39"/>
  <c r="W40"/>
  <c r="AC37"/>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H102" i="43"/>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F117" i="9"/>
  <c r="D24" i="15"/>
  <c r="C27"/>
  <c r="M20"/>
  <c r="D9" i="11"/>
  <c r="C9" s="1"/>
  <c r="D19"/>
  <c r="C19" s="1"/>
  <c r="C17" i="12"/>
  <c r="C20"/>
  <c r="C19"/>
  <c r="M18" i="15"/>
  <c r="D69" i="57"/>
  <c r="F54"/>
  <c r="F31" i="12"/>
  <c r="F52" i="9"/>
  <c r="F48"/>
  <c r="O52" s="1"/>
  <c r="F30" i="11"/>
  <c r="C48" s="1"/>
  <c r="F32" i="15"/>
  <c r="F61" s="1"/>
  <c r="F28"/>
  <c r="C28" s="1"/>
  <c r="F49" i="57"/>
  <c r="O53" s="1"/>
  <c r="F55"/>
  <c r="F53"/>
  <c r="F54" i="9"/>
  <c r="D68"/>
  <c r="F53"/>
  <c r="G22" i="11"/>
  <c r="G41"/>
  <c r="H113" i="4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C7" i="39"/>
  <c r="C68" s="1"/>
  <c r="C53" i="10"/>
  <c r="D123" i="9"/>
  <c r="D6" i="52" s="1"/>
  <c r="D124" i="9"/>
  <c r="D7" i="52" s="1"/>
  <c r="M48" i="57"/>
  <c r="B58" i="60"/>
  <c r="A12" i="52"/>
  <c r="B67" i="60" s="1"/>
  <c r="L105" i="43"/>
  <c r="H105"/>
  <c r="H107"/>
  <c r="D104"/>
  <c r="K106"/>
  <c r="K102"/>
  <c r="G105"/>
  <c r="G109"/>
  <c r="C104"/>
  <c r="C107"/>
  <c r="A4" i="52"/>
  <c r="A124" i="57"/>
  <c r="M47" i="9"/>
  <c r="N104" i="46"/>
  <c r="J17" i="43"/>
  <c r="C7" i="21"/>
  <c r="C58" s="1"/>
  <c r="D58" s="1"/>
  <c r="E58" s="1"/>
  <c r="C7" i="33"/>
  <c r="C58" s="1"/>
  <c r="D58" s="1"/>
  <c r="E58" s="1"/>
  <c r="C7" i="37"/>
  <c r="C52" s="1"/>
  <c r="D52" s="1"/>
  <c r="H59" i="43"/>
  <c r="H77"/>
  <c r="H78"/>
  <c r="I104"/>
  <c r="I115"/>
  <c r="J115" s="1"/>
  <c r="K115" s="1"/>
  <c r="L115" s="1"/>
  <c r="M115" s="1"/>
  <c r="L106"/>
  <c r="L104"/>
  <c r="L102"/>
  <c r="H104"/>
  <c r="H103"/>
  <c r="D105"/>
  <c r="D106"/>
  <c r="D102"/>
  <c r="K105"/>
  <c r="K103"/>
  <c r="G106"/>
  <c r="G104"/>
  <c r="G102"/>
  <c r="C105"/>
  <c r="C103"/>
  <c r="H70"/>
  <c r="H75"/>
  <c r="H71"/>
  <c r="H76"/>
  <c r="I20"/>
  <c r="D115"/>
  <c r="E115" s="1"/>
  <c r="F115" s="1"/>
  <c r="G115" s="1"/>
  <c r="H115" s="1"/>
  <c r="B117"/>
  <c r="C117" s="1"/>
  <c r="I107"/>
  <c r="N106"/>
  <c r="J105"/>
  <c r="F104"/>
  <c r="G37" i="47"/>
  <c r="C23" i="43"/>
  <c r="G19"/>
  <c r="P21" s="1"/>
  <c r="B71" i="39" s="1"/>
  <c r="F36" i="43"/>
  <c r="C17"/>
  <c r="F35"/>
  <c r="F37"/>
  <c r="F39"/>
  <c r="G17"/>
  <c r="C7" i="34"/>
  <c r="C59" s="1"/>
  <c r="C7" i="36"/>
  <c r="C46" s="1"/>
  <c r="D46" s="1"/>
  <c r="E46" s="1"/>
  <c r="F38" i="43"/>
  <c r="A10" i="52"/>
  <c r="B66" i="60" s="1"/>
  <c r="J20" i="15"/>
  <c r="K86" i="43"/>
  <c r="J86" s="1"/>
  <c r="D86"/>
  <c r="M87"/>
  <c r="N87"/>
  <c r="K82"/>
  <c r="J82"/>
  <c r="D82"/>
  <c r="M83"/>
  <c r="N83" s="1"/>
  <c r="I116"/>
  <c r="J116" s="1"/>
  <c r="K116" s="1"/>
  <c r="L116" s="1"/>
  <c r="M116" s="1"/>
  <c r="D117"/>
  <c r="E117" s="1"/>
  <c r="F117" s="1"/>
  <c r="G117" s="1"/>
  <c r="H117" s="1"/>
  <c r="B118"/>
  <c r="C118" s="1"/>
  <c r="B116"/>
  <c r="C116" s="1"/>
  <c r="I106"/>
  <c r="E105"/>
  <c r="N104"/>
  <c r="F106"/>
  <c r="M12"/>
  <c r="H15" i="44"/>
  <c r="M8" i="43"/>
  <c r="M2"/>
  <c r="M10"/>
  <c r="N7"/>
  <c r="N1"/>
  <c r="M3"/>
  <c r="C6" s="1"/>
  <c r="M7"/>
  <c r="M11"/>
  <c r="N4"/>
  <c r="N8"/>
  <c r="N12"/>
  <c r="H8" i="44"/>
  <c r="H10"/>
  <c r="D22" i="43"/>
  <c r="H7" i="44"/>
  <c r="H12"/>
  <c r="H9"/>
  <c r="C63" i="39"/>
  <c r="G64"/>
  <c r="C64" s="1"/>
  <c r="M85" i="43"/>
  <c r="N85" s="1"/>
  <c r="K85"/>
  <c r="J85" s="1"/>
  <c r="D85"/>
  <c r="M82"/>
  <c r="N82" s="1"/>
  <c r="K83"/>
  <c r="J83" s="1"/>
  <c r="D83"/>
  <c r="H84"/>
  <c r="H66"/>
  <c r="H67"/>
  <c r="F103"/>
  <c r="F105"/>
  <c r="J107"/>
  <c r="J102"/>
  <c r="J104"/>
  <c r="J106"/>
  <c r="N103"/>
  <c r="N105"/>
  <c r="E107"/>
  <c r="E102"/>
  <c r="E104"/>
  <c r="E106"/>
  <c r="I103"/>
  <c r="I105"/>
  <c r="M107"/>
  <c r="M102"/>
  <c r="M104"/>
  <c r="M106"/>
  <c r="B115"/>
  <c r="C115" s="1"/>
  <c r="I117"/>
  <c r="J117" s="1"/>
  <c r="K117" s="1"/>
  <c r="L117" s="1"/>
  <c r="M117" s="1"/>
  <c r="D116"/>
  <c r="E116" s="1"/>
  <c r="F116" s="1"/>
  <c r="G116" s="1"/>
  <c r="H116" s="1"/>
  <c r="D118"/>
  <c r="E118" s="1"/>
  <c r="F118" s="1"/>
  <c r="G118"/>
  <c r="H118" s="1"/>
  <c r="M7" i="15"/>
  <c r="M17" s="1"/>
  <c r="F35"/>
  <c r="F64" s="1"/>
  <c r="C63"/>
  <c r="E18" i="1"/>
  <c r="C34" i="11" s="1"/>
  <c r="C17" i="15"/>
  <c r="A2" i="9"/>
  <c r="M46"/>
  <c r="F9" i="48"/>
  <c r="H9" s="1"/>
  <c r="W23" i="40"/>
  <c r="F10" i="48"/>
  <c r="H10" s="1"/>
  <c r="S23" i="40"/>
  <c r="U23"/>
  <c r="S38"/>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C21" s="1"/>
  <c r="AB40"/>
  <c r="AC19"/>
  <c r="AC23"/>
  <c r="AB28"/>
  <c r="AB37"/>
  <c r="W41"/>
  <c r="AA27"/>
  <c r="AB35"/>
  <c r="AB27"/>
  <c r="W43"/>
  <c r="U34"/>
  <c r="S34"/>
  <c r="AC25"/>
  <c r="W44"/>
  <c r="AB44"/>
  <c r="AC33"/>
  <c r="AA33"/>
  <c r="S35"/>
  <c r="AB47"/>
  <c r="AB14"/>
  <c r="AC45"/>
  <c r="AA29"/>
  <c r="AB13"/>
  <c r="U10"/>
  <c r="S13"/>
  <c r="AA31"/>
  <c r="U37" i="33"/>
  <c r="U19"/>
  <c r="AC32"/>
  <c r="AA43"/>
  <c r="S32"/>
  <c r="U33"/>
  <c r="AA28"/>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C30" i="11"/>
  <c r="B23" i="60"/>
  <c r="U35" i="40"/>
  <c r="AB35"/>
  <c r="U37"/>
  <c r="W37"/>
  <c r="AA28"/>
  <c r="AC28"/>
  <c r="W28"/>
  <c r="U28"/>
  <c r="AB28"/>
  <c r="AB21"/>
  <c r="S21"/>
  <c r="AA21"/>
  <c r="AB17"/>
  <c r="AA17"/>
  <c r="W17"/>
  <c r="AA15"/>
  <c r="S15"/>
  <c r="AC15"/>
  <c r="AB33" i="37"/>
  <c r="U33"/>
  <c r="U35"/>
  <c r="S33"/>
  <c r="AA35"/>
  <c r="S35"/>
  <c r="W33"/>
  <c r="AA19"/>
  <c r="S19"/>
  <c r="AB19"/>
  <c r="W15"/>
  <c r="AC21" i="21"/>
  <c r="W21"/>
  <c r="M86" i="43"/>
  <c r="N86"/>
  <c r="J6" i="15"/>
  <c r="C18" i="12"/>
  <c r="F34" i="11"/>
  <c r="E19" i="1"/>
  <c r="D20"/>
  <c r="D18"/>
  <c r="F50" i="11"/>
  <c r="F19" i="1"/>
  <c r="F18"/>
  <c r="D19"/>
  <c r="K87" i="43"/>
  <c r="J87" s="1"/>
  <c r="D87"/>
  <c r="P25"/>
  <c r="P24"/>
  <c r="B66" i="40" s="1"/>
  <c r="K106" i="9"/>
  <c r="B14" i="1"/>
  <c r="H10" i="39" s="1"/>
  <c r="J22" i="43"/>
  <c r="M84"/>
  <c r="N84" s="1"/>
  <c r="K84"/>
  <c r="J84" s="1"/>
  <c r="D84"/>
  <c r="M81"/>
  <c r="N81"/>
  <c r="K81"/>
  <c r="J81"/>
  <c r="D81"/>
  <c r="M88"/>
  <c r="N88" s="1"/>
  <c r="K88"/>
  <c r="J88" s="1"/>
  <c r="D88"/>
  <c r="I113" i="57"/>
  <c r="M50" s="1"/>
  <c r="B40" i="1"/>
  <c r="M27" i="15" s="1"/>
  <c r="C11" i="12"/>
  <c r="C12" s="1"/>
  <c r="C13"/>
  <c r="C36" i="11"/>
  <c r="D117" i="57"/>
  <c r="D118"/>
  <c r="I114" s="1"/>
  <c r="D131" s="1"/>
  <c r="D133"/>
  <c r="M57"/>
  <c r="D119"/>
  <c r="I115"/>
  <c r="D132" s="1"/>
  <c r="M56" i="9"/>
  <c r="D130"/>
  <c r="D13" i="52"/>
  <c r="I112" i="9"/>
  <c r="M49" s="1"/>
  <c r="D114"/>
  <c r="D115"/>
  <c r="I113" s="1"/>
  <c r="D39" i="50"/>
  <c r="D40" s="1"/>
  <c r="D18"/>
  <c r="B31" i="60" s="1"/>
  <c r="D127" i="9"/>
  <c r="D10" i="52" s="1"/>
  <c r="L67" i="9"/>
  <c r="M67" s="1"/>
  <c r="L65"/>
  <c r="M65" s="1"/>
  <c r="L66"/>
  <c r="M66" s="1"/>
  <c r="L68"/>
  <c r="M68" s="1"/>
  <c r="L63"/>
  <c r="M63" s="1"/>
  <c r="M69" s="1"/>
  <c r="N69" s="1"/>
  <c r="L64"/>
  <c r="M64" s="1"/>
  <c r="I114"/>
  <c r="D42" i="50" s="1"/>
  <c r="D43" s="1"/>
  <c r="D116" i="9"/>
  <c r="D129"/>
  <c r="D12" i="52" s="1"/>
  <c r="D21" i="50"/>
  <c r="B33" i="60" s="1"/>
  <c r="F13" i="48"/>
  <c r="H13" s="1"/>
  <c r="B15"/>
  <c r="D15" s="1"/>
  <c r="D23"/>
  <c r="B13"/>
  <c r="D13" s="1"/>
  <c r="B5"/>
  <c r="D5" s="1"/>
  <c r="B22"/>
  <c r="D22" s="1"/>
  <c r="F8"/>
  <c r="H8" s="1"/>
  <c r="F5" i="61"/>
  <c r="C19" i="57"/>
  <c r="F7" i="61"/>
  <c r="E2" i="34"/>
  <c r="E2" i="33"/>
  <c r="E2" i="36"/>
  <c r="E2" i="35"/>
  <c r="F6" i="61"/>
  <c r="D19" i="57"/>
  <c r="C20"/>
  <c r="E2" i="37"/>
  <c r="E2" i="11"/>
  <c r="F3" i="61"/>
  <c r="H23" i="31"/>
  <c r="D20" i="57"/>
  <c r="E2" i="21"/>
  <c r="F4" i="61"/>
  <c r="AA28" i="34" l="1"/>
  <c r="S28"/>
  <c r="AA46" i="33"/>
  <c r="S46"/>
  <c r="W13" i="34"/>
  <c r="AC13"/>
  <c r="AC29"/>
  <c r="W29"/>
  <c r="AB31"/>
  <c r="U31"/>
  <c r="U45"/>
  <c r="AB45"/>
  <c r="AA47"/>
  <c r="S47"/>
  <c r="S13" i="35"/>
  <c r="AA13"/>
  <c r="E81" i="43"/>
  <c r="B79" s="1"/>
  <c r="AC21" i="40"/>
  <c r="U40"/>
  <c r="H62" i="43"/>
  <c r="H81"/>
  <c r="H88"/>
  <c r="H64"/>
  <c r="K107"/>
  <c r="W34" i="21"/>
  <c r="AA15"/>
  <c r="AC27" i="33"/>
  <c r="W43"/>
  <c r="S15" i="37"/>
  <c r="AB16" i="36"/>
  <c r="AC24"/>
  <c r="AC23" i="39"/>
  <c r="S40" i="40"/>
  <c r="C112" i="57"/>
  <c r="H107" s="1"/>
  <c r="D56" i="43"/>
  <c r="D48"/>
  <c r="D54"/>
  <c r="D53"/>
  <c r="U12" i="36"/>
  <c r="W40" i="34"/>
  <c r="AB43" i="33"/>
  <c r="S45" i="21"/>
  <c r="S37" i="34"/>
  <c r="W29" i="21"/>
  <c r="U15" i="37"/>
  <c r="AC46" i="34"/>
  <c r="AA32" i="37"/>
  <c r="AA30" i="35"/>
  <c r="S12" i="40"/>
  <c r="AA29" i="33"/>
  <c r="AC36" i="40"/>
  <c r="U25" i="36"/>
  <c r="C106" i="9"/>
  <c r="H102" s="1"/>
  <c r="B103"/>
  <c r="AB46" i="34"/>
  <c r="AB21" i="39"/>
  <c r="S25" i="31"/>
  <c r="B23" s="1"/>
  <c r="B2" s="1"/>
  <c r="C33" i="57" s="1"/>
  <c r="H124" s="1"/>
  <c r="W25" i="21"/>
  <c r="AA15" i="39"/>
  <c r="AB25"/>
  <c r="U31"/>
  <c r="W38" i="37"/>
  <c r="AA23"/>
  <c r="AC33" i="21"/>
  <c r="W47" i="34"/>
  <c r="S28" i="37"/>
  <c r="U42" i="21"/>
  <c r="AB45" i="33"/>
  <c r="U14" i="21"/>
  <c r="AA44" i="33"/>
  <c r="H13" i="35"/>
  <c r="F45" i="34"/>
  <c r="H29"/>
  <c r="H44" i="33"/>
  <c r="J14"/>
  <c r="AB12"/>
  <c r="S27" i="35"/>
  <c r="W23" i="36"/>
  <c r="AB33" i="21"/>
  <c r="U33"/>
  <c r="C27" i="39"/>
  <c r="B74" i="43"/>
  <c r="AB14" i="37"/>
  <c r="U14"/>
  <c r="T25" i="31"/>
  <c r="F15" i="47"/>
  <c r="B13" s="1"/>
  <c r="W34" i="36"/>
  <c r="AC34"/>
  <c r="AA26" i="33"/>
  <c r="S26"/>
  <c r="W9" i="21"/>
  <c r="AC9"/>
  <c r="B77" i="43"/>
  <c r="C25" i="39"/>
  <c r="J12" i="33"/>
  <c r="F12"/>
  <c r="H30"/>
  <c r="J30"/>
  <c r="AC30" s="1"/>
  <c r="J46"/>
  <c r="H46"/>
  <c r="AC22" i="36"/>
  <c r="W22"/>
  <c r="AA23"/>
  <c r="S23"/>
  <c r="U29"/>
  <c r="AB29"/>
  <c r="AB31"/>
  <c r="U31"/>
  <c r="F31" i="39"/>
  <c r="J31"/>
  <c r="J37"/>
  <c r="F37"/>
  <c r="H27" i="40"/>
  <c r="J27"/>
  <c r="F27"/>
  <c r="AC38" i="34"/>
  <c r="W38"/>
  <c r="J39" i="40"/>
  <c r="H39"/>
  <c r="F39"/>
  <c r="H17" i="43"/>
  <c r="D4" i="47"/>
  <c r="F4" s="1"/>
  <c r="B2" s="1"/>
  <c r="K100" i="43"/>
  <c r="C100"/>
  <c r="F108"/>
  <c r="F109" s="1"/>
  <c r="F100"/>
  <c r="F11" i="59"/>
  <c r="F10" s="1"/>
  <c r="V12"/>
  <c r="D26"/>
  <c r="C27"/>
  <c r="C35"/>
  <c r="D34"/>
  <c r="E108" i="43"/>
  <c r="E109" s="1"/>
  <c r="E100"/>
  <c r="I108"/>
  <c r="I109" s="1"/>
  <c r="I100"/>
  <c r="M108"/>
  <c r="M100"/>
  <c r="U8" i="59"/>
  <c r="J52" i="15"/>
  <c r="S21" i="21"/>
  <c r="S21" i="37"/>
  <c r="S18" i="35"/>
  <c r="AB11" i="59"/>
  <c r="AB9"/>
  <c r="AA10"/>
  <c r="D18"/>
  <c r="X10"/>
  <c r="X12"/>
  <c r="Y11"/>
  <c r="Z11" s="1"/>
  <c r="Y12"/>
  <c r="Z12" s="1"/>
  <c r="Y10"/>
  <c r="Z10" s="1"/>
  <c r="Y9"/>
  <c r="Z9" s="1"/>
  <c r="Y3"/>
  <c r="Z3" s="1"/>
  <c r="C14"/>
  <c r="X14"/>
  <c r="AA14"/>
  <c r="X15"/>
  <c r="AA15"/>
  <c r="X16"/>
  <c r="AA16"/>
  <c r="Y17"/>
  <c r="Z17" s="1"/>
  <c r="Y18"/>
  <c r="Z18" s="1"/>
  <c r="Y19"/>
  <c r="Z19" s="1"/>
  <c r="Y20"/>
  <c r="Z20" s="1"/>
  <c r="C22"/>
  <c r="AA22"/>
  <c r="E35"/>
  <c r="E36" s="1"/>
  <c r="U36" s="1"/>
  <c r="B59"/>
  <c r="B58" s="1"/>
  <c r="N56" i="9"/>
  <c r="N57" i="57"/>
  <c r="D22" i="50"/>
  <c r="B35" i="60" s="1"/>
  <c r="C14" i="15"/>
  <c r="C15" s="1"/>
  <c r="O19" i="43"/>
  <c r="P22"/>
  <c r="C115" i="57"/>
  <c r="H111" s="1"/>
  <c r="H74" i="43"/>
  <c r="M105"/>
  <c r="J57" i="9"/>
  <c r="J59" s="1"/>
  <c r="J61" s="1"/>
  <c r="C7" i="43"/>
  <c r="C35" i="11"/>
  <c r="C38"/>
  <c r="H51" i="43"/>
  <c r="H52"/>
  <c r="H50"/>
  <c r="H48"/>
  <c r="H53"/>
  <c r="H54"/>
  <c r="H55"/>
  <c r="W21" i="34"/>
  <c r="G4" i="47"/>
  <c r="AC9" i="37"/>
  <c r="S36"/>
  <c r="U31" i="33"/>
  <c r="U32" i="36"/>
  <c r="AC13"/>
  <c r="AC32" i="34"/>
  <c r="W30" i="33"/>
  <c r="W28" i="37"/>
  <c r="AB14" i="33"/>
  <c r="W13" i="35"/>
  <c r="W9"/>
  <c r="AC9"/>
  <c r="U34" i="36"/>
  <c r="AB34"/>
  <c r="I14" i="62"/>
  <c r="B8" s="1"/>
  <c r="D8" s="1"/>
  <c r="C15" i="12"/>
  <c r="P23" i="43"/>
  <c r="R25" i="31"/>
  <c r="B24" s="1"/>
  <c r="B3" s="1"/>
  <c r="C34" i="57" s="1"/>
  <c r="I124" s="1"/>
  <c r="D113" i="43"/>
  <c r="U23" i="39"/>
  <c r="C113" i="57"/>
  <c r="H108" s="1"/>
  <c r="F9" i="35"/>
  <c r="H9"/>
  <c r="J36"/>
  <c r="U25" i="31"/>
  <c r="C35" i="57" s="1"/>
  <c r="D124" s="1"/>
  <c r="D125" s="1"/>
  <c r="D1" i="58"/>
  <c r="E10" s="1"/>
  <c r="D50" i="59"/>
  <c r="O50"/>
  <c r="O49"/>
  <c r="B11"/>
  <c r="B10" s="1"/>
  <c r="S12"/>
  <c r="C20"/>
  <c r="D19"/>
  <c r="L100" i="43"/>
  <c r="E26" i="58"/>
  <c r="C30"/>
  <c r="C29" i="39"/>
  <c r="C25" i="40"/>
  <c r="B55" i="43"/>
  <c r="B75"/>
  <c r="U12" i="59"/>
  <c r="D51"/>
  <c r="AA9"/>
  <c r="AA12"/>
  <c r="X9"/>
  <c r="X11"/>
  <c r="AA13"/>
  <c r="E14"/>
  <c r="E15" s="1"/>
  <c r="E16" s="1"/>
  <c r="U16" s="1"/>
  <c r="AA17"/>
  <c r="E18"/>
  <c r="E19" s="1"/>
  <c r="E20" s="1"/>
  <c r="U20" s="1"/>
  <c r="E50"/>
  <c r="P51"/>
  <c r="P52"/>
  <c r="U52"/>
  <c r="X8"/>
  <c r="AA7"/>
  <c r="AB5"/>
  <c r="Y8"/>
  <c r="Z8" s="1"/>
  <c r="C6"/>
  <c r="D7"/>
  <c r="Y5"/>
  <c r="Z5" s="1"/>
  <c r="AA5"/>
  <c r="X13"/>
  <c r="F14"/>
  <c r="F15" s="1"/>
  <c r="F16" s="1"/>
  <c r="V16" s="1"/>
  <c r="AB14"/>
  <c r="AB15"/>
  <c r="AB16"/>
  <c r="X17"/>
  <c r="AB17"/>
  <c r="F18"/>
  <c r="F19" s="1"/>
  <c r="F20" s="1"/>
  <c r="V20" s="1"/>
  <c r="AB18"/>
  <c r="AB19"/>
  <c r="AB20"/>
  <c r="X21"/>
  <c r="E22"/>
  <c r="E23" s="1"/>
  <c r="E24" s="1"/>
  <c r="U24" s="1"/>
  <c r="AB21"/>
  <c r="F22"/>
  <c r="F23" s="1"/>
  <c r="F24" s="1"/>
  <c r="V24" s="1"/>
  <c r="AB22"/>
  <c r="F51"/>
  <c r="N52"/>
  <c r="B55"/>
  <c r="B54" s="1"/>
  <c r="F55"/>
  <c r="F54" s="1"/>
  <c r="V60"/>
  <c r="F59"/>
  <c r="F58" s="1"/>
  <c r="J1" i="61"/>
  <c r="X6" i="59"/>
  <c r="AA8"/>
  <c r="X5"/>
  <c r="D8"/>
  <c r="S8"/>
  <c r="T8"/>
  <c r="Y7"/>
  <c r="Z7" s="1"/>
  <c r="AA6"/>
  <c r="Y6"/>
  <c r="Z6" s="1"/>
  <c r="AB8"/>
  <c r="X7"/>
  <c r="AB7"/>
  <c r="AB6"/>
  <c r="F16" i="48"/>
  <c r="H16" s="1"/>
  <c r="F22"/>
  <c r="H22" s="1"/>
  <c r="B9"/>
  <c r="D9" s="1"/>
  <c r="B14"/>
  <c r="D14" s="1"/>
  <c r="F15"/>
  <c r="H15" s="1"/>
  <c r="M60" i="15"/>
  <c r="L60"/>
  <c r="Q72" s="1"/>
  <c r="J54"/>
  <c r="N60"/>
  <c r="P72"/>
  <c r="K109" i="43"/>
  <c r="M109"/>
  <c r="C106"/>
  <c r="D109"/>
  <c r="L103"/>
  <c r="H106"/>
  <c r="C102"/>
  <c r="F107"/>
  <c r="J109"/>
  <c r="L109"/>
  <c r="N109"/>
  <c r="C21"/>
  <c r="E48"/>
  <c r="B46" s="1"/>
  <c r="C24" s="1"/>
  <c r="C16"/>
  <c r="D5" s="1"/>
  <c r="H56"/>
  <c r="H65"/>
  <c r="H83"/>
  <c r="H82"/>
  <c r="H61"/>
  <c r="H49"/>
  <c r="H60"/>
  <c r="C92" i="9"/>
  <c r="C94"/>
  <c r="C93" i="57"/>
  <c r="C95"/>
  <c r="C18" i="15"/>
  <c r="C16" i="12"/>
  <c r="C21" s="1"/>
  <c r="C22" s="1"/>
  <c r="L59" i="15"/>
  <c r="J58"/>
  <c r="J56" s="1"/>
  <c r="J59" s="1"/>
  <c r="Q48" s="1"/>
  <c r="I55"/>
  <c r="L57"/>
  <c r="C16"/>
  <c r="AB10" i="39"/>
  <c r="U10"/>
  <c r="J10" i="40"/>
  <c r="F10"/>
  <c r="AA10" s="1"/>
  <c r="J10" i="39"/>
  <c r="F10"/>
  <c r="H10" i="40"/>
  <c r="D32" i="9"/>
  <c r="D19" i="50"/>
  <c r="B32" i="60" s="1"/>
  <c r="A132" i="9"/>
  <c r="B20" i="60"/>
  <c r="D41" i="50"/>
  <c r="B63" i="60" s="1"/>
  <c r="D20" i="50"/>
  <c r="D128" i="9"/>
  <c r="D11" i="52" s="1"/>
  <c r="C111" i="9"/>
  <c r="H108" s="1"/>
  <c r="C110"/>
  <c r="H107" s="1"/>
  <c r="C109"/>
  <c r="H106" s="1"/>
  <c r="H105"/>
  <c r="C18" i="50"/>
  <c r="D130" i="57"/>
  <c r="H14" i="62" s="1"/>
  <c r="B7" s="1"/>
  <c r="L69" i="57"/>
  <c r="M69" s="1"/>
  <c r="L68"/>
  <c r="M68" s="1"/>
  <c r="L67"/>
  <c r="M67" s="1"/>
  <c r="L66"/>
  <c r="M66" s="1"/>
  <c r="L65"/>
  <c r="M65" s="1"/>
  <c r="L64"/>
  <c r="M64" s="1"/>
  <c r="M70" s="1"/>
  <c r="N70" s="1"/>
  <c r="C107"/>
  <c r="D110"/>
  <c r="I104"/>
  <c r="E124"/>
  <c r="G124"/>
  <c r="F125"/>
  <c r="I103"/>
  <c r="C106"/>
  <c r="H125"/>
  <c r="D109"/>
  <c r="D115" s="1"/>
  <c r="C21" i="50"/>
  <c r="D120" i="57"/>
  <c r="I116" s="1"/>
  <c r="Q59" i="15"/>
  <c r="C6"/>
  <c r="F51"/>
  <c r="F31"/>
  <c r="C23" i="12"/>
  <c r="C31"/>
  <c r="H87" i="43"/>
  <c r="H86"/>
  <c r="H73"/>
  <c r="E3" i="4"/>
  <c r="B5" i="55" s="1"/>
  <c r="B55" i="60" s="1"/>
  <c r="F58" i="21"/>
  <c r="F46" i="36"/>
  <c r="G46" s="1"/>
  <c r="H46" s="1"/>
  <c r="I46" s="1"/>
  <c r="J46" s="1"/>
  <c r="K46" s="1"/>
  <c r="L46" s="1"/>
  <c r="M46" s="1"/>
  <c r="N46" s="1"/>
  <c r="O46" s="1"/>
  <c r="C65" i="40"/>
  <c r="D63"/>
  <c r="F58" i="33"/>
  <c r="D59" i="34"/>
  <c r="E59" s="1"/>
  <c r="F59" s="1"/>
  <c r="G59" s="1"/>
  <c r="H59" s="1"/>
  <c r="I59" s="1"/>
  <c r="J59" s="1"/>
  <c r="K59" s="1"/>
  <c r="L59" s="1"/>
  <c r="M59" s="1"/>
  <c r="N59" s="1"/>
  <c r="O59" s="1"/>
  <c r="F7"/>
  <c r="J7"/>
  <c r="H7"/>
  <c r="E52" i="37"/>
  <c r="F52" s="1"/>
  <c r="G52" s="1"/>
  <c r="H52" s="1"/>
  <c r="I52" s="1"/>
  <c r="J52" s="1"/>
  <c r="K52" s="1"/>
  <c r="L52" s="1"/>
  <c r="M52" s="1"/>
  <c r="N52" s="1"/>
  <c r="O52" s="1"/>
  <c r="J7"/>
  <c r="C70" i="39"/>
  <c r="D68"/>
  <c r="F48" i="35"/>
  <c r="G48" s="1"/>
  <c r="H48" s="1"/>
  <c r="I48" s="1"/>
  <c r="J48" s="1"/>
  <c r="K48" s="1"/>
  <c r="L48" s="1"/>
  <c r="M48" s="1"/>
  <c r="N48" s="1"/>
  <c r="O48" s="1"/>
  <c r="F7"/>
  <c r="F7" i="36"/>
  <c r="F7" i="37"/>
  <c r="H7"/>
  <c r="J7" i="35"/>
  <c r="H7"/>
  <c r="B8" i="48"/>
  <c r="D8" s="1"/>
  <c r="B16"/>
  <c r="D16" s="1"/>
  <c r="F7"/>
  <c r="H7" s="1"/>
  <c r="F11"/>
  <c r="H11" s="1"/>
  <c r="B11"/>
  <c r="D11" s="1"/>
  <c r="F5"/>
  <c r="H5" s="1"/>
  <c r="F6"/>
  <c r="H6" s="1"/>
  <c r="F4"/>
  <c r="H4" s="1"/>
  <c r="B6"/>
  <c r="B7"/>
  <c r="D7" s="1"/>
  <c r="B10"/>
  <c r="D10" s="1"/>
  <c r="B4"/>
  <c r="D4" s="1"/>
  <c r="F14"/>
  <c r="H14" s="1"/>
  <c r="F17"/>
  <c r="D103" i="57"/>
  <c r="I1" i="61"/>
  <c r="B30" i="1" s="1"/>
  <c r="D102" i="57"/>
  <c r="G20"/>
  <c r="C103"/>
  <c r="K1" i="61"/>
  <c r="C102" i="57"/>
  <c r="G19"/>
  <c r="C105" s="1"/>
  <c r="D22"/>
  <c r="D22" i="59" l="1"/>
  <c r="C23"/>
  <c r="D27"/>
  <c r="C28"/>
  <c r="AA39" i="40"/>
  <c r="S39"/>
  <c r="AC39"/>
  <c r="W39"/>
  <c r="W27"/>
  <c r="AC27"/>
  <c r="AA37" i="39"/>
  <c r="S37"/>
  <c r="W31"/>
  <c r="AC31"/>
  <c r="AB46" i="33"/>
  <c r="U46"/>
  <c r="S12"/>
  <c r="AA12"/>
  <c r="AB44"/>
  <c r="U44"/>
  <c r="S45" i="34"/>
  <c r="AA45"/>
  <c r="S10" i="40"/>
  <c r="D116" i="57"/>
  <c r="I112" s="1"/>
  <c r="D129" s="1"/>
  <c r="C15" i="59"/>
  <c r="D14"/>
  <c r="C36"/>
  <c r="D35"/>
  <c r="U39" i="40"/>
  <c r="AB39"/>
  <c r="S27"/>
  <c r="AA27"/>
  <c r="U27"/>
  <c r="AB27"/>
  <c r="W37" i="39"/>
  <c r="AC37"/>
  <c r="AA31"/>
  <c r="S31"/>
  <c r="W46" i="33"/>
  <c r="AC46"/>
  <c r="AB30"/>
  <c r="U30"/>
  <c r="W12"/>
  <c r="AC12"/>
  <c r="AC14"/>
  <c r="W14"/>
  <c r="U29" i="34"/>
  <c r="AB29"/>
  <c r="U13" i="35"/>
  <c r="AB13"/>
  <c r="H7" i="36"/>
  <c r="C8" i="62"/>
  <c r="C33" i="11"/>
  <c r="C39" s="1"/>
  <c r="C46" s="1"/>
  <c r="C45" s="1"/>
  <c r="C19" i="15"/>
  <c r="C20" s="1"/>
  <c r="C26" s="1"/>
  <c r="F50" i="59"/>
  <c r="Q51"/>
  <c r="C5"/>
  <c r="D6"/>
  <c r="P49"/>
  <c r="P50"/>
  <c r="T20"/>
  <c r="D20"/>
  <c r="AC36" i="35"/>
  <c r="W36"/>
  <c r="AA9"/>
  <c r="S9"/>
  <c r="U9"/>
  <c r="AB9"/>
  <c r="B33" i="1"/>
  <c r="F41" i="15" s="1"/>
  <c r="F70" s="1"/>
  <c r="Q50"/>
  <c r="C5" i="43"/>
  <c r="C30" i="12"/>
  <c r="C28" s="1"/>
  <c r="C104" i="57"/>
  <c r="Q58" i="15"/>
  <c r="Q71"/>
  <c r="U10" i="40"/>
  <c r="AB10"/>
  <c r="AC10" i="39"/>
  <c r="W10"/>
  <c r="AC10" i="40"/>
  <c r="W10"/>
  <c r="S10" i="39"/>
  <c r="AA10"/>
  <c r="C7" i="62"/>
  <c r="D7"/>
  <c r="I111" i="57"/>
  <c r="D128" s="1"/>
  <c r="M49"/>
  <c r="D46"/>
  <c r="F60" i="15"/>
  <c r="C50"/>
  <c r="D6" i="48"/>
  <c r="C3" i="4"/>
  <c r="AB7" i="35"/>
  <c r="T38" s="1"/>
  <c r="G38" s="1"/>
  <c r="U7"/>
  <c r="AC7"/>
  <c r="V38" s="1"/>
  <c r="I38" s="1"/>
  <c r="W7"/>
  <c r="S7" i="37"/>
  <c r="AA7"/>
  <c r="R42" s="1"/>
  <c r="AA7" i="36"/>
  <c r="R36" s="1"/>
  <c r="S7"/>
  <c r="W7" i="34"/>
  <c r="AC7"/>
  <c r="V49" s="1"/>
  <c r="I49" s="1"/>
  <c r="G58" i="21"/>
  <c r="J7" i="36"/>
  <c r="AB7" i="37"/>
  <c r="T42" s="1"/>
  <c r="G42" s="1"/>
  <c r="U7"/>
  <c r="S7" i="35"/>
  <c r="AA7"/>
  <c r="R38" s="1"/>
  <c r="D70" i="39"/>
  <c r="E68"/>
  <c r="W7" i="37"/>
  <c r="AC7"/>
  <c r="V42" s="1"/>
  <c r="I42" s="1"/>
  <c r="U7" i="34"/>
  <c r="AB7"/>
  <c r="T49" s="1"/>
  <c r="G49" s="1"/>
  <c r="AA7"/>
  <c r="R49" s="1"/>
  <c r="S7"/>
  <c r="G58" i="33"/>
  <c r="D65" i="40"/>
  <c r="E63"/>
  <c r="U7" i="36"/>
  <c r="AB7"/>
  <c r="T36" s="1"/>
  <c r="G36" s="1"/>
  <c r="F11" i="15"/>
  <c r="M11"/>
  <c r="J10" s="1"/>
  <c r="J5" s="1"/>
  <c r="D7" i="61"/>
  <c r="D3"/>
  <c r="D4"/>
  <c r="D6"/>
  <c r="D5"/>
  <c r="D28" i="59" l="1"/>
  <c r="T28"/>
  <c r="D23"/>
  <c r="C24"/>
  <c r="T36"/>
  <c r="D36"/>
  <c r="C16"/>
  <c r="D15"/>
  <c r="E20" i="43"/>
  <c r="D5" i="59"/>
  <c r="Q50"/>
  <c r="Q49"/>
  <c r="D53" i="57"/>
  <c r="D54"/>
  <c r="D49" s="1"/>
  <c r="M53" s="1"/>
  <c r="C86"/>
  <c r="C94"/>
  <c r="C87" s="1"/>
  <c r="C96" s="1"/>
  <c r="C79"/>
  <c r="C74" s="1"/>
  <c r="C73"/>
  <c r="D56"/>
  <c r="M54" s="1"/>
  <c r="C65"/>
  <c r="C64" s="1"/>
  <c r="C68" s="1"/>
  <c r="C69" s="1"/>
  <c r="D55" s="1"/>
  <c r="B4" i="55"/>
  <c r="B53" i="60" s="1"/>
  <c r="B18" i="49"/>
  <c r="B4" i="60" s="1"/>
  <c r="G40" i="36"/>
  <c r="H40" s="1"/>
  <c r="E65" i="40"/>
  <c r="F63"/>
  <c r="W7" i="36"/>
  <c r="AC7"/>
  <c r="V36" s="1"/>
  <c r="I36" s="1"/>
  <c r="G41" s="1"/>
  <c r="H41" s="1"/>
  <c r="H58" i="33"/>
  <c r="R50" i="34"/>
  <c r="E49"/>
  <c r="I54" s="1"/>
  <c r="J54" s="1"/>
  <c r="G46" i="37"/>
  <c r="H46" s="1"/>
  <c r="G47"/>
  <c r="H47" s="1"/>
  <c r="H58" i="21"/>
  <c r="R43" i="37"/>
  <c r="E42"/>
  <c r="G53" i="34"/>
  <c r="H53" s="1"/>
  <c r="G54"/>
  <c r="H54" s="1"/>
  <c r="I46" i="37"/>
  <c r="J46" s="1"/>
  <c r="I47"/>
  <c r="J47" s="1"/>
  <c r="E70" i="39"/>
  <c r="F68"/>
  <c r="R39" i="35"/>
  <c r="E38"/>
  <c r="I53" i="34"/>
  <c r="J53" s="1"/>
  <c r="R37" i="36"/>
  <c r="E36"/>
  <c r="I42" i="35"/>
  <c r="J42" s="1"/>
  <c r="I43"/>
  <c r="J43" s="1"/>
  <c r="G43"/>
  <c r="H43" s="1"/>
  <c r="G42"/>
  <c r="H42" s="1"/>
  <c r="C10" i="15"/>
  <c r="C5" s="1"/>
  <c r="C54"/>
  <c r="C49" s="1"/>
  <c r="J18"/>
  <c r="J26"/>
  <c r="J29" s="1"/>
  <c r="J24"/>
  <c r="G1" i="61"/>
  <c r="T16" i="59" l="1"/>
  <c r="D16"/>
  <c r="M19" i="43"/>
  <c r="T24" i="59"/>
  <c r="D24"/>
  <c r="E27" i="1"/>
  <c r="N17" i="43"/>
  <c r="P17"/>
  <c r="M17"/>
  <c r="G20" s="1"/>
  <c r="O17"/>
  <c r="C98" i="57"/>
  <c r="D59" s="1"/>
  <c r="D57" s="1"/>
  <c r="M55" s="1"/>
  <c r="N58" s="1"/>
  <c r="C97"/>
  <c r="E97" s="1"/>
  <c r="E98" s="1"/>
  <c r="C80"/>
  <c r="C36" i="36"/>
  <c r="C37"/>
  <c r="B2" s="1"/>
  <c r="B3" s="1"/>
  <c r="C38" i="35"/>
  <c r="C39"/>
  <c r="E40" i="36"/>
  <c r="F40" s="1"/>
  <c r="E41"/>
  <c r="F41" s="1"/>
  <c r="E43" i="35"/>
  <c r="F43" s="1"/>
  <c r="E42"/>
  <c r="F42" s="1"/>
  <c r="G68" i="39"/>
  <c r="F70"/>
  <c r="E46" i="37"/>
  <c r="F46" s="1"/>
  <c r="E47"/>
  <c r="F47" s="1"/>
  <c r="I58" i="21"/>
  <c r="C50" i="34"/>
  <c r="B2" s="1"/>
  <c r="B3" s="1"/>
  <c r="C49"/>
  <c r="I58" i="33"/>
  <c r="C43" i="37"/>
  <c r="B2" s="1"/>
  <c r="B3" s="1"/>
  <c r="C42"/>
  <c r="E53" i="34"/>
  <c r="F53" s="1"/>
  <c r="E54"/>
  <c r="F54" s="1"/>
  <c r="I40" i="36"/>
  <c r="J40" s="1"/>
  <c r="I41"/>
  <c r="J41" s="1"/>
  <c r="F65" i="40"/>
  <c r="G63"/>
  <c r="C38" i="15"/>
  <c r="C32"/>
  <c r="C67"/>
  <c r="C61"/>
  <c r="M20" i="43" l="1"/>
  <c r="C19" s="1"/>
  <c r="F22" i="11"/>
  <c r="F25" i="12"/>
  <c r="F24" i="15"/>
  <c r="E41" i="43"/>
  <c r="C41" s="1"/>
  <c r="C20"/>
  <c r="P58" i="57"/>
  <c r="N59"/>
  <c r="N60"/>
  <c r="C81"/>
  <c r="E81" s="1"/>
  <c r="E82" s="1"/>
  <c r="C82"/>
  <c r="B3" i="35"/>
  <c r="B2"/>
  <c r="G65" i="40"/>
  <c r="H63"/>
  <c r="J58" i="33"/>
  <c r="J58" i="21"/>
  <c r="G70" i="39"/>
  <c r="H68"/>
  <c r="C27" i="12" l="1"/>
  <c r="C25" s="1"/>
  <c r="C26"/>
  <c r="D25" s="1"/>
  <c r="C23" i="15"/>
  <c r="C24"/>
  <c r="C43" i="11"/>
  <c r="C26"/>
  <c r="D22" s="1"/>
  <c r="C42"/>
  <c r="C44"/>
  <c r="D41" s="1"/>
  <c r="C24"/>
  <c r="C39" i="43"/>
  <c r="C38"/>
  <c r="C37"/>
  <c r="C29"/>
  <c r="T16"/>
  <c r="V16" s="1"/>
  <c r="T13"/>
  <c r="V13" s="1"/>
  <c r="T15"/>
  <c r="V15" s="1"/>
  <c r="T11"/>
  <c r="V11" s="1"/>
  <c r="C36"/>
  <c r="C33"/>
  <c r="T2"/>
  <c r="V2" s="1"/>
  <c r="T7"/>
  <c r="V7" s="1"/>
  <c r="T9"/>
  <c r="V9" s="1"/>
  <c r="C35"/>
  <c r="T5"/>
  <c r="V5" s="1"/>
  <c r="T8"/>
  <c r="V8" s="1"/>
  <c r="T4"/>
  <c r="V4" s="1"/>
  <c r="T12"/>
  <c r="V12" s="1"/>
  <c r="C34"/>
  <c r="T3"/>
  <c r="V3" s="1"/>
  <c r="T10"/>
  <c r="V10" s="1"/>
  <c r="T6"/>
  <c r="V6" s="1"/>
  <c r="T14"/>
  <c r="V14" s="1"/>
  <c r="J60" i="15"/>
  <c r="J61" s="1"/>
  <c r="Q46" s="1"/>
  <c r="N62" i="57"/>
  <c r="N61"/>
  <c r="K58" i="33"/>
  <c r="H70" i="39"/>
  <c r="I68"/>
  <c r="K58" i="21"/>
  <c r="H65" i="40"/>
  <c r="I63"/>
  <c r="C41" i="11" l="1"/>
  <c r="C49" s="1"/>
  <c r="C51" s="1"/>
  <c r="C29" i="15"/>
  <c r="C32" i="12"/>
  <c r="E34" i="43"/>
  <c r="G34"/>
  <c r="I34" s="1"/>
  <c r="G36"/>
  <c r="I36" s="1"/>
  <c r="E36"/>
  <c r="G37"/>
  <c r="I37" s="1"/>
  <c r="E37"/>
  <c r="E39"/>
  <c r="G39"/>
  <c r="I39" s="1"/>
  <c r="E35"/>
  <c r="G35"/>
  <c r="I35" s="1"/>
  <c r="E33"/>
  <c r="G33"/>
  <c r="I33" s="1"/>
  <c r="E29"/>
  <c r="C30"/>
  <c r="E30" s="1"/>
  <c r="E38"/>
  <c r="G38"/>
  <c r="I38" s="1"/>
  <c r="L58" i="21"/>
  <c r="J63" i="40"/>
  <c r="I65"/>
  <c r="J68" i="39"/>
  <c r="I70"/>
  <c r="L58" i="33"/>
  <c r="C33" i="15" l="1"/>
  <c r="C31" s="1"/>
  <c r="J19"/>
  <c r="J17" s="1"/>
  <c r="B3" i="12"/>
  <c r="B2"/>
  <c r="C58" i="15"/>
  <c r="Q47"/>
  <c r="J14"/>
  <c r="C36"/>
  <c r="C13"/>
  <c r="C26" i="43"/>
  <c r="C27"/>
  <c r="M58" i="21"/>
  <c r="M58" i="33"/>
  <c r="J70" i="39"/>
  <c r="K68"/>
  <c r="J65" i="40"/>
  <c r="K63"/>
  <c r="C65" i="15" l="1"/>
  <c r="C62"/>
  <c r="C60" s="1"/>
  <c r="Q68"/>
  <c r="J34"/>
  <c r="C37"/>
  <c r="C30" s="1"/>
  <c r="C39" s="1"/>
  <c r="C57"/>
  <c r="C66" s="1"/>
  <c r="J22"/>
  <c r="J13"/>
  <c r="J23" s="1"/>
  <c r="C6" i="11"/>
  <c r="C7" s="1"/>
  <c r="C5" s="1"/>
  <c r="B2" i="43"/>
  <c r="B3" s="1"/>
  <c r="N58" i="33"/>
  <c r="N58" i="21"/>
  <c r="L63" i="40"/>
  <c r="K65"/>
  <c r="L68" i="39"/>
  <c r="K70"/>
  <c r="L58" i="15"/>
  <c r="L61" s="1"/>
  <c r="L47" s="1"/>
  <c r="C59" l="1"/>
  <c r="C68" s="1"/>
  <c r="C69" s="1"/>
  <c r="C72" s="1"/>
  <c r="J38"/>
  <c r="J39" s="1"/>
  <c r="Q67"/>
  <c r="Q66" s="1"/>
  <c r="C40"/>
  <c r="J16"/>
  <c r="J25" s="1"/>
  <c r="C20" i="11"/>
  <c r="C23"/>
  <c r="B3" i="15"/>
  <c r="M68" i="39"/>
  <c r="L70"/>
  <c r="M63" i="40"/>
  <c r="L65"/>
  <c r="O58" i="21"/>
  <c r="J7"/>
  <c r="O58" i="33"/>
  <c r="F7"/>
  <c r="Q64" i="15"/>
  <c r="Q55"/>
  <c r="C20" i="9"/>
  <c r="C47" i="15" l="1"/>
  <c r="B2"/>
  <c r="Q54"/>
  <c r="Q60" s="1"/>
  <c r="Q45"/>
  <c r="Q51" s="1"/>
  <c r="C43"/>
  <c r="J41"/>
  <c r="Q63"/>
  <c r="Q73" s="1"/>
  <c r="L52"/>
  <c r="Q65" s="1"/>
  <c r="C28" i="11"/>
  <c r="C27" s="1"/>
  <c r="C25"/>
  <c r="C22" s="1"/>
  <c r="C102" i="9"/>
  <c r="AA7" i="33"/>
  <c r="R48" s="1"/>
  <c r="S7"/>
  <c r="J7"/>
  <c r="H7"/>
  <c r="F7" i="21"/>
  <c r="H7"/>
  <c r="N63" i="40"/>
  <c r="M65"/>
  <c r="N68" i="39"/>
  <c r="M70"/>
  <c r="AC7" i="21"/>
  <c r="V48" s="1"/>
  <c r="I48" s="1"/>
  <c r="W7"/>
  <c r="C19" i="9"/>
  <c r="C101" l="1"/>
  <c r="J42" i="15"/>
  <c r="D35" i="9"/>
  <c r="D34" s="1"/>
  <c r="C31" i="11"/>
  <c r="C52" s="1"/>
  <c r="I52" i="21"/>
  <c r="J52" s="1"/>
  <c r="O68" i="39"/>
  <c r="O70" s="1"/>
  <c r="N70"/>
  <c r="N65" i="40"/>
  <c r="O63"/>
  <c r="O65" s="1"/>
  <c r="AA7" i="21"/>
  <c r="R48" s="1"/>
  <c r="S7"/>
  <c r="AC7" i="33"/>
  <c r="V48" s="1"/>
  <c r="I48" s="1"/>
  <c r="W7"/>
  <c r="E48"/>
  <c r="R49"/>
  <c r="AB7" i="21"/>
  <c r="T48" s="1"/>
  <c r="G48" s="1"/>
  <c r="U7"/>
  <c r="AB7" i="33"/>
  <c r="T48" s="1"/>
  <c r="G48" s="1"/>
  <c r="U7"/>
  <c r="B2" i="11" l="1"/>
  <c r="C56"/>
  <c r="C57" s="1"/>
  <c r="B3"/>
  <c r="G53" i="33"/>
  <c r="H53" s="1"/>
  <c r="G52"/>
  <c r="H52" s="1"/>
  <c r="G52" i="21"/>
  <c r="H52" s="1"/>
  <c r="G53"/>
  <c r="H53" s="1"/>
  <c r="E52" i="33"/>
  <c r="F52" s="1"/>
  <c r="E53"/>
  <c r="F53" s="1"/>
  <c r="I52"/>
  <c r="J52" s="1"/>
  <c r="I53"/>
  <c r="J53" s="1"/>
  <c r="E48" i="21"/>
  <c r="R49"/>
  <c r="F7" i="39"/>
  <c r="H7"/>
  <c r="J7"/>
  <c r="C48" i="33"/>
  <c r="C49"/>
  <c r="B2" s="1"/>
  <c r="B3" s="1"/>
  <c r="J7" i="40"/>
  <c r="H7"/>
  <c r="F7"/>
  <c r="D19" i="9"/>
  <c r="D20"/>
  <c r="G20" l="1"/>
  <c r="J20" s="1"/>
  <c r="D102"/>
  <c r="D101"/>
  <c r="D22"/>
  <c r="G19"/>
  <c r="C32" s="1"/>
  <c r="C35" s="1"/>
  <c r="C34" s="1"/>
  <c r="AB7" i="40"/>
  <c r="T42" s="1"/>
  <c r="G42" s="1"/>
  <c r="U7"/>
  <c r="W7" i="39"/>
  <c r="AC7"/>
  <c r="V47" s="1"/>
  <c r="I47" s="1"/>
  <c r="AA7"/>
  <c r="R47" s="1"/>
  <c r="S7"/>
  <c r="E53" i="21"/>
  <c r="F53" s="1"/>
  <c r="E52"/>
  <c r="F52" s="1"/>
  <c r="I53"/>
  <c r="J53" s="1"/>
  <c r="AA7" i="40"/>
  <c r="R42" s="1"/>
  <c r="S7"/>
  <c r="AC7"/>
  <c r="V42" s="1"/>
  <c r="I42" s="1"/>
  <c r="W7"/>
  <c r="AB7" i="39"/>
  <c r="T47" s="1"/>
  <c r="G47" s="1"/>
  <c r="U7"/>
  <c r="C48" i="21"/>
  <c r="C49"/>
  <c r="B2" s="1"/>
  <c r="B3" s="1"/>
  <c r="E47" i="39" l="1"/>
  <c r="R48"/>
  <c r="G46" i="40"/>
  <c r="H46" s="1"/>
  <c r="G47"/>
  <c r="H47" s="1"/>
  <c r="G51" i="39"/>
  <c r="H51" s="1"/>
  <c r="G52"/>
  <c r="H52" s="1"/>
  <c r="I46" i="40"/>
  <c r="J46" s="1"/>
  <c r="E42"/>
  <c r="I47" s="1"/>
  <c r="J47" s="1"/>
  <c r="R43"/>
  <c r="I51" i="39"/>
  <c r="J51" s="1"/>
  <c r="I52"/>
  <c r="J52" s="1"/>
  <c r="E46" i="40" l="1"/>
  <c r="F46" s="1"/>
  <c r="E47"/>
  <c r="F47" s="1"/>
  <c r="E52" i="39"/>
  <c r="F52" s="1"/>
  <c r="E51"/>
  <c r="F51" s="1"/>
  <c r="C43" i="40"/>
  <c r="C42"/>
  <c r="C48" i="39"/>
  <c r="C47"/>
  <c r="B59" l="1"/>
  <c r="F59" s="1"/>
  <c r="B56"/>
  <c r="F56" s="1"/>
  <c r="F66" s="1"/>
  <c r="B2" s="1"/>
  <c r="B3" s="1"/>
  <c r="B61"/>
  <c r="F61" s="1"/>
  <c r="B62"/>
  <c r="F62" s="1"/>
  <c r="B63"/>
  <c r="F63" s="1"/>
  <c r="B64"/>
  <c r="F64" s="1"/>
  <c r="B57"/>
  <c r="F57" s="1"/>
  <c r="B58"/>
  <c r="F58" s="1"/>
  <c r="B65"/>
  <c r="F65" s="1"/>
  <c r="B60"/>
  <c r="F60" s="1"/>
  <c r="B53" i="40"/>
  <c r="F53" s="1"/>
  <c r="B60"/>
  <c r="F60" s="1"/>
  <c r="B52"/>
  <c r="F52" s="1"/>
  <c r="B51"/>
  <c r="F51" s="1"/>
  <c r="F61" s="1"/>
  <c r="B2" s="1"/>
  <c r="B3" s="1"/>
  <c r="B58"/>
  <c r="F58" s="1"/>
  <c r="B56"/>
  <c r="F56" s="1"/>
  <c r="B59"/>
  <c r="F59" s="1"/>
  <c r="B54"/>
  <c r="F54" s="1"/>
  <c r="B57"/>
  <c r="F57" s="1"/>
  <c r="B55"/>
  <c r="F55" s="1"/>
  <c r="D121" i="9" l="1"/>
  <c r="E121" s="1"/>
  <c r="E4" i="52" s="1"/>
  <c r="B38" i="60" s="1"/>
  <c r="H121" i="9"/>
  <c r="F121"/>
  <c r="F122" s="1"/>
  <c r="F5" i="52" s="1"/>
  <c r="B42" i="60" s="1"/>
  <c r="C103" i="9" l="1"/>
  <c r="D14" i="62"/>
  <c r="D106" i="9"/>
  <c r="D112" s="1"/>
  <c r="D117" s="1"/>
  <c r="I121"/>
  <c r="I4" i="52" s="1"/>
  <c r="D4"/>
  <c r="B37" i="60" s="1"/>
  <c r="F4" i="52"/>
  <c r="B40" i="60" s="1"/>
  <c r="G121" i="9"/>
  <c r="G4" i="52" s="1"/>
  <c r="B41" i="60" s="1"/>
  <c r="H122" i="9"/>
  <c r="H5" i="52" s="1"/>
  <c r="D122" i="9"/>
  <c r="D5" i="52" s="1"/>
  <c r="B39" i="60" s="1"/>
  <c r="I102" i="9"/>
  <c r="H4" i="52"/>
  <c r="E14" i="62" l="1"/>
  <c r="F14"/>
  <c r="B5"/>
  <c r="C104" i="9"/>
  <c r="D107"/>
  <c r="D113" s="1"/>
  <c r="I103"/>
  <c r="D9" i="50" s="1"/>
  <c r="B21" i="60" s="1"/>
  <c r="I115" i="9"/>
  <c r="D23" i="50" s="1"/>
  <c r="B34" i="60" s="1"/>
  <c r="D44" i="50"/>
  <c r="D45" i="9"/>
  <c r="M48"/>
  <c r="I110"/>
  <c r="D7" i="50"/>
  <c r="D28"/>
  <c r="D29" s="1"/>
  <c r="D5" i="62" l="1"/>
  <c r="C5"/>
  <c r="D38" i="50"/>
  <c r="B62" i="60" s="1"/>
  <c r="I111" i="9"/>
  <c r="D126" s="1"/>
  <c r="D9" i="52" s="1"/>
  <c r="D30" i="50"/>
  <c r="B19" i="60"/>
  <c r="D8" i="50"/>
  <c r="B22" i="60" s="1"/>
  <c r="D17" i="50"/>
  <c r="D36"/>
  <c r="D37" s="1"/>
  <c r="D125" i="9"/>
  <c r="D15" i="50"/>
  <c r="D52" i="9"/>
  <c r="D59"/>
  <c r="M55" s="1"/>
  <c r="C93"/>
  <c r="C86" s="1"/>
  <c r="C72"/>
  <c r="D53"/>
  <c r="D48" s="1"/>
  <c r="M52" s="1"/>
  <c r="C64"/>
  <c r="C63" s="1"/>
  <c r="C67" s="1"/>
  <c r="C68" s="1"/>
  <c r="D54" s="1"/>
  <c r="D55"/>
  <c r="M53" s="1"/>
  <c r="C78"/>
  <c r="C73" s="1"/>
  <c r="C85"/>
  <c r="C95" s="1"/>
  <c r="D8" i="52" l="1"/>
  <c r="G14" i="62"/>
  <c r="B6" s="1"/>
  <c r="C96" i="9"/>
  <c r="E96" s="1"/>
  <c r="E97" s="1"/>
  <c r="B29" i="60"/>
  <c r="D16" i="50"/>
  <c r="B30" i="60" s="1"/>
  <c r="C79" i="9"/>
  <c r="D6" i="62" l="1"/>
  <c r="C6"/>
  <c r="C97" i="9"/>
  <c r="D58" s="1"/>
  <c r="D56" s="1"/>
  <c r="M54" s="1"/>
  <c r="N57" s="1"/>
  <c r="N58" s="1"/>
  <c r="C80"/>
  <c r="E80" s="1"/>
  <c r="E81" s="1"/>
  <c r="P57" l="1"/>
  <c r="N59"/>
  <c r="N61" s="1"/>
  <c r="C8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<sst xmlns="http://schemas.openxmlformats.org/spreadsheetml/2006/main" count="6763" uniqueCount="2847">
  <si>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</si>
  <si>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</si>
  <si>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</si>
  <si>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</si>
  <si>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</si>
  <si>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</si>
  <si>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</si>
  <si>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</si>
  <si>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</si>
  <si>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</si>
  <si>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</si>
  <si>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</si>
  <si>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</si>
  <si>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</si>
  <si>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</si>
  <si>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</si>
  <si>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</si>
  <si>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</si>
  <si>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</si>
  <si>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</si>
  <si>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</si>
  <si>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</si>
  <si>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</si>
  <si>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</si>
  <si>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</si>
  <si>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</si>
  <si>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</si>
  <si>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</si>
  <si>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</si>
  <si>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</si>
  <si>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</si>
  <si>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</si>
  <si>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</si>
  <si>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</si>
  <si>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</si>
  <si>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</si>
  <si>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</si>
  <si>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</si>
  <si>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</si>
  <si>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</si>
  <si>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</si>
  <si>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</si>
  <si>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</si>
  <si>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</si>
  <si>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</si>
  <si>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</si>
  <si>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</si>
  <si>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</si>
  <si>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</si>
  <si>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</si>
  <si>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</si>
  <si>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</si>
  <si>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</si>
  <si>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</si>
  <si>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</si>
  <si>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</si>
  <si>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</si>
  <si>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</si>
  <si>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</si>
  <si>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</si>
  <si>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</si>
  <si>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</si>
  <si>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</si>
  <si>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</si>
  <si>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</si>
  <si>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</si>
  <si>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</si>
  <si>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</si>
  <si>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</si>
  <si>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</si>
  <si>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</si>
  <si>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</si>
  <si>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</si>
  <si>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</si>
  <si>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</si>
  <si>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</si>
  <si>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</si>
  <si>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</si>
  <si>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</si>
  <si>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</si>
  <si>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</si>
  <si>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</si>
  <si>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</si>
  <si>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</si>
  <si>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</si>
  <si>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</si>
  <si>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</si>
  <si>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</si>
  <si>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</si>
  <si>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</si>
  <si>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</si>
  <si>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</si>
  <si>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</si>
  <si>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</si>
  <si>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</si>
  <si>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</si>
  <si>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</si>
  <si>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</si>
  <si>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</si>
  <si>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</si>
  <si>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</si>
  <si>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</si>
  <si>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</si>
  <si>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</si>
  <si>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</si>
  <si>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</si>
  <si>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</si>
  <si>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</si>
  <si>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</si>
  <si>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</si>
  <si>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</si>
  <si>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</si>
  <si>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</si>
  <si>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</si>
  <si>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</si>
  <si>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</si>
  <si>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</si>
  <si>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</si>
  <si>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</si>
  <si>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</si>
  <si>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</si>
  <si>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</si>
  <si>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</si>
  <si>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</si>
  <si>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</si>
  <si>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</si>
  <si>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</si>
  <si>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</si>
  <si>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</si>
  <si>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</si>
  <si>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</si>
  <si>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</si>
  <si>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</si>
  <si>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</si>
  <si>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</si>
  <si>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</si>
  <si>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</si>
  <si>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</si>
  <si>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</si>
  <si>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</si>
  <si>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</si>
  <si>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</si>
  <si>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</si>
  <si>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</si>
  <si>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</si>
  <si>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</si>
  <si>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</si>
  <si>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</si>
  <si>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</si>
  <si>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</si>
  <si>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</si>
  <si>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</si>
  <si>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</si>
  <si>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</si>
  <si>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</si>
  <si>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</si>
  <si>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</si>
  <si>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</si>
  <si>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</si>
  <si>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</si>
  <si>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</si>
  <si>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</si>
  <si>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</si>
  <si>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</si>
  <si>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</si>
  <si>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</si>
  <si>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</si>
  <si>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</si>
  <si>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</si>
  <si>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</si>
  <si>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</si>
  <si>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</si>
  <si>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</si>
  <si>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</si>
  <si>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</si>
  <si>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</si>
  <si>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</si>
  <si>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</si>
  <si>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</si>
  <si>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</si>
  <si>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</si>
  <si>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</si>
  <si>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</si>
  <si>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</si>
  <si>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</si>
  <si>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</si>
  <si>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</si>
  <si>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</si>
  <si>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</si>
  <si>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</si>
  <si>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</si>
  <si>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</si>
  <si>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</si>
  <si>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</si>
  <si>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</si>
  <si>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</si>
  <si>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</si>
  <si>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</si>
  <si>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</si>
  <si>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</si>
  <si>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</si>
  <si>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</si>
  <si>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</si>
  <si>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</si>
  <si>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</si>
  <si>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</si>
  <si>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</si>
  <si>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</si>
  <si>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</si>
  <si>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</si>
  <si>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</si>
  <si>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</si>
  <si>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</si>
  <si>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</si>
  <si>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</si>
  <si>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</si>
  <si>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</si>
  <si>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</si>
  <si>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</si>
  <si>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</si>
  <si>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</si>
  <si>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</si>
  <si>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</si>
  <si>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</si>
  <si>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</si>
  <si>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</si>
  <si>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</si>
  <si>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</si>
  <si>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</si>
  <si>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</si>
  <si>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</si>
  <si>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</si>
  <si>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</si>
  <si>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</si>
  <si>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</si>
  <si>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</si>
  <si>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</si>
  <si>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</si>
  <si>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</si>
  <si>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</si>
  <si>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</si>
  <si>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</si>
  <si>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</si>
  <si>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</si>
  <si>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</si>
  <si>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</si>
  <si>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</si>
  <si>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</si>
  <si>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</si>
  <si>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</si>
  <si>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</si>
  <si>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</si>
  <si>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</si>
  <si>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</si>
  <si>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</si>
  <si>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</si>
  <si>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</si>
  <si>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</si>
  <si>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</si>
  <si>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</si>
  <si>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</si>
  <si>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</si>
  <si>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</si>
  <si>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</si>
  <si>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</si>
  <si>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</si>
  <si>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</si>
  <si>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</si>
  <si>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</si>
  <si>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</si>
  <si>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</si>
  <si>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</si>
  <si>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</si>
  <si>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</si>
  <si>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</si>
  <si>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</si>
  <si>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</si>
  <si>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</si>
  <si>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</si>
  <si>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</si>
  <si>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</si>
  <si>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</si>
  <si>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</si>
  <si>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</si>
  <si>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</si>
  <si>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</si>
  <si>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</si>
  <si>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</si>
  <si>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</si>
  <si>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</si>
  <si>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</si>
  <si>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</si>
  <si>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</si>
  <si>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</si>
  <si>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</si>
  <si>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</si>
  <si>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</si>
  <si>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</si>
  <si>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</si>
  <si>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</si>
  <si>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</si>
  <si>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</si>
  <si>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</si>
  <si>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</si>
  <si>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</si>
  <si>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</si>
  <si>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</si>
  <si>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</si>
  <si>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</si>
  <si>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</si>
  <si>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</si>
  <si>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</si>
  <si>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</si>
  <si>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</si>
  <si>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</si>
  <si>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</si>
  <si>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</si>
  <si>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</si>
  <si>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</si>
  <si>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</si>
  <si>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</si>
  <si>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</si>
  <si>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</si>
  <si>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</si>
  <si>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</si>
  <si>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</si>
  <si>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</si>
  <si>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</si>
  <si>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</si>
  <si>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</si>
  <si>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</si>
  <si>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</si>
  <si>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</si>
  <si>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</si>
  <si>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</si>
  <si>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</si>
  <si>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</si>
  <si>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</si>
  <si>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</si>
  <si>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</si>
  <si>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</si>
  <si>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</si>
  <si>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</si>
  <si>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</si>
  <si>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</si>
  <si>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</si>
  <si>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</si>
  <si>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</si>
  <si>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</si>
  <si>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</si>
  <si>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</si>
  <si>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</si>
  <si>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</si>
  <si>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</si>
  <si>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</si>
  <si>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</si>
  <si>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</si>
  <si>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</si>
  <si>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</si>
  <si>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</si>
  <si>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</si>
  <si>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</si>
  <si>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</si>
  <si>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</si>
  <si>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</si>
  <si>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</si>
  <si>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</si>
  <si>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</si>
  <si>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</si>
  <si>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</si>
  <si>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</si>
  <si>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</si>
  <si>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</si>
  <si>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</si>
  <si>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</si>
  <si>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</si>
  <si>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</si>
  <si>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</si>
  <si>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</si>
  <si>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</si>
  <si>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</si>
  <si>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</si>
  <si>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</si>
  <si>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</si>
  <si>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</si>
  <si>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</si>
  <si>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</si>
  <si>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</si>
  <si>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</si>
  <si>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</si>
  <si>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</si>
  <si>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</si>
  <si>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</si>
  <si>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</si>
  <si>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</si>
  <si>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</si>
  <si>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</si>
  <si>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</si>
  <si>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</si>
  <si>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</si>
  <si>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</si>
  <si>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</si>
  <si>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</si>
  <si>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</si>
  <si>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</si>
  <si>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</si>
  <si>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</si>
  <si>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</si>
  <si>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</si>
  <si>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</si>
  <si>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</si>
  <si>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</si>
  <si>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</si>
  <si>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</si>
  <si>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</si>
  <si>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</si>
  <si>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</si>
  <si>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</si>
  <si>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</si>
  <si>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</si>
  <si>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</si>
  <si>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</si>
  <si>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</si>
  <si>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</si>
  <si>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</si>
  <si>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</si>
  <si>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</si>
  <si>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</si>
  <si>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</si>
  <si>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</si>
  <si>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</si>
  <si>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</si>
  <si>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</si>
  <si>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</si>
  <si>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</si>
  <si>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</si>
  <si>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</si>
  <si>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</si>
  <si>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</si>
  <si>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</si>
  <si>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</si>
  <si>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</si>
  <si>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</si>
  <si>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</si>
  <si>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</si>
  <si>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</si>
  <si>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</si>
  <si>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</si>
  <si>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</si>
  <si>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</si>
  <si>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</si>
  <si>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</si>
  <si>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</si>
  <si>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</si>
  <si>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</si>
  <si>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</si>
  <si>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</si>
  <si>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</si>
  <si>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</si>
  <si>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</si>
  <si>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</si>
  <si>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</si>
  <si>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</si>
  <si>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</si>
  <si>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</si>
  <si>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</si>
  <si>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</si>
  <si>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</si>
  <si>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</si>
  <si>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</si>
  <si>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</si>
  <si>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</si>
  <si>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</si>
  <si>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</si>
  <si>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</si>
  <si>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</si>
  <si>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</si>
  <si>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</si>
  <si>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</si>
  <si>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</si>
  <si>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</si>
  <si>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</si>
  <si>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</si>
  <si>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</si>
  <si>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</si>
  <si>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</si>
  <si>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</si>
  <si>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</si>
  <si>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</si>
  <si>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</si>
  <si>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</si>
  <si>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</si>
  <si>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</si>
  <si>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</si>
  <si>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</si>
  <si>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</si>
  <si>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</si>
  <si>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</si>
  <si>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</si>
  <si>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</si>
  <si>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</si>
  <si>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</si>
  <si>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</si>
  <si>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</si>
  <si>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</si>
  <si>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</si>
  <si>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</si>
  <si>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</si>
  <si>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</si>
  <si>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</si>
  <si>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</si>
  <si>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</si>
  <si>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</si>
  <si>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</si>
  <si>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</si>
  <si>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</si>
  <si>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</si>
  <si>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</si>
  <si>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</si>
  <si>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</si>
  <si>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</si>
  <si>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</si>
  <si>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</si>
  <si>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</si>
  <si>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</si>
  <si>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</si>
  <si>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</si>
  <si>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</si>
  <si>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</si>
  <si>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</si>
  <si>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</si>
  <si>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</si>
  <si>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</si>
  <si>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</si>
  <si>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</si>
  <si>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</si>
  <si>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</si>
  <si>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</si>
  <si>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</si>
  <si>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</si>
  <si>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</si>
  <si>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</si>
  <si>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</si>
  <si>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</si>
  <si>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</si>
  <si>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</si>
  <si>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</si>
  <si>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</si>
  <si>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</si>
  <si>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</si>
  <si>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</si>
  <si>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</si>
  <si>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</si>
  <si>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</si>
  <si>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</si>
  <si>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</si>
  <si>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</si>
  <si>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</si>
  <si>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</si>
  <si>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</si>
  <si>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</si>
  <si>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</si>
  <si>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</si>
  <si>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</si>
  <si>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</si>
  <si>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</si>
  <si>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</si>
  <si>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</si>
  <si>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</si>
  <si>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</si>
  <si>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</si>
  <si>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</si>
  <si>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</si>
  <si>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</si>
  <si>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</si>
  <si>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</si>
  <si>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</si>
  <si>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</si>
  <si>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</si>
  <si>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</si>
  <si>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</si>
  <si>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</si>
  <si>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</si>
  <si>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</si>
  <si>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</si>
  <si>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</si>
  <si>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</si>
  <si>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</si>
  <si>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</si>
  <si>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</si>
  <si>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</si>
  <si>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</si>
  <si>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</si>
  <si>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</si>
  <si>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</si>
  <si>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</si>
  <si>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</si>
  <si>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</si>
  <si>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</si>
  <si>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</si>
  <si>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</si>
  <si>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</si>
  <si>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</si>
  <si>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</si>
  <si>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</si>
  <si>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</si>
  <si>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</si>
  <si>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</si>
  <si>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</si>
  <si>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</si>
  <si>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</si>
  <si>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</si>
  <si>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</si>
  <si>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</si>
  <si>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</si>
  <si>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</si>
  <si>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</si>
  <si>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</si>
  <si>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</si>
  <si>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</si>
  <si>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</si>
  <si>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</si>
  <si>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</si>
  <si>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</si>
  <si>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</si>
  <si>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</si>
  <si>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</si>
  <si>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</si>
  <si>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</si>
  <si>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</si>
  <si>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</si>
  <si>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</si>
  <si>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</si>
  <si>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</si>
  <si>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</si>
  <si>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</si>
  <si>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</si>
  <si>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</si>
  <si>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</si>
  <si>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</si>
  <si>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</si>
  <si>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</si>
  <si>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</si>
  <si>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</si>
  <si>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</si>
  <si>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</si>
  <si>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</si>
  <si>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</si>
  <si>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</si>
  <si>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</si>
  <si>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</si>
  <si>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</si>
  <si>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</si>
  <si>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</si>
  <si>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</si>
  <si>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</si>
  <si>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</si>
  <si>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</si>
  <si>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</si>
  <si>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</si>
  <si>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</si>
  <si>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</si>
  <si>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</si>
  <si>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</si>
  <si>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</si>
  <si>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</si>
  <si>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</si>
  <si>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</si>
  <si>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</si>
  <si>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</si>
  <si>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</si>
  <si>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</si>
  <si>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</si>
  <si>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</si>
  <si>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</si>
  <si>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</si>
  <si>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</si>
  <si>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</si>
  <si>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</si>
  <si>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</si>
  <si>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</si>
  <si>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</si>
  <si>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</si>
  <si>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</si>
  <si>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</si>
  <si>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</si>
  <si>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</si>
  <si>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</si>
  <si>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</si>
  <si>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</si>
  <si>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</si>
  <si>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</si>
  <si>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</si>
  <si>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</si>
  <si>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</si>
  <si>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</si>
  <si>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</si>
  <si>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</si>
  <si>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</si>
  <si>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</si>
  <si>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</si>
  <si>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</si>
  <si>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</si>
  <si>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</si>
  <si>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</si>
  <si>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</si>
  <si>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</si>
  <si>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</si>
  <si>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</si>
  <si>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</si>
  <si>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</si>
  <si>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</si>
  <si>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</si>
  <si>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</si>
  <si>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</si>
  <si>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</si>
  <si>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</si>
  <si>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</si>
  <si>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</si>
  <si>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</si>
  <si>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</si>
  <si>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</si>
  <si>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</si>
  <si>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</si>
  <si>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</si>
  <si>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</si>
  <si>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</si>
  <si>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</si>
  <si>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</si>
  <si>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</si>
  <si>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</si>
  <si>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</si>
  <si>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</si>
  <si>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</si>
  <si>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</si>
  <si>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</si>
  <si>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</si>
  <si>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</si>
  <si>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</si>
  <si>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</si>
  <si>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</si>
  <si>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</si>
  <si>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</si>
  <si>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</si>
  <si>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</si>
  <si>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</si>
  <si>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</si>
  <si>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</si>
  <si>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</si>
  <si>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</si>
  <si>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</si>
  <si>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</si>
  <si>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</si>
  <si>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</si>
  <si>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</si>
  <si>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</si>
  <si>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</si>
  <si>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</si>
  <si>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</si>
  <si>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</si>
  <si>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</si>
  <si>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</si>
  <si>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</si>
  <si>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</si>
  <si>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</si>
  <si>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</si>
  <si>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</si>
  <si>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</si>
  <si>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</si>
  <si>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</si>
  <si>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</si>
  <si>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</si>
  <si>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</si>
  <si>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</si>
  <si>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</si>
  <si>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</si>
  <si>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</si>
  <si>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</si>
  <si>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</si>
  <si>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</si>
  <si>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</si>
  <si>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</si>
  <si>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</si>
  <si>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</si>
  <si>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</si>
  <si>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</si>
  <si>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</si>
  <si>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</si>
  <si>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</si>
  <si>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</si>
  <si>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</si>
  <si>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</si>
  <si>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</si>
  <si>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</si>
  <si>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</si>
  <si>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</si>
  <si>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</si>
  <si>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</si>
  <si>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</si>
  <si>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</si>
  <si>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</si>
  <si>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</si>
  <si>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</si>
  <si>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</si>
  <si>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</si>
  <si>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</si>
  <si>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</si>
  <si>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</si>
  <si>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</si>
  <si>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</si>
  <si>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</si>
  <si>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</si>
  <si>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</si>
  <si>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</si>
  <si>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</si>
  <si>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</si>
  <si>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</si>
  <si>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</si>
  <si>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</si>
  <si>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</si>
  <si>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</si>
  <si>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</si>
  <si>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</si>
  <si>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</si>
  <si>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</si>
  <si>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</si>
  <si>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</si>
  <si>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</si>
  <si>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</si>
  <si>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</si>
  <si>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</si>
  <si>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</si>
  <si>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</si>
  <si>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</si>
  <si>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</si>
  <si>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</si>
  <si>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</si>
  <si>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</si>
  <si>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</si>
  <si>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</si>
  <si>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</si>
  <si>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</si>
  <si>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</si>
  <si>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</si>
  <si>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</si>
  <si>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</si>
  <si>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</si>
  <si>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</si>
  <si>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</si>
  <si>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</si>
  <si>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</si>
  <si>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</si>
  <si>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</si>
  <si>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</si>
  <si>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</si>
  <si>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</si>
  <si>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</si>
  <si>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</si>
  <si>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</si>
  <si>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</si>
  <si>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</si>
  <si>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</si>
  <si>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</si>
  <si>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</si>
  <si>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</si>
  <si>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</si>
  <si>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</si>
  <si>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</si>
  <si>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</si>
  <si>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</si>
  <si>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</si>
  <si>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</si>
  <si>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</si>
  <si>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</si>
  <si>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</si>
  <si>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</si>
  <si>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</si>
  <si>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</si>
  <si>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</si>
  <si>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</si>
  <si>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</si>
  <si>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</si>
  <si>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</si>
  <si>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</si>
  <si>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</si>
  <si>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</si>
  <si>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</si>
  <si>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</si>
  <si>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</si>
  <si>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</si>
  <si>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</si>
  <si>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</si>
  <si>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</si>
  <si>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</si>
  <si>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</si>
  <si>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</si>
  <si>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</si>
  <si>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</si>
  <si>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</si>
  <si>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</si>
  <si>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</si>
  <si>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</si>
  <si>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</si>
  <si>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</si>
  <si>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</si>
  <si>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</si>
  <si>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</si>
  <si>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</si>
  <si>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</si>
  <si>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</si>
  <si>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</si>
  <si>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</si>
  <si>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</si>
  <si>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</si>
  <si>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</si>
  <si>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</si>
  <si>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</si>
  <si>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</si>
  <si>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</si>
  <si>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</si>
  <si>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</si>
  <si>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</si>
  <si>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</si>
  <si>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</si>
  <si>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</si>
  <si>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</si>
  <si>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</si>
  <si>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</si>
  <si>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</si>
  <si>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</si>
  <si>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</si>
  <si>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</si>
  <si>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</si>
  <si>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</si>
  <si>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</si>
  <si>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</si>
  <si>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</si>
  <si>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</si>
  <si>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</si>
  <si>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</si>
  <si>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</si>
  <si>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</si>
  <si>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</si>
  <si>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</si>
  <si>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</si>
  <si>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</si>
  <si>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</si>
  <si>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</si>
  <si>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</si>
  <si>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</si>
  <si>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</si>
  <si>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</si>
  <si>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</si>
  <si>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</si>
  <si>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</si>
  <si>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</si>
  <si>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</si>
  <si>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</si>
  <si>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</si>
  <si>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</si>
  <si>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</si>
  <si>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</si>
  <si>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</si>
  <si>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</si>
  <si>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</si>
  <si>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</si>
  <si>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</si>
  <si>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</si>
  <si>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</si>
  <si>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</si>
  <si>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</si>
  <si>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</si>
  <si>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</si>
  <si>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</si>
  <si>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</si>
  <si>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</si>
  <si>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</si>
  <si>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</si>
  <si>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</si>
  <si>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</si>
  <si>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</si>
  <si>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</si>
  <si>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</si>
  <si>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</si>
  <si>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</si>
  <si>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</si>
  <si>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</si>
  <si>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</si>
  <si>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</si>
  <si>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</si>
  <si>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</si>
  <si>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</si>
  <si>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</si>
  <si>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</si>
  <si>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</si>
  <si>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</si>
  <si>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</si>
  <si>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</si>
  <si>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</si>
  <si>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</si>
  <si>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</si>
  <si>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</si>
  <si>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</si>
  <si>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</si>
  <si>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</si>
  <si>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</si>
  <si>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</si>
  <si>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</si>
  <si>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</si>
  <si>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</si>
  <si>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</si>
  <si>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</si>
  <si>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</si>
  <si>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</si>
  <si>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</si>
  <si>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</si>
  <si>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</si>
  <si>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</si>
  <si>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</si>
  <si>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</si>
  <si>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</si>
  <si>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</si>
  <si>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</si>
  <si>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</si>
  <si>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</si>
  <si>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</si>
  <si>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</si>
  <si>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</si>
  <si>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</si>
  <si>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</si>
  <si>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</si>
  <si>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</si>
  <si>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</si>
  <si>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</si>
  <si>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</si>
  <si>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</si>
  <si>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</si>
  <si>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</si>
  <si>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</si>
  <si>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</si>
  <si>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</si>
  <si>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</si>
  <si>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</si>
  <si>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</si>
  <si>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</si>
  <si>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</si>
  <si>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</si>
  <si>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</si>
  <si>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</si>
  <si>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</si>
  <si>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</si>
  <si>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</si>
  <si>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</si>
  <si>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</si>
  <si>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</si>
  <si>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</si>
  <si>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</si>
  <si>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</si>
  <si>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</si>
  <si>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</si>
  <si>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</si>
  <si>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</si>
  <si>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</si>
  <si>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</si>
  <si>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</si>
  <si>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</si>
  <si>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</si>
  <si>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</si>
  <si>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</si>
  <si>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</si>
  <si>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</si>
  <si>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</si>
  <si>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</si>
  <si>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</si>
  <si>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</si>
  <si>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</si>
  <si>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</si>
  <si>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</si>
  <si>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</si>
  <si>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</si>
  <si>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</si>
  <si>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</si>
  <si>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</si>
  <si>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</si>
  <si>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</si>
  <si>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</si>
  <si>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</si>
  <si>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</si>
  <si>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</si>
  <si>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</si>
  <si>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</si>
  <si>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</si>
  <si>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</si>
  <si>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</si>
  <si>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</si>
  <si>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</si>
  <si>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</si>
  <si>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</si>
  <si>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</si>
  <si>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</si>
  <si>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</si>
  <si>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</si>
  <si>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</si>
  <si>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</si>
  <si>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</si>
  <si>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</si>
  <si>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</si>
  <si>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</si>
  <si>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</si>
  <si>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</si>
  <si>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</si>
  <si>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</si>
  <si>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</si>
  <si>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</si>
  <si>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</si>
  <si>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</si>
  <si>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</si>
  <si>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</si>
  <si>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</si>
  <si>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</si>
  <si>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</si>
  <si>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</si>
  <si>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</si>
  <si>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</si>
  <si>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</si>
  <si>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</si>
  <si>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</si>
  <si>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</si>
  <si>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</si>
  <si>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</si>
  <si>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</si>
  <si>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</si>
  <si>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</si>
  <si>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</si>
  <si>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</si>
  <si>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</si>
  <si>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</si>
  <si>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</si>
  <si>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</si>
  <si>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</si>
  <si>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</si>
  <si>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</si>
  <si>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</si>
  <si>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</si>
  <si>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</si>
  <si>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</si>
  <si>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</si>
  <si>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</si>
  <si>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</si>
  <si>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</si>
  <si>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</si>
  <si>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</si>
  <si>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</si>
  <si>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</si>
  <si>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</si>
  <si>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</si>
  <si>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</si>
  <si>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</si>
  <si>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</si>
  <si>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</si>
  <si>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</si>
  <si>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</si>
  <si>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</si>
  <si>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</si>
  <si>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</si>
  <si>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</si>
  <si>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</si>
  <si>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</si>
  <si>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</si>
  <si>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</si>
  <si>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</si>
  <si>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</si>
  <si>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</si>
  <si>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</si>
  <si>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</si>
  <si>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</si>
  <si>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</si>
  <si>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</si>
  <si>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</si>
  <si>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</si>
  <si>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</si>
  <si>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</si>
  <si>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</si>
  <si>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</si>
  <si>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</si>
  <si>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</si>
  <si>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</si>
  <si>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</si>
  <si>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</si>
  <si>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</si>
  <si>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</si>
  <si>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</si>
  <si>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</si>
  <si>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</si>
  <si>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</si>
  <si>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</si>
  <si>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</si>
  <si>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</si>
  <si>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</si>
  <si>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</si>
  <si>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</si>
  <si>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</si>
  <si>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</si>
  <si>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</si>
  <si>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</si>
  <si>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</si>
  <si>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</si>
  <si>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</si>
  <si>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</si>
  <si>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</si>
  <si>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</si>
  <si>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</si>
  <si>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</si>
  <si>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</si>
  <si>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</si>
  <si>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</si>
  <si>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</si>
  <si>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</si>
  <si>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</si>
  <si>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</si>
  <si>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</si>
  <si>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</si>
  <si>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</si>
  <si>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</si>
  <si>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</si>
  <si>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</si>
  <si>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</si>
  <si>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</si>
  <si>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</si>
  <si>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</si>
  <si>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</si>
  <si>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</si>
  <si>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</si>
  <si>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</si>
  <si>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</si>
  <si>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</si>
  <si>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</si>
  <si>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</si>
  <si>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</si>
  <si>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</si>
  <si>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</si>
  <si>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</si>
  <si>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</si>
  <si>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</si>
  <si>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</si>
  <si>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</si>
  <si>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</si>
  <si>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</si>
  <si>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</si>
  <si>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</si>
  <si>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</si>
  <si>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</si>
  <si>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</si>
  <si>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</si>
  <si>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</si>
  <si>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</si>
  <si>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</si>
  <si>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</si>
  <si>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</si>
  <si>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</si>
  <si>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</si>
  <si>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</si>
  <si>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</si>
  <si>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</si>
  <si>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</si>
  <si>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</si>
  <si>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</si>
  <si>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</si>
  <si>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</si>
  <si>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</si>
  <si>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</si>
  <si>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</si>
  <si>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</si>
  <si>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</si>
  <si>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</si>
  <si>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</si>
  <si>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</si>
  <si>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</si>
  <si>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</si>
  <si>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</si>
  <si>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</si>
  <si>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</si>
  <si>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</si>
  <si>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</si>
  <si>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</si>
  <si>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</si>
  <si>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</si>
  <si>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</si>
  <si>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</si>
  <si>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</si>
  <si>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</si>
  <si>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</si>
  <si>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</si>
  <si>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</si>
  <si>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</si>
  <si>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</si>
  <si>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</si>
  <si>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</si>
  <si>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</si>
  <si>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</si>
  <si>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</si>
  <si>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</si>
  <si>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</si>
  <si>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</si>
  <si>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</si>
  <si>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</si>
  <si>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</si>
  <si>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</si>
  <si>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</si>
  <si>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</si>
  <si>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</si>
  <si>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</si>
  <si>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</si>
  <si>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</si>
  <si>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</si>
  <si>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</si>
  <si>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</si>
  <si>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</si>
  <si>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</si>
  <si>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</si>
  <si>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</si>
  <si>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</si>
  <si>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</si>
  <si>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</si>
  <si>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</si>
  <si>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</si>
  <si>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</si>
  <si>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</si>
  <si>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</si>
  <si>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</si>
  <si>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</si>
  <si>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</si>
  <si>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</si>
  <si>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</si>
  <si>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</si>
  <si>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</si>
  <si>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</si>
  <si>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</si>
  <si>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</si>
  <si>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</si>
  <si>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</si>
  <si>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</si>
  <si>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</si>
  <si>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</si>
  <si>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</si>
  <si>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</si>
  <si>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</si>
  <si>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</si>
  <si>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</si>
  <si>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</si>
  <si>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</si>
  <si>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</si>
  <si>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</si>
  <si>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</si>
  <si>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</si>
  <si>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</si>
  <si>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</si>
  <si>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</si>
  <si>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</si>
  <si>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</si>
  <si>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</si>
  <si>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</si>
  <si>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</si>
  <si>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</si>
  <si>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</si>
  <si>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</si>
  <si>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</si>
  <si>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</si>
  <si>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</si>
  <si>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</si>
  <si>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</si>
  <si>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</si>
  <si>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</si>
  <si>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</si>
  <si>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</si>
  <si>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</si>
  <si>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</si>
  <si>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</si>
  <si>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</si>
  <si>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</si>
  <si>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</si>
  <si>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</si>
  <si>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</si>
  <si>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</si>
  <si>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</si>
  <si>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</si>
  <si>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</si>
  <si>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</si>
  <si>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</si>
  <si>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</si>
  <si>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</si>
  <si>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</si>
  <si>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</si>
  <si>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</si>
  <si>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</si>
  <si>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</si>
  <si>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</si>
  <si>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</si>
  <si>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</si>
  <si>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</si>
  <si>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</si>
  <si>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</si>
  <si>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</si>
  <si>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</si>
  <si>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</si>
  <si>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</si>
  <si>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</si>
  <si>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</si>
  <si>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</si>
  <si>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</si>
  <si>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</si>
  <si>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</si>
  <si>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</si>
  <si>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</si>
  <si>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</si>
  <si>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</si>
  <si>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</si>
  <si>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</si>
  <si>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</si>
  <si>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</si>
  <si>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</si>
  <si>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</si>
  <si>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</si>
  <si>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</si>
  <si>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</si>
  <si>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</si>
  <si>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</si>
  <si>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</si>
  <si>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</si>
  <si>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</si>
  <si>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</si>
  <si>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</si>
  <si>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</si>
  <si>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</si>
  <si>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</si>
  <si>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</si>
  <si>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</si>
  <si>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</si>
  <si>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</si>
  <si>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</si>
  <si>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</si>
  <si>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</si>
  <si>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</si>
  <si>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</si>
  <si>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</si>
  <si>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</si>
  <si>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</si>
  <si>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</si>
  <si>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</si>
  <si>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</si>
  <si>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</si>
  <si>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</si>
  <si>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</si>
  <si>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</si>
  <si>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</si>
  <si>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</si>
  <si>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</si>
  <si>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</si>
  <si>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</si>
  <si>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</si>
  <si>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</si>
  <si>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</si>
  <si>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</si>
  <si>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</si>
  <si>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</si>
  <si>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</si>
  <si>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</si>
  <si>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</si>
  <si>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</si>
  <si>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</si>
  <si>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</si>
  <si>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</si>
  <si>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</si>
  <si>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</si>
  <si>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</si>
  <si>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</si>
  <si>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</si>
  <si>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</si>
  <si>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</si>
  <si>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</si>
  <si>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</si>
  <si>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</si>
  <si>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</si>
  <si>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</si>
  <si>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</si>
  <si>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</si>
  <si>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</si>
  <si>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</si>
  <si>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</si>
  <si>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</si>
  <si>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</si>
  <si>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</si>
  <si>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</si>
  <si>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</si>
  <si>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</si>
  <si>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</si>
  <si>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</si>
  <si>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</si>
  <si>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</si>
  <si>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</si>
  <si>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</si>
  <si>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</si>
  <si>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</si>
  <si>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</si>
  <si>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</si>
  <si>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</si>
  <si>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</si>
  <si>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</si>
  <si>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</si>
  <si>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</si>
  <si>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</si>
  <si>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</si>
  <si>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</si>
  <si>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</si>
  <si>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</si>
  <si>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</si>
  <si>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</si>
  <si>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</si>
  <si>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</si>
  <si>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</si>
  <si>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</si>
  <si>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</si>
  <si>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</si>
  <si>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</si>
  <si>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</si>
  <si>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</si>
  <si>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</si>
  <si>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</si>
  <si>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</si>
  <si>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</si>
  <si>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</si>
  <si>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</si>
  <si>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</si>
  <si>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</si>
  <si>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</si>
  <si>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</si>
  <si>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</si>
  <si>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</si>
  <si>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</si>
  <si>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</si>
  <si>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</si>
  <si>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</si>
  <si>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</si>
  <si>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</si>
  <si>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</si>
  <si>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</si>
  <si>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</si>
  <si>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</si>
  <si>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</si>
  <si>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</si>
  <si>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</si>
  <si>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</si>
  <si>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</si>
  <si>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</si>
  <si>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</si>
  <si>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</si>
  <si>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</si>
  <si>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</si>
  <si>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</si>
  <si>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</si>
  <si>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</si>
  <si>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</si>
  <si>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</si>
  <si>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</si>
  <si>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</si>
  <si>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</si>
  <si>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</si>
  <si>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</si>
  <si>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</si>
  <si>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</si>
  <si>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</si>
  <si>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</si>
  <si>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</si>
  <si>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</si>
  <si>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</si>
  <si>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</si>
  <si>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</si>
  <si>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</si>
  <si>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</si>
  <si>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</si>
  <si>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</si>
  <si>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</si>
  <si>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</si>
  <si>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</si>
  <si>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</si>
  <si>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</si>
  <si>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</si>
  <si>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</si>
  <si>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</si>
  <si>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</si>
  <si>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</si>
  <si>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</si>
  <si>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</si>
  <si>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</si>
  <si>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</si>
  <si>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</si>
  <si>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</si>
  <si>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</si>
  <si>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</si>
  <si>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</si>
  <si>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</si>
  <si>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</si>
  <si>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</si>
  <si>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</si>
  <si>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</si>
  <si>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</si>
  <si>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</si>
  <si>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</si>
  <si>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</si>
  <si>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</si>
  <si>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</si>
  <si>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</si>
  <si>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</si>
  <si>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</si>
  <si>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</si>
  <si>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</si>
  <si>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</si>
  <si>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</si>
  <si>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</si>
  <si>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</si>
  <si>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</si>
  <si>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</si>
  <si>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</si>
  <si>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</si>
  <si>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</si>
  <si>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</si>
  <si>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</si>
  <si>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</si>
  <si>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</si>
  <si>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</si>
  <si>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</si>
  <si>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</si>
  <si>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</si>
  <si>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</si>
  <si>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</si>
  <si>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</si>
  <si>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</si>
  <si>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</si>
  <si>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</si>
  <si>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</si>
  <si>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</si>
  <si>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</si>
  <si>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</si>
  <si>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</si>
  <si>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</si>
  <si>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</si>
  <si>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</si>
  <si>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</si>
  <si>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</si>
  <si>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</si>
  <si>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</si>
  <si>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</si>
  <si>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</si>
  <si>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</si>
  <si>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</si>
  <si>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</si>
  <si>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</si>
  <si>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</si>
  <si>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</si>
  <si>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</si>
  <si>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</si>
  <si>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</si>
  <si>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</si>
  <si>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</si>
  <si>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</si>
  <si>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</si>
  <si>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</si>
  <si>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</si>
  <si>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</si>
  <si>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</si>
  <si>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</si>
  <si>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</si>
  <si>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</si>
  <si>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</si>
  <si>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</si>
  <si>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</si>
  <si>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</si>
  <si>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</si>
  <si>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</si>
  <si>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</si>
  <si>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</si>
  <si>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</si>
  <si>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</si>
  <si>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</si>
  <si>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</si>
  <si>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</si>
  <si>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</si>
  <si>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</si>
  <si>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</si>
  <si>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</si>
  <si>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</si>
  <si>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</si>
  <si>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</si>
  <si>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</si>
  <si>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</si>
  <si>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</si>
  <si>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</si>
  <si>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</si>
  <si>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</si>
  <si>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</si>
  <si>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</si>
  <si>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</si>
  <si>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</si>
  <si>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</si>
  <si>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</si>
  <si>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</si>
  <si>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</si>
  <si>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</si>
  <si>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</si>
  <si>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</si>
  <si>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</si>
  <si>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</si>
  <si>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</si>
  <si>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</si>
  <si>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</si>
  <si>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</si>
  <si>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</si>
  <si>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</si>
  <si>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</si>
  <si>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</si>
  <si>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</si>
  <si>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</si>
  <si>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</si>
  <si>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</si>
  <si>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</si>
  <si>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</si>
  <si>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</si>
  <si>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</si>
  <si>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</si>
  <si>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</si>
  <si>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</si>
  <si>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</si>
  <si>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</si>
  <si>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</si>
  <si>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</si>
  <si>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</si>
  <si>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</si>
  <si>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</si>
  <si>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</si>
  <si>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</si>
  <si>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</si>
  <si>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</si>
  <si>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</si>
  <si>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</si>
  <si>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</si>
  <si>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</si>
  <si>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</si>
  <si>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</si>
  <si>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</si>
  <si>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</si>
  <si>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</si>
  <si>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</si>
  <si>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</si>
  <si>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</si>
  <si>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</si>
  <si>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</si>
  <si>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</si>
  <si>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</si>
  <si>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</si>
  <si>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</si>
  <si>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</si>
  <si>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</si>
  <si>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</si>
  <si>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</si>
  <si>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</si>
  <si>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</si>
  <si>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</si>
  <si>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</si>
  <si>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</si>
  <si>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</si>
  <si>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</si>
  <si>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</si>
  <si>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</si>
  <si>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</si>
  <si>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</si>
  <si>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</si>
  <si>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</si>
  <si>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</si>
  <si>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</si>
  <si>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</si>
  <si>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</si>
  <si>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</si>
  <si>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</si>
  <si>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</si>
  <si>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</si>
  <si>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</si>
  <si>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</si>
  <si>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</si>
  <si>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</si>
  <si>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</si>
  <si>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</si>
  <si>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</si>
  <si>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</si>
  <si>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</si>
  <si>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</si>
  <si>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</si>
  <si>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</si>
  <si>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</si>
  <si>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</si>
  <si>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</si>
  <si>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</si>
  <si>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</si>
  <si>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</si>
  <si>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</si>
  <si>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</si>
  <si>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</si>
  <si>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</si>
  <si>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</si>
  <si>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</si>
  <si>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</si>
  <si>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</si>
  <si>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</si>
  <si>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</si>
  <si>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</si>
  <si>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</si>
  <si>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</si>
  <si>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</si>
  <si>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</si>
  <si>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</si>
  <si>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</si>
  <si>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</si>
  <si>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</si>
  <si>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</si>
  <si>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</si>
  <si>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</si>
  <si>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</si>
  <si>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</si>
  <si>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</si>
  <si>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</si>
  <si>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</si>
  <si>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</si>
  <si>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</si>
  <si>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</si>
  <si>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</si>
  <si>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</si>
  <si>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</si>
  <si>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</si>
  <si>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</si>
  <si>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</si>
  <si>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</si>
  <si>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</si>
  <si>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</si>
  <si>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</si>
  <si>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</si>
  <si>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</si>
  <si>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</si>
  <si>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</si>
  <si>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</si>
  <si>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</si>
  <si>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</si>
  <si>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</si>
  <si>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</si>
  <si>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</si>
  <si>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</si>
  <si>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</si>
  <si>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</si>
  <si>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</si>
  <si>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</si>
  <si>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</si>
  <si>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</si>
  <si>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</si>
  <si>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</si>
  <si>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</si>
  <si>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</si>
  <si>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</si>
  <si>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</si>
  <si>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</si>
  <si>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</si>
  <si>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</si>
  <si>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</si>
  <si>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</si>
  <si>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</si>
  <si>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</si>
  <si>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</si>
  <si>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</si>
  <si>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</si>
  <si>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</si>
  <si>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</si>
  <si>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</si>
  <si>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</si>
  <si>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</si>
  <si>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</si>
  <si>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</si>
  <si>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</si>
  <si>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</si>
  <si>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</si>
  <si>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</si>
  <si>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</si>
  <si>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</si>
  <si>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</si>
  <si>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</si>
  <si>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</si>
  <si>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</si>
  <si>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</si>
  <si>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</si>
  <si>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</si>
  <si>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</si>
  <si>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</si>
  <si>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</si>
  <si>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</si>
  <si>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</si>
  <si>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</si>
  <si>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</si>
  <si>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</si>
  <si>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</si>
  <si>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</si>
  <si>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</si>
  <si>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</si>
  <si>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</si>
  <si>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</si>
  <si>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</si>
  <si>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</si>
  <si>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</si>
  <si>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</si>
  <si>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</si>
  <si>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</si>
  <si>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</si>
  <si>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</si>
  <si>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</si>
  <si>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</si>
  <si>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</si>
  <si>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</si>
  <si>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</si>
  <si>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</si>
  <si>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</si>
  <si>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</si>
  <si>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</si>
  <si>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</si>
  <si>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</si>
  <si>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</si>
  <si>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</si>
  <si>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</si>
  <si>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</si>
  <si>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</si>
  <si>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</si>
  <si>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</si>
  <si>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</si>
  <si>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</si>
  <si>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</si>
  <si>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</si>
  <si>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</si>
  <si>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</si>
  <si>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</si>
  <si>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</si>
  <si>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</si>
  <si>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</si>
  <si>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</si>
  <si>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</si>
  <si>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</si>
  <si>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</si>
  <si>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</si>
  <si>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</si>
  <si>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</si>
  <si>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</si>
  <si>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</si>
  <si>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</si>
  <si>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</si>
  <si>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</si>
  <si>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</si>
  <si>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</si>
  <si>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</si>
  <si>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</si>
  <si>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</si>
  <si>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</si>
  <si>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</si>
  <si>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</si>
  <si>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</si>
  <si>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</si>
  <si>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</si>
  <si>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</si>
  <si>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</si>
  <si>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</si>
  <si>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</si>
  <si>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</si>
  <si>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</si>
  <si>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</si>
  <si>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</si>
  <si>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</si>
  <si>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</si>
  <si>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</si>
  <si>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</si>
  <si>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</si>
  <si>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</si>
  <si>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</si>
  <si>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</si>
  <si>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</si>
  <si>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</si>
  <si>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</si>
  <si>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</si>
  <si>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</si>
  <si>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</si>
  <si>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</si>
  <si>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</si>
  <si>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</si>
  <si>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</si>
  <si>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</si>
  <si>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</si>
  <si>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</si>
  <si>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</si>
  <si>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</si>
  <si>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</si>
  <si>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</si>
  <si>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</si>
  <si>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</si>
  <si>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</si>
  <si>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</si>
  <si>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</si>
  <si>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</si>
  <si>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</si>
  <si>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</si>
  <si>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</si>
  <si>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</si>
  <si>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</si>
  <si>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</si>
  <si>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</si>
  <si>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</si>
  <si>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</si>
  <si>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</si>
  <si>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</si>
  <si>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</si>
  <si>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</si>
  <si>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</si>
  <si>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</si>
  <si>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</si>
  <si>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</si>
  <si>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</si>
  <si>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</si>
  <si>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</si>
  <si>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</si>
  <si>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</si>
  <si>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</si>
  <si>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</si>
  <si>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</si>
  <si>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</si>
  <si>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</si>
  <si>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</si>
  <si>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</si>
  <si>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</si>
  <si>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</si>
  <si>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</si>
  <si>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</si>
  <si>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</si>
  <si>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</si>
  <si>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</si>
  <si>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</si>
  <si>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</si>
  <si>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</si>
  <si>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</si>
  <si>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</si>
  <si>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</si>
  <si>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</si>
  <si>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</si>
  <si>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</si>
  <si>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</si>
  <si>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</si>
  <si>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</si>
  <si>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</si>
  <si>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</si>
  <si>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</si>
  <si>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</si>
  <si>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</si>
  <si>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</si>
  <si>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</si>
  <si>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</si>
  <si>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</si>
  <si>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</si>
  <si>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</si>
  <si>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</si>
  <si>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</si>
  <si>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</si>
  <si>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</si>
  <si>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</si>
  <si>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</si>
  <si>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</si>
  <si>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</si>
  <si>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</si>
  <si>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</si>
  <si>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</si>
  <si>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</si>
  <si>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</si>
  <si>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</si>
  <si>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</si>
  <si>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</si>
  <si>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</si>
  <si>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</si>
  <si>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</si>
  <si>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</si>
  <si>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</si>
  <si>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</si>
  <si>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</si>
  <si>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</si>
  <si>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</si>
  <si>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</si>
  <si>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</si>
  <si>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</si>
  <si>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</si>
  <si>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</si>
  <si>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</si>
  <si>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</si>
  <si>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</si>
  <si>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</si>
  <si>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</si>
  <si>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</si>
  <si>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</si>
  <si>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</si>
  <si>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</si>
  <si>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</si>
  <si>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</si>
  <si>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</si>
  <si>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</si>
  <si>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</si>
  <si>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</si>
  <si>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</si>
  <si>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</si>
  <si>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</si>
  <si>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</si>
  <si>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</si>
  <si>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</si>
  <si>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</si>
  <si>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</si>
  <si>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</si>
  <si>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</si>
  <si>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</si>
  <si>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</si>
  <si>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</si>
  <si>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</si>
  <si>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</si>
  <si>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</si>
  <si>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</si>
  <si>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</si>
  <si>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</si>
  <si>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</si>
  <si>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</si>
  <si>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</si>
  <si>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</si>
  <si>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</si>
  <si>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</si>
  <si>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</si>
  <si>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</si>
  <si>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</si>
  <si>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</si>
  <si>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</si>
  <si>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</si>
  <si>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</si>
  <si>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</si>
  <si>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</si>
  <si>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</si>
  <si>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</si>
  <si>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</si>
  <si>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</si>
  <si>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</si>
  <si>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</si>
  <si>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</si>
  <si>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</si>
  <si>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</si>
  <si>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</si>
  <si>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</si>
  <si>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</si>
  <si>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</si>
  <si>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</si>
  <si>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</si>
  <si>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</si>
  <si>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</si>
  <si>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</si>
  <si>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</si>
  <si>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</si>
  <si>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</si>
  <si>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</si>
  <si>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</si>
  <si>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</si>
  <si>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</si>
  <si>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</si>
  <si>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</si>
  <si>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</si>
  <si>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</si>
  <si>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</si>
  <si>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</si>
  <si>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</si>
  <si>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</si>
  <si>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</si>
  <si>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</si>
  <si>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</si>
  <si>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</si>
  <si>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</si>
  <si>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</si>
  <si>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</si>
  <si>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</si>
  <si>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</si>
  <si>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</si>
  <si>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</si>
  <si>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</si>
  <si>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</si>
  <si>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</si>
  <si>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</si>
  <si>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</si>
  <si>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</si>
  <si>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</si>
  <si>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</si>
  <si>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</si>
  <si>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</si>
  <si>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</si>
  <si>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</si>
  <si>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</si>
  <si>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</si>
  <si>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</si>
  <si>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</si>
  <si>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</si>
  <si>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</si>
  <si>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</si>
  <si>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</si>
  <si>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</si>
  <si>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</si>
  <si>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</si>
  <si>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</si>
  <si>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</si>
  <si>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</si>
  <si>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</si>
  <si>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</si>
  <si>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</si>
  <si>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</si>
  <si>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</si>
  <si>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</si>
  <si>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</si>
  <si>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</si>
  <si>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</si>
  <si>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</si>
  <si>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</si>
  <si>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</si>
  <si>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</si>
  <si>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</si>
  <si>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</si>
  <si>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</si>
  <si>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</si>
  <si>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</si>
  <si>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</si>
  <si>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</si>
  <si>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</si>
  <si>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</si>
  <si>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</si>
  <si>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</si>
  <si>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</si>
  <si>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</si>
  <si>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</si>
  <si>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</si>
  <si>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</si>
  <si>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</si>
  <si>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</si>
  <si>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</si>
  <si>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</si>
  <si>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</si>
  <si>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</si>
  <si>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</si>
  <si>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</si>
  <si>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</si>
  <si>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</si>
  <si>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</si>
  <si>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</si>
  <si>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</si>
  <si>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</si>
  <si>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</si>
  <si>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</si>
  <si>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</si>
  <si>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</si>
  <si>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</si>
  <si>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</si>
  <si>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</si>
  <si>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</si>
  <si>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</si>
  <si>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</si>
  <si>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</si>
  <si>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</si>
  <si>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</si>
  <si>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</si>
  <si>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</si>
  <si>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</si>
  <si>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</si>
  <si>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</si>
  <si>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</si>
  <si>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</si>
  <si>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</si>
  <si>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</si>
  <si>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</si>
  <si>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</si>
  <si>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</si>
  <si>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</si>
  <si>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</si>
  <si>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</si>
  <si>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</si>
  <si>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</si>
  <si>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</si>
  <si>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</si>
  <si>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</si>
  <si>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</si>
  <si>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</si>
  <si>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</si>
  <si>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</si>
  <si>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</si>
  <si>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</si>
  <si>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</si>
  <si>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</si>
  <si>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</si>
  <si>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</si>
  <si>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</si>
  <si>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</si>
  <si>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</si>
  <si>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</si>
  <si>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</si>
  <si>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</si>
  <si>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</si>
  <si>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</si>
  <si>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</si>
  <si>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</si>
  <si>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</si>
  <si>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</si>
  <si>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</si>
  <si>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</si>
  <si>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</si>
  <si>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</si>
  <si>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</si>
  <si>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</si>
  <si>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</si>
  <si>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</si>
  <si>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</si>
  <si>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</si>
  <si>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</si>
  <si>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</si>
  <si>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</si>
  <si>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</si>
  <si>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</si>
  <si>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</si>
  <si>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</si>
  <si>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</si>
  <si>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</si>
  <si>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</si>
  <si>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</si>
  <si>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</si>
  <si>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</si>
  <si>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</si>
  <si>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</si>
  <si>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</si>
  <si>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</si>
  <si>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</si>
  <si>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</si>
  <si>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</si>
  <si>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</si>
  <si>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</si>
  <si>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</si>
  <si>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</si>
  <si>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</si>
  <si>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</si>
  <si>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</si>
  <si>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</si>
  <si>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</si>
  <si>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</si>
  <si>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</si>
  <si>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</si>
  <si>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</si>
  <si>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</si>
  <si>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</si>
  <si>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</si>
  <si>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</si>
  <si>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</si>
  <si>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</si>
  <si>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</si>
  <si>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</si>
  <si>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</si>
  <si>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</si>
  <si>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</si>
  <si>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</si>
  <si>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</si>
  <si>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</si>
  <si>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</si>
  <si>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</si>
  <si>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</si>
  <si>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</si>
  <si>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</si>
  <si>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</si>
  <si>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</si>
  <si>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</si>
  <si>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</si>
  <si>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</si>
  <si>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</si>
  <si>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</si>
  <si>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</si>
  <si>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</si>
  <si>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</si>
  <si>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</si>
  <si>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</si>
  <si>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</si>
  <si>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</si>
  <si>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</si>
  <si>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</si>
  <si>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</si>
  <si>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</si>
  <si>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</si>
  <si>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</si>
  <si>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</si>
  <si>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</si>
  <si>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</si>
  <si>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</si>
  <si>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</si>
  <si>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</si>
  <si>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</si>
  <si>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</si>
  <si>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</si>
  <si>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</si>
  <si>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</si>
  <si>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</si>
  <si>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</si>
  <si>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</si>
  <si>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</si>
  <si>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</si>
  <si>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</si>
  <si>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</si>
  <si>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</si>
  <si>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</si>
  <si>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</si>
  <si>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</si>
  <si>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</si>
  <si>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</si>
  <si>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</si>
  <si>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</si>
  <si>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</si>
  <si>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</si>
  <si>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</si>
  <si>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</si>
  <si>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</si>
  <si>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</si>
  <si>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</si>
  <si>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</si>
  <si>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</si>
  <si>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</si>
  <si>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</si>
  <si>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</si>
  <si>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</si>
  <si>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</si>
  <si>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</si>
  <si>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</si>
  <si>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</si>
  <si>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</si>
  <si>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</si>
  <si>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</si>
  <si>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</si>
  <si>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</si>
  <si>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</si>
  <si>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</si>
  <si>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</si>
  <si>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</si>
  <si>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</si>
  <si>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</si>
  <si>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</si>
  <si>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</si>
  <si>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</si>
  <si>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</si>
  <si>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</si>
  <si>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</si>
  <si>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</si>
  <si>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</si>
  <si>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</si>
  <si>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</si>
  <si>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</si>
  <si>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</si>
  <si>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</si>
  <si>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</si>
  <si>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</si>
  <si>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</si>
  <si>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</si>
  <si>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</si>
  <si>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</si>
  <si>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</si>
  <si>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</si>
  <si>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</si>
  <si>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</si>
  <si>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</si>
  <si>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</si>
  <si>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</si>
  <si>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</si>
  <si>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</si>
  <si>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</si>
  <si>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</si>
  <si>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</si>
  <si>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</si>
  <si>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</si>
  <si>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</si>
  <si>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</si>
  <si>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</si>
  <si>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</si>
  <si>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</si>
  <si>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</si>
  <si>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</si>
  <si>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</si>
  <si>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</si>
  <si>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</si>
  <si>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</si>
  <si>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</si>
  <si>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</si>
  <si>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</si>
  <si>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</si>
  <si>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</si>
  <si>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</si>
  <si>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</si>
  <si>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</si>
  <si>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</si>
  <si>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</si>
  <si>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</si>
  <si>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</si>
  <si>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</si>
  <si>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</si>
  <si>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</si>
  <si>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</si>
  <si>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</si>
  <si>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</si>
  <si>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</si>
  <si>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</si>
  <si>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</si>
  <si>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</si>
  <si>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</si>
  <si>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</si>
  <si>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</si>
  <si>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</si>
  <si>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</si>
  <si>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</si>
  <si>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</si>
  <si>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</si>
  <si>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</si>
  <si>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</si>
  <si>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</si>
  <si>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</si>
  <si>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</si>
  <si>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</si>
  <si>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</si>
  <si>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</si>
  <si>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</si>
  <si>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</si>
  <si>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</si>
  <si>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</si>
  <si>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</si>
  <si>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</si>
  <si>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</si>
  <si>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</si>
  <si>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</si>
  <si>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</si>
  <si>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</si>
  <si>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</si>
  <si>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</si>
  <si>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</si>
  <si>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</si>
  <si>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</si>
  <si>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</si>
  <si>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</si>
  <si>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</si>
  <si>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</si>
  <si>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</si>
  <si>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</si>
  <si>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</si>
  <si>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</si>
  <si>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</si>
  <si>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</si>
  <si>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</si>
  <si>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</si>
  <si>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</si>
  <si>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</si>
  <si>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</si>
  <si>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</si>
  <si>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</si>
  <si>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</si>
  <si>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</si>
  <si>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</si>
  <si>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</si>
  <si>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</si>
  <si>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</si>
  <si>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</si>
  <si>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</si>
  <si>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</si>
  <si>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</si>
  <si>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</si>
  <si>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</si>
  <si>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</si>
  <si>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</si>
  <si>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</si>
  <si>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</si>
  <si>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</si>
  <si>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</si>
  <si>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</si>
  <si>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</si>
  <si>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</si>
  <si>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</si>
  <si>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</si>
  <si>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</si>
  <si>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</si>
  <si>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</si>
  <si>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</si>
  <si>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</si>
  <si>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</si>
  <si>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</si>
  <si>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</si>
  <si>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</si>
  <si>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</si>
  <si>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</si>
  <si>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</si>
  <si>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</si>
  <si>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</si>
  <si>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</si>
  <si>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</si>
  <si>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</si>
  <si>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</si>
  <si>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</si>
  <si>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</si>
  <si>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</si>
  <si>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</si>
  <si>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</si>
  <si>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</si>
  <si>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</si>
  <si>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</si>
  <si>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</si>
  <si>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</si>
  <si>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</si>
  <si>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</si>
  <si>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</si>
  <si>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</si>
  <si>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</si>
  <si>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</si>
  <si>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</si>
  <si>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</si>
  <si>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</si>
  <si>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</si>
  <si>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</si>
  <si>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</si>
  <si>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</si>
  <si>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</si>
  <si>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</si>
  <si>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</si>
  <si>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</si>
  <si>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</si>
  <si>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</si>
  <si>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</si>
  <si>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</si>
  <si>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</si>
  <si>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</si>
  <si>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</si>
  <si>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</si>
  <si>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</si>
  <si>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</si>
  <si>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</si>
  <si>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</si>
  <si>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</si>
  <si>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</si>
  <si>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</si>
  <si>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</si>
  <si>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</si>
  <si>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</si>
  <si>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</si>
  <si>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</si>
  <si>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</si>
  <si>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</si>
  <si>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</si>
  <si>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</si>
  <si>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</si>
  <si>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</si>
  <si>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</si>
  <si>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</si>
  <si>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</si>
  <si>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</si>
  <si>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</si>
  <si>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</si>
  <si>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</si>
  <si>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</si>
  <si>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</si>
  <si>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</si>
  <si>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</si>
  <si>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</si>
  <si>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</si>
  <si>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</si>
  <si>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</si>
  <si>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</si>
  <si>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</si>
  <si>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</si>
  <si>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</si>
  <si>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</si>
  <si>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</si>
  <si>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</si>
  <si>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</si>
  <si>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</si>
  <si>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</si>
  <si>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</si>
  <si>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</si>
  <si>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</si>
  <si>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</si>
  <si>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</si>
  <si>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</si>
  <si>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</si>
  <si>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</si>
  <si>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</si>
  <si>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</si>
  <si>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</si>
  <si>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</si>
  <si>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</si>
  <si>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</si>
  <si>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</si>
  <si>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</si>
  <si>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</si>
  <si>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</si>
  <si>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</si>
  <si>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</si>
  <si>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</si>
  <si>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</si>
  <si>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</si>
  <si>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</si>
  <si>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</si>
  <si>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</si>
  <si>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</si>
  <si>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</si>
  <si>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</si>
  <si>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</si>
  <si>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</si>
  <si>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</si>
  <si>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</si>
  <si>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</si>
  <si>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</si>
  <si>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</si>
  <si>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</si>
  <si>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</si>
  <si>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</si>
  <si>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</si>
  <si>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</si>
  <si>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</si>
  <si>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</si>
  <si>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</si>
  <si>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</si>
  <si>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</si>
  <si>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</si>
  <si>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</si>
  <si>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</si>
  <si>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</si>
  <si>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</si>
  <si>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</si>
  <si>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</si>
  <si>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</si>
  <si>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</si>
  <si>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</si>
  <si>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</si>
  <si>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</si>
  <si>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</si>
  <si>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</si>
  <si>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</si>
  <si>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</si>
  <si>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</si>
  <si>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</si>
  <si>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</si>
  <si>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</si>
  <si>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</si>
  <si>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</si>
  <si>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</si>
  <si>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</si>
  <si>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</si>
  <si>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</si>
  <si>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</si>
  <si>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</si>
  <si>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</si>
  <si>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</si>
  <si>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</si>
  <si>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</si>
  <si>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</si>
  <si>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</si>
  <si>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</si>
  <si>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</si>
  <si>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</si>
  <si>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</si>
  <si>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</si>
  <si>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</si>
  <si>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</si>
  <si>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</si>
  <si>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</si>
  <si>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</si>
  <si>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</si>
  <si>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</si>
  <si>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</si>
  <si>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</si>
  <si>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</si>
  <si>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</si>
  <si>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</si>
  <si>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</si>
  <si>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</si>
  <si>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</si>
  <si>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</si>
  <si>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</si>
  <si>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</si>
  <si>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</si>
  <si>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</si>
  <si>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</si>
  <si>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</si>
  <si>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</si>
  <si>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</si>
  <si>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</si>
  <si>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</si>
  <si>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</si>
  <si>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</si>
  <si>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</si>
  <si>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</si>
  <si>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</si>
  <si>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</si>
  <si>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</si>
  <si>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</si>
  <si>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</si>
  <si>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</si>
  <si>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</si>
  <si>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</si>
  <si>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</si>
  <si>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</si>
  <si>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</si>
  <si>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</si>
  <si>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</si>
  <si>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</si>
  <si>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</si>
  <si>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</si>
  <si>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</si>
  <si>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</si>
  <si>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</si>
  <si>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</si>
  <si>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</si>
  <si>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</si>
  <si>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叶凌</t>
  </si>
  <si>
    <t>杨红英</t>
  </si>
  <si>
    <t>估价对象</t>
  </si>
  <si>
    <t>商业</t>
  </si>
  <si>
    <t>元</t>
  </si>
  <si>
    <t>总价</t>
  </si>
  <si>
    <t>批发零售用地</t>
  </si>
  <si>
    <t>通热</t>
  </si>
  <si>
    <t>缺少</t>
  </si>
  <si>
    <t>按公示增长率计算</t>
  </si>
  <si>
    <t>楼层修正</t>
  </si>
  <si>
    <t>未包含在土地购买价格中</t>
  </si>
  <si>
    <t>已包含在土地取得成本中</t>
  </si>
  <si>
    <t>收益法</t>
  </si>
  <si>
    <t>成本法</t>
  </si>
  <si>
    <t>押三</t>
  </si>
  <si>
    <t>设定收益年期(n)</t>
  </si>
  <si>
    <t>是</t>
  </si>
  <si>
    <t>无租约</t>
  </si>
  <si>
    <t>钢混</t>
  </si>
  <si>
    <t>非生产用房</t>
  </si>
  <si>
    <t>估价对象1（结果表）</t>
  </si>
  <si>
    <t>五通一平</t>
  </si>
  <si>
    <t>燃气</t>
  </si>
  <si>
    <t>企业</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</si>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</sst>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9</xdr:col>
      <xdr:colOff>304800</xdr:colOff>
      <xdr:row>12</xdr:row>
      <xdr:rowOff>0</xdr:rowOff>
    </xdr:from>
    <xdr:to>
      <xdr:col>18</xdr:col>
      <xdr:colOff>209550</xdr:colOff>
      <xdr:row>21</xdr:row>
      <xdr:rowOff>19050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477000" y="2057400"/>
          <a:ext cx="6076950" cy="1562100"/>
        </a:xfrm>
        <a:prstGeom prst="rect">
          <a:avLst/>
        </a:prstGeom>
        <a:noFill/>
        <a:ln w="1">
          <a:noFill/>
          <a:miter lim="800000"/>
          <a:headEnd/>
          <a:tailEnd type="none" w="med" len="med"/>
        </a:ln>
        <a:effectLst/>
      </xdr:spPr>
    </xdr:pic>
    <xdr:clientData/>
  </xdr:twoCellAnchor>
  <xdr:twoCellAnchor editAs="oneCell">
    <xdr:from>
      <xdr:col>9</xdr:col>
      <xdr:colOff>314325</xdr:colOff>
      <xdr:row>20</xdr:row>
      <xdr:rowOff>142875</xdr:rowOff>
    </xdr:from>
    <xdr:to>
      <xdr:col>18</xdr:col>
      <xdr:colOff>9525</xdr:colOff>
      <xdr:row>29</xdr:row>
      <xdr:rowOff>142875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486525" y="3571875"/>
          <a:ext cx="5867400" cy="1543050"/>
        </a:xfrm>
        <a:prstGeom prst="rect">
          <a:avLst/>
        </a:prstGeom>
        <a:noFill/>
        <a:ln w="1">
          <a:noFill/>
          <a:miter lim="800000"/>
          <a:headEnd/>
          <a:tailEnd type="none" w="med" len="med"/>
        </a:ln>
        <a:effectLst/>
      </xdr:spPr>
    </xdr:pic>
    <xdr:clientData/>
  </xdr:twoCellAnchor>
  <xdr:twoCellAnchor editAs="oneCell">
    <xdr:from>
      <xdr:col>9</xdr:col>
      <xdr:colOff>276225</xdr:colOff>
      <xdr:row>29</xdr:row>
      <xdr:rowOff>76200</xdr:rowOff>
    </xdr:from>
    <xdr:to>
      <xdr:col>18</xdr:col>
      <xdr:colOff>38100</xdr:colOff>
      <xdr:row>48</xdr:row>
      <xdr:rowOff>114300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448425" y="5048250"/>
          <a:ext cx="5934075" cy="3295650"/>
        </a:xfrm>
        <a:prstGeom prst="rect">
          <a:avLst/>
        </a:prstGeom>
        <a:noFill/>
        <a:ln w="1">
          <a:noFill/>
          <a:miter lim="800000"/>
          <a:headEnd/>
          <a:tailEnd type="none" w="med" len="med"/>
        </a:ln>
        <a:effectLst/>
      </xdr:spPr>
    </xdr:pic>
    <xdr:clientData/>
  </xdr:twoCellAnchor>
  <xdr:twoCellAnchor editAs="oneCell">
    <xdr:from>
      <xdr:col>0</xdr:col>
      <xdr:colOff>352425</xdr:colOff>
      <xdr:row>40</xdr:row>
      <xdr:rowOff>114300</xdr:rowOff>
    </xdr:from>
    <xdr:to>
      <xdr:col>9</xdr:col>
      <xdr:colOff>304800</xdr:colOff>
      <xdr:row>77</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2425" y="6972300"/>
          <a:ext cx="6124575" cy="6381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预评估</v>
      </c>
    </row>
    <row r="3" spans="1:2" s="1701" customFormat="1">
      <c r="A3" s="1702" t="s">
        <v>1106</v>
      </c>
      <c r="B3" s="1687">
        <f>'预评函-封皮'!B12</f>
        <v>0</v>
      </c>
    </row>
    <row r="4" spans="1:2" s="1701" customFormat="1">
      <c r="A4" s="1702" t="s">
        <v>1107</v>
      </c>
      <c r="B4" s="1687" t="str">
        <f ca="1">'预评函-封皮'!B18</f>
        <v>叶凌（注册号:1119970111）、杨红英（注册号:1120070085)</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受您的委托，我公司对房地产进行了预评估。</v>
      </c>
    </row>
    <row r="7" spans="1:2">
      <c r="A7" s="1702" t="s">
        <v>1110</v>
      </c>
      <c r="B7" s="1689" t="str">
        <f>'预评函-1'!A6</f>
        <v>估价对象为房地产，为所有。根据《不动产权证书》[]，估价对象建筑面积为670.34平方米，（分摊）出让国有建设用地使用权面积为平方米。估价对象用途为。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2017年2月9日</v>
      </c>
    </row>
    <row r="10" spans="1:2">
      <c r="A10" s="1702" t="s">
        <v>1113</v>
      </c>
      <c r="B10" s="1689" t="str">
        <f>'预评函-1'!A13</f>
        <v>本次估价的“房地产价值”是指在正常市场情况下，在价值时点2017年2月9日，估价对象规划用途为，假定未设立法定优先受偿款下的房地产市场价值。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房地产</v>
      </c>
    </row>
    <row r="18" spans="1:2">
      <c r="A18" s="1702" t="s">
        <v>1121</v>
      </c>
      <c r="B18" s="1689">
        <f>'预评函-2（1）'!C6</f>
        <v>670.34</v>
      </c>
    </row>
    <row r="19" spans="1:2">
      <c r="A19" s="1702" t="s">
        <v>1122</v>
      </c>
      <c r="B19" s="1689">
        <f ca="1">'预评函-2（1）'!D7</f>
        <v>15328205</v>
      </c>
    </row>
    <row r="20" spans="1:2">
      <c r="A20" s="1702" t="s">
        <v>1160</v>
      </c>
      <c r="B20" s="1689" t="str">
        <f>'预评函-2（1）'!C7</f>
        <v>总价（元）</v>
      </c>
    </row>
    <row r="21" spans="1:2">
      <c r="A21" s="1702" t="s">
        <v>1123</v>
      </c>
      <c r="B21" s="1689">
        <f ca="1">'预评函-2（1）'!D9</f>
        <v>22866</v>
      </c>
    </row>
    <row r="22" spans="1:2">
      <c r="A22" s="1702" t="s">
        <v>1124</v>
      </c>
      <c r="B22" s="1689" t="str">
        <f ca="1">'预评函-2（1）'!D8</f>
        <v>壹仟伍佰叁拾贰万捌仟贰佰零伍元整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15328205</v>
      </c>
    </row>
    <row r="30" spans="1:2">
      <c r="A30" s="1702" t="s">
        <v>1130</v>
      </c>
      <c r="B30" s="1689" t="str">
        <f ca="1">'预评函-2（1）'!D16</f>
        <v>壹仟伍佰叁拾贰万捌仟贰佰零伍元整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12645769</v>
      </c>
    </row>
    <row r="38" spans="1:2">
      <c r="A38" s="1702" t="s">
        <v>1138</v>
      </c>
      <c r="B38" s="1689">
        <f ca="1">'预评函-2（2）'!E4</f>
        <v>18865</v>
      </c>
    </row>
    <row r="39" spans="1:2">
      <c r="A39" s="1702" t="s">
        <v>1139</v>
      </c>
      <c r="B39" s="1689" t="str">
        <f ca="1">'预评函-2（2）'!D5</f>
        <v>壹仟贰佰陆拾肆万伍仟柒佰陆拾玖元整</v>
      </c>
    </row>
    <row r="40" spans="1:2">
      <c r="A40" s="1702" t="s">
        <v>1140</v>
      </c>
      <c r="B40" s="1689">
        <f ca="1">'预评函-2（2）'!F4</f>
        <v>2682436</v>
      </c>
    </row>
    <row r="41" spans="1:2">
      <c r="A41" s="1702" t="s">
        <v>1141</v>
      </c>
      <c r="B41" s="1689">
        <f ca="1">'预评函-2（2）'!G4</f>
        <v>4002</v>
      </c>
    </row>
    <row r="42" spans="1:2" s="1699" customFormat="1" ht="15.75" thickBot="1">
      <c r="A42" s="1703" t="s">
        <v>1142</v>
      </c>
      <c r="B42" s="1691" t="str">
        <f ca="1">'预评函-2（2）'!F5</f>
        <v>贰佰陆拾捌万贰仟肆佰叁拾陆元整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叶凌</v>
      </c>
    </row>
    <row r="53" spans="1:2">
      <c r="A53" s="1702" t="s">
        <v>1152</v>
      </c>
      <c r="B53" s="1689">
        <f ca="1">'预评函-3'!B4</f>
        <v>1119970111</v>
      </c>
    </row>
    <row r="54" spans="1:2">
      <c r="A54" s="1702" t="s">
        <v>1153</v>
      </c>
      <c r="B54" s="1693" t="str">
        <f>'预评函-3'!A5</f>
        <v>杨红英</v>
      </c>
    </row>
    <row r="55" spans="1:2" s="1699" customFormat="1" ht="15.75" thickBot="1">
      <c r="A55" s="1703" t="s">
        <v>1154</v>
      </c>
      <c r="B55" s="1691">
        <f ca="1">'预评函-3'!B5</f>
        <v>1120070085</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22866</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预评估</v>
      </c>
      <c r="C1" s="1063"/>
      <c r="D1" s="1996"/>
      <c r="E1" s="1063"/>
      <c r="F1" s="1997" t="s">
        <v>1541</v>
      </c>
      <c r="G1" s="1682"/>
      <c r="I1" s="1020" t="str">
        <f>IF(B6="北京市","北京市",C6)&amp;IF(E12="房屋所有权证",B28,E28)&amp;"房地产"</f>
        <v>房地产</v>
      </c>
    </row>
    <row r="2" spans="1:10" ht="13.5" thickTop="1">
      <c r="A2" s="1998" t="s">
        <v>1542</v>
      </c>
      <c r="B2" s="1088">
        <v>43558</v>
      </c>
      <c r="C2" s="1999" t="s">
        <v>1543</v>
      </c>
      <c r="D2" s="1088">
        <v>42775</v>
      </c>
      <c r="E2" s="1064"/>
      <c r="F2" s="1064"/>
      <c r="G2" s="1683"/>
      <c r="H2" s="1020"/>
    </row>
    <row r="3" spans="1:10" ht="13.5" thickBot="1">
      <c r="A3" s="2000" t="s">
        <v>1544</v>
      </c>
      <c r="B3" s="2001" t="s">
        <v>2821</v>
      </c>
      <c r="C3" s="1065">
        <f ca="1">SUMIF(注册房地产估价师,B3,估价师及机构信息!B3:B24)</f>
        <v>1119970111</v>
      </c>
      <c r="D3" s="2001" t="s">
        <v>2822</v>
      </c>
      <c r="E3" s="1066">
        <f ca="1">SUMIF(注册房地产估价师,D3,估价师及机构信息!B3:B24)</f>
        <v>1120070085</v>
      </c>
      <c r="F3" s="1067"/>
      <c r="G3" s="1684"/>
      <c r="H3" s="1020"/>
    </row>
    <row r="4" spans="1:10" ht="13.5" customHeight="1" thickTop="1">
      <c r="A4" s="2002" t="s">
        <v>1545</v>
      </c>
      <c r="B4" s="2003"/>
      <c r="C4" s="2004" t="s">
        <v>1546</v>
      </c>
      <c r="D4" s="2005"/>
      <c r="E4" s="1064"/>
      <c r="F4" s="1064"/>
      <c r="G4" s="1683"/>
    </row>
    <row r="5" spans="1:10">
      <c r="A5" s="2006" t="s">
        <v>1547</v>
      </c>
      <c r="B5" s="2007"/>
      <c r="C5" s="2008" t="s">
        <v>1548</v>
      </c>
      <c r="D5" s="2009"/>
      <c r="E5" s="2010" t="s">
        <v>1549</v>
      </c>
      <c r="F5" s="2011"/>
      <c r="G5" s="2012"/>
      <c r="I5" s="1020" t="str">
        <f>IF(C16="否","截至估价时点，估价对象抵押权未见登记。","截至价值时点，估价对象已设定抵押。")</f>
        <v>截至价值时点，估价对象已设定抵押。</v>
      </c>
    </row>
    <row r="6" spans="1:10">
      <c r="A6" s="2013" t="s">
        <v>1550</v>
      </c>
      <c r="B6" s="2014"/>
      <c r="C6" s="2015"/>
      <c r="D6" s="2016" t="s">
        <v>1551</v>
      </c>
      <c r="E6" s="1022"/>
      <c r="F6" s="1021"/>
      <c r="G6" s="1074"/>
      <c r="I6" s="1070" t="str">
        <f>IF(COUNTIF(B5,"*上海银行*"),"上海银行","")</f>
        <v/>
      </c>
    </row>
    <row r="7" spans="1:10" ht="13.5" thickBot="1">
      <c r="A7" s="2000" t="s">
        <v>1552</v>
      </c>
      <c r="B7" s="2017" t="s">
        <v>2845</v>
      </c>
      <c r="C7" s="2018" t="str">
        <f>IF(B7="自然人","姓名","名称")</f>
        <v>名称</v>
      </c>
      <c r="D7" s="2019"/>
      <c r="E7" s="1068"/>
      <c r="F7" s="1067"/>
      <c r="G7" s="1684"/>
    </row>
    <row r="8" spans="1:10" ht="13.5" thickTop="1">
      <c r="A8" s="2800" t="s">
        <v>1553</v>
      </c>
      <c r="B8" s="2020" t="s">
        <v>1554</v>
      </c>
      <c r="C8" s="2812"/>
      <c r="D8" s="2813"/>
      <c r="E8" s="2021" t="s">
        <v>1555</v>
      </c>
      <c r="F8" s="2022" t="s">
        <v>1556</v>
      </c>
      <c r="G8" s="690">
        <f>C6</f>
        <v>0</v>
      </c>
    </row>
    <row r="9" spans="1:10">
      <c r="A9" s="2800"/>
      <c r="B9" s="344" t="s">
        <v>1557</v>
      </c>
      <c r="C9" s="2007"/>
      <c r="D9" s="2023"/>
      <c r="E9" s="1010" t="s">
        <v>1558</v>
      </c>
      <c r="F9" s="996" t="s">
        <v>399</v>
      </c>
      <c r="G9" s="1012"/>
    </row>
    <row r="10" spans="1:10" ht="13.5" thickBot="1">
      <c r="A10" s="2800"/>
      <c r="B10" s="344" t="s">
        <v>1559</v>
      </c>
      <c r="C10" s="2814"/>
      <c r="D10" s="2815"/>
      <c r="E10" s="2024" t="s">
        <v>1560</v>
      </c>
      <c r="F10" s="1013" t="s">
        <v>247</v>
      </c>
      <c r="G10" s="1014"/>
    </row>
    <row r="11" spans="1:10" ht="13.5" thickBot="1">
      <c r="A11" s="2800"/>
      <c r="B11" s="2025" t="s">
        <v>1561</v>
      </c>
      <c r="C11" s="2816"/>
      <c r="D11" s="2817"/>
      <c r="E11" s="1022"/>
      <c r="F11" s="1021"/>
      <c r="G11" s="1074"/>
    </row>
    <row r="12" spans="1:10" ht="24.75" thickBot="1">
      <c r="A12" s="2803" t="s">
        <v>1562</v>
      </c>
      <c r="B12" s="2026" t="s">
        <v>1563</v>
      </c>
      <c r="C12" s="1016">
        <v>670.34</v>
      </c>
      <c r="D12" s="2026" t="s">
        <v>1564</v>
      </c>
      <c r="E12" s="2027" t="s">
        <v>1565</v>
      </c>
      <c r="F12" s="2028" t="s">
        <v>1566</v>
      </c>
      <c r="G12" s="1074"/>
    </row>
    <row r="13" spans="1:10" ht="21" customHeight="1" thickBot="1">
      <c r="A13" s="2804"/>
      <c r="B13" s="2029" t="s">
        <v>1567</v>
      </c>
      <c r="C13" s="1017"/>
      <c r="D13" s="2029" t="s">
        <v>1568</v>
      </c>
      <c r="E13" s="2030" t="s">
        <v>1565</v>
      </c>
      <c r="F13" s="1021"/>
      <c r="G13" s="1074"/>
      <c r="I13" s="2790" t="s">
        <v>1569</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1570</v>
      </c>
      <c r="C14" s="2034"/>
      <c r="D14" s="1021"/>
      <c r="E14" s="1021"/>
      <c r="F14" s="1021"/>
      <c r="G14" s="1074"/>
      <c r="I14" s="279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1571</v>
      </c>
      <c r="C15" s="1069">
        <v>2.5</v>
      </c>
      <c r="D15" s="1067"/>
      <c r="E15" s="1067"/>
      <c r="F15" s="1067"/>
      <c r="G15" s="1684"/>
      <c r="I15" s="279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1572</v>
      </c>
      <c r="B16" s="2037" t="s">
        <v>1573</v>
      </c>
      <c r="C16" s="2038"/>
      <c r="D16" s="2039" t="s">
        <v>1574</v>
      </c>
      <c r="E16" s="2040"/>
      <c r="F16" s="2041" t="str">
        <f>IF(AND(C16="是",E16="否"),"是否提供他项权证或相关说明","")</f>
        <v/>
      </c>
      <c r="G16" s="2040"/>
      <c r="I16" s="1071"/>
      <c r="J16" s="1020"/>
    </row>
    <row r="17" spans="1:15" ht="13.5" customHeight="1">
      <c r="A17" s="2042" t="s">
        <v>1575</v>
      </c>
      <c r="B17" s="2818" t="s">
        <v>1576</v>
      </c>
      <c r="C17" s="2819"/>
      <c r="D17" s="2820" t="s">
        <v>1577</v>
      </c>
      <c r="E17" s="2821"/>
      <c r="F17" s="2043" t="s">
        <v>1578</v>
      </c>
      <c r="G17" s="2044"/>
      <c r="J17" s="1020"/>
    </row>
    <row r="18" spans="1:15" ht="24">
      <c r="A18" s="2042"/>
      <c r="B18" s="2045" t="s">
        <v>1579</v>
      </c>
      <c r="C18" s="2012" t="s">
        <v>1580</v>
      </c>
      <c r="D18" s="2046" t="s">
        <v>1581</v>
      </c>
      <c r="E18" s="2047" t="s">
        <v>1582</v>
      </c>
      <c r="F18" s="2048"/>
      <c r="G18" s="1868"/>
      <c r="H18" s="1020"/>
      <c r="J18" s="1020"/>
    </row>
    <row r="19" spans="1:15" ht="21.75" customHeight="1" thickBot="1">
      <c r="A19" s="2042"/>
      <c r="B19" s="2049"/>
      <c r="C19" s="2030"/>
      <c r="D19" s="2050"/>
      <c r="E19" s="1021"/>
      <c r="F19" s="1021"/>
      <c r="G19" s="1868"/>
    </row>
    <row r="20" spans="1:15">
      <c r="A20" s="2051" t="s">
        <v>1583</v>
      </c>
      <c r="B20" s="2052" t="s">
        <v>1584</v>
      </c>
      <c r="C20" s="2053"/>
      <c r="D20" s="2054" t="s">
        <v>1584</v>
      </c>
      <c r="E20" s="2053"/>
      <c r="F20" s="1021"/>
      <c r="G20" s="1868"/>
    </row>
    <row r="21" spans="1:15">
      <c r="A21" s="2055"/>
      <c r="B21" s="2056" t="s">
        <v>1585</v>
      </c>
      <c r="C21" s="2057"/>
      <c r="D21" s="2042" t="s">
        <v>1585</v>
      </c>
      <c r="E21" s="2058"/>
      <c r="F21" s="1021"/>
      <c r="G21" s="1868"/>
    </row>
    <row r="22" spans="1:15">
      <c r="A22" s="2055"/>
      <c r="B22" s="2059" t="s">
        <v>1586</v>
      </c>
      <c r="C22" s="2060"/>
      <c r="D22" s="2059" t="s">
        <v>1586</v>
      </c>
      <c r="E22" s="2058"/>
      <c r="F22" s="1021"/>
      <c r="G22" s="1868"/>
    </row>
    <row r="23" spans="1:15" s="1866" customFormat="1" ht="21" thickBot="1">
      <c r="A23" s="2061"/>
      <c r="B23" s="2062" t="s">
        <v>1587</v>
      </c>
      <c r="C23" s="2063"/>
      <c r="D23" s="2062" t="s">
        <v>1588</v>
      </c>
      <c r="E23" s="2064"/>
      <c r="F23" s="1021"/>
      <c r="G23" s="1868"/>
      <c r="H23" s="2065"/>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6" t="s">
        <v>1590</v>
      </c>
      <c r="C25" s="995"/>
      <c r="D25" s="1015"/>
      <c r="E25" s="1018" t="s">
        <v>1591</v>
      </c>
      <c r="F25" s="995"/>
      <c r="G25" s="2067" t="s">
        <v>1592</v>
      </c>
      <c r="L25" s="1082"/>
      <c r="M25" s="1082"/>
      <c r="O25" s="1083"/>
    </row>
    <row r="26" spans="1:15" s="1081" customFormat="1" ht="13.5" thickBot="1">
      <c r="A26" s="995"/>
      <c r="B26" s="1089"/>
      <c r="C26" s="995"/>
      <c r="D26" s="1015"/>
      <c r="E26" s="1089"/>
      <c r="F26" s="995"/>
      <c r="G26" s="1685"/>
      <c r="L26" s="1082"/>
      <c r="M26" s="1082"/>
      <c r="O26" s="1083"/>
    </row>
    <row r="27" spans="1:15">
      <c r="A27" s="1007" t="s">
        <v>1593</v>
      </c>
      <c r="B27" s="1004"/>
      <c r="C27" s="2806" t="s">
        <v>1593</v>
      </c>
      <c r="D27" s="2807"/>
      <c r="E27" s="1004"/>
      <c r="F27" s="1011" t="s">
        <v>1593</v>
      </c>
      <c r="G27" s="1004"/>
      <c r="I27" s="1071"/>
      <c r="K27" s="1071"/>
    </row>
    <row r="28" spans="1:15">
      <c r="A28" s="1008" t="s">
        <v>1594</v>
      </c>
      <c r="B28" s="978"/>
      <c r="C28" s="2808" t="s">
        <v>1595</v>
      </c>
      <c r="D28" s="2809"/>
      <c r="E28" s="978"/>
      <c r="F28" s="1894" t="s">
        <v>1595</v>
      </c>
      <c r="G28" s="978"/>
      <c r="I28" s="1071"/>
      <c r="K28" s="1071"/>
    </row>
    <row r="29" spans="1:15">
      <c r="A29" s="1008" t="s">
        <v>1596</v>
      </c>
      <c r="B29" s="978"/>
      <c r="C29" s="2808" t="s">
        <v>1596</v>
      </c>
      <c r="D29" s="2809"/>
      <c r="E29" s="978"/>
      <c r="F29" s="1894" t="s">
        <v>1597</v>
      </c>
      <c r="G29" s="978"/>
      <c r="I29" s="1071"/>
      <c r="K29" s="1071"/>
    </row>
    <row r="30" spans="1:15">
      <c r="A30" s="1008" t="s">
        <v>1598</v>
      </c>
      <c r="B30" s="978"/>
      <c r="C30" s="2797" t="s">
        <v>1599</v>
      </c>
      <c r="D30" s="2068"/>
      <c r="E30" s="1023" t="str">
        <f>E31&amp;" "&amp;E32&amp;" "&amp;E33&amp;" "&amp;E34</f>
        <v xml:space="preserve">   </v>
      </c>
      <c r="F30" s="1894" t="s">
        <v>1600</v>
      </c>
      <c r="G30" s="978"/>
    </row>
    <row r="31" spans="1:15">
      <c r="A31" s="1008" t="s">
        <v>1601</v>
      </c>
      <c r="B31" s="978"/>
      <c r="C31" s="2798"/>
      <c r="D31" s="1893" t="s">
        <v>1602</v>
      </c>
      <c r="E31" s="978"/>
      <c r="F31" s="1894" t="s">
        <v>1603</v>
      </c>
      <c r="G31" s="978"/>
    </row>
    <row r="32" spans="1:15" ht="24.75" thickBot="1">
      <c r="A32" s="1009" t="s">
        <v>1604</v>
      </c>
      <c r="B32" s="1005"/>
      <c r="C32" s="2798"/>
      <c r="D32" s="1893" t="s">
        <v>1605</v>
      </c>
      <c r="E32" s="978"/>
      <c r="F32" s="1894" t="s">
        <v>1606</v>
      </c>
      <c r="G32" s="978"/>
    </row>
    <row r="33" spans="1:7">
      <c r="A33" s="1007" t="s">
        <v>1607</v>
      </c>
      <c r="B33" s="1004"/>
      <c r="C33" s="2798"/>
      <c r="D33" s="1893" t="s">
        <v>1608</v>
      </c>
      <c r="E33" s="978"/>
      <c r="F33" s="1894" t="s">
        <v>1609</v>
      </c>
      <c r="G33" s="978"/>
    </row>
    <row r="34" spans="1:7" ht="13.5" thickBot="1">
      <c r="A34" s="1008" t="s">
        <v>1610</v>
      </c>
      <c r="B34" s="978"/>
      <c r="C34" s="2799"/>
      <c r="D34" s="1893" t="s">
        <v>1611</v>
      </c>
      <c r="E34" s="978"/>
      <c r="F34" s="1895" t="s">
        <v>1612</v>
      </c>
      <c r="G34" s="1006"/>
    </row>
    <row r="35" spans="1:7">
      <c r="A35" s="1008" t="s">
        <v>1563</v>
      </c>
      <c r="B35" s="978"/>
      <c r="C35" s="2808" t="s">
        <v>1613</v>
      </c>
      <c r="D35" s="2809"/>
      <c r="E35" s="978"/>
      <c r="F35" s="1019" t="s">
        <v>1614</v>
      </c>
      <c r="G35" s="1004"/>
    </row>
    <row r="36" spans="1:7" ht="13.5" thickBot="1">
      <c r="A36" s="1008" t="s">
        <v>1615</v>
      </c>
      <c r="B36" s="978"/>
      <c r="C36" s="2810" t="s">
        <v>1616</v>
      </c>
      <c r="D36" s="2811"/>
      <c r="E36" s="1005"/>
      <c r="F36" s="1891" t="s">
        <v>1617</v>
      </c>
      <c r="G36" s="978"/>
    </row>
    <row r="37" spans="1:7" ht="13.5" thickBot="1">
      <c r="A37" s="1008" t="s">
        <v>1618</v>
      </c>
      <c r="B37" s="978"/>
      <c r="C37" s="2795" t="s">
        <v>1619</v>
      </c>
      <c r="D37" s="2069" t="s">
        <v>1603</v>
      </c>
      <c r="E37" s="1004"/>
      <c r="F37" s="1895" t="s">
        <v>1620</v>
      </c>
      <c r="G37" s="1005"/>
    </row>
    <row r="38" spans="1:7">
      <c r="A38" s="1008" t="s">
        <v>1621</v>
      </c>
      <c r="B38" s="978"/>
      <c r="C38" s="2801"/>
      <c r="D38" s="1893" t="s">
        <v>1610</v>
      </c>
      <c r="E38" s="978"/>
      <c r="F38" s="1011" t="s">
        <v>1622</v>
      </c>
      <c r="G38" s="1004"/>
    </row>
    <row r="39" spans="1:7">
      <c r="A39" s="1008" t="s">
        <v>1623</v>
      </c>
      <c r="B39" s="978"/>
      <c r="C39" s="2801" t="s">
        <v>1624</v>
      </c>
      <c r="D39" s="1893" t="s">
        <v>1563</v>
      </c>
      <c r="E39" s="978"/>
      <c r="F39" s="1894" t="s">
        <v>1625</v>
      </c>
      <c r="G39" s="978"/>
    </row>
    <row r="40" spans="1:7" ht="24.75" customHeight="1" thickBot="1">
      <c r="A40" s="1009" t="s">
        <v>1626</v>
      </c>
      <c r="B40" s="1005"/>
      <c r="C40" s="2802"/>
      <c r="D40" s="1896" t="s">
        <v>1567</v>
      </c>
      <c r="E40" s="1005"/>
      <c r="F40" s="1895" t="s">
        <v>1627</v>
      </c>
      <c r="G40" s="1005"/>
    </row>
    <row r="41" spans="1:7">
      <c r="A41" s="1010" t="s">
        <v>1628</v>
      </c>
      <c r="B41" s="1060"/>
      <c r="C41" s="2791" t="s">
        <v>1628</v>
      </c>
      <c r="D41" s="2792"/>
      <c r="E41" s="1060"/>
      <c r="F41" s="1011" t="s">
        <v>1629</v>
      </c>
      <c r="G41" s="1060"/>
    </row>
    <row r="42" spans="1:7">
      <c r="A42" s="1057" t="s">
        <v>1630</v>
      </c>
      <c r="B42" s="1061"/>
      <c r="C42" s="2070"/>
      <c r="D42" s="2071"/>
      <c r="E42" s="1061"/>
      <c r="F42" s="1059"/>
      <c r="G42" s="1061"/>
    </row>
    <row r="43" spans="1:7">
      <c r="A43" s="94" t="s">
        <v>1584</v>
      </c>
      <c r="B43" s="1058"/>
      <c r="C43" s="2070"/>
      <c r="D43" s="2072" t="s">
        <v>1584</v>
      </c>
      <c r="E43" s="1058"/>
      <c r="F43" s="94" t="s">
        <v>1584</v>
      </c>
      <c r="G43" s="1058"/>
    </row>
    <row r="44" spans="1:7">
      <c r="A44" s="94" t="s">
        <v>1585</v>
      </c>
      <c r="B44" s="1058"/>
      <c r="C44" s="2070"/>
      <c r="D44" s="2056" t="s">
        <v>1585</v>
      </c>
      <c r="E44" s="1058"/>
      <c r="F44" s="94" t="s">
        <v>1585</v>
      </c>
      <c r="G44" s="1058"/>
    </row>
    <row r="45" spans="1:7">
      <c r="A45" s="94" t="s">
        <v>1586</v>
      </c>
      <c r="B45" s="1058"/>
      <c r="C45" s="2070"/>
      <c r="D45" s="2056" t="s">
        <v>1586</v>
      </c>
      <c r="E45" s="1058"/>
      <c r="F45" s="94" t="s">
        <v>1586</v>
      </c>
      <c r="G45" s="1058"/>
    </row>
    <row r="46" spans="1:7">
      <c r="A46" s="94" t="s">
        <v>1587</v>
      </c>
      <c r="B46" s="1058"/>
      <c r="C46" s="2070"/>
      <c r="D46" s="2056" t="s">
        <v>1587</v>
      </c>
      <c r="E46" s="1058"/>
      <c r="F46" s="94" t="s">
        <v>1587</v>
      </c>
      <c r="G46" s="1058"/>
    </row>
    <row r="47" spans="1:7">
      <c r="A47" s="1057"/>
      <c r="B47" s="1058"/>
      <c r="C47" s="2070"/>
      <c r="D47" s="2071"/>
      <c r="E47" s="1058"/>
      <c r="F47" s="1059"/>
      <c r="G47" s="1058"/>
    </row>
    <row r="48" spans="1:7" ht="13.5" thickBot="1">
      <c r="A48" s="1009" t="s">
        <v>1631</v>
      </c>
      <c r="B48" s="1005"/>
      <c r="C48" s="2793" t="s">
        <v>1631</v>
      </c>
      <c r="D48" s="2794"/>
      <c r="E48" s="1055"/>
      <c r="F48" s="1895" t="s">
        <v>1632</v>
      </c>
      <c r="G48" s="1005"/>
    </row>
    <row r="49" spans="1:15">
      <c r="A49" s="1008" t="s">
        <v>1633</v>
      </c>
      <c r="B49" s="1054"/>
      <c r="C49" s="2795" t="s">
        <v>1634</v>
      </c>
      <c r="D49" s="2796"/>
      <c r="E49" s="1056"/>
      <c r="F49" s="1084"/>
      <c r="G49" s="1085"/>
    </row>
    <row r="50" spans="1:15" ht="13.5" thickBot="1">
      <c r="A50" s="1008" t="s">
        <v>1635</v>
      </c>
      <c r="B50" s="1054"/>
      <c r="C50" s="2802" t="s">
        <v>1636</v>
      </c>
      <c r="D50" s="2805"/>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1638</v>
      </c>
      <c r="B1" s="1237"/>
      <c r="C1" s="1237"/>
      <c r="D1" s="1853"/>
      <c r="E1" s="1853"/>
      <c r="AE1" s="1237"/>
      <c r="AF1" s="1237"/>
      <c r="AG1" s="1237"/>
      <c r="AH1" s="1237"/>
      <c r="AI1" s="1237"/>
      <c r="AJ1" s="1237"/>
      <c r="AK1" s="1237"/>
      <c r="AL1" s="1237"/>
      <c r="AM1" s="1237"/>
      <c r="AN1" s="1237"/>
      <c r="AO1" s="1237"/>
    </row>
    <row r="2" spans="1:41" s="2078" customFormat="1" ht="15.75" thickBot="1">
      <c r="A2" s="2075" t="s">
        <v>1639</v>
      </c>
      <c r="B2" s="1209">
        <f>项目基本情况!D2</f>
        <v>42775</v>
      </c>
      <c r="C2" s="1855"/>
      <c r="D2" s="2824" t="s">
        <v>1640</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1641</v>
      </c>
      <c r="B3" s="2079" t="s">
        <v>2825</v>
      </c>
      <c r="C3" s="1855"/>
      <c r="D3" s="2825"/>
      <c r="E3" s="1188" t="s">
        <v>1642</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1643</v>
      </c>
      <c r="B4" s="2079" t="s">
        <v>2826</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1644</v>
      </c>
      <c r="B5" s="1318">
        <f>项目基本情况!C12</f>
        <v>670.34</v>
      </c>
      <c r="C5" s="1855"/>
      <c r="D5" s="2081" t="s">
        <v>1645</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1646</v>
      </c>
      <c r="B6" s="1319">
        <f>项目基本情况!C13</f>
        <v>0</v>
      </c>
      <c r="C6" s="1855"/>
      <c r="D6" s="2081" t="s">
        <v>1647</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1648</v>
      </c>
      <c r="B10" s="2086" t="s">
        <v>2824</v>
      </c>
      <c r="C10" s="1855"/>
      <c r="D10" s="2075" t="s">
        <v>1649</v>
      </c>
      <c r="E10" s="2087"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1652</v>
      </c>
      <c r="B11" s="990">
        <v>40</v>
      </c>
      <c r="C11" s="1855"/>
      <c r="D11" s="2089" t="s">
        <v>1653</v>
      </c>
      <c r="E11" s="34">
        <v>160</v>
      </c>
      <c r="F11" s="1854" t="s">
        <v>1654</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1655</v>
      </c>
      <c r="B12" s="2736">
        <v>52829</v>
      </c>
      <c r="C12" s="1855"/>
      <c r="D12" s="2093"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1657</v>
      </c>
      <c r="B13" s="991">
        <f>IF(B12="",B11-(YEAR($B$2)-B26+B23),ROUNDDOWN(MIN((B12-$B$2)/365,B11),2))</f>
        <v>27.54</v>
      </c>
      <c r="C13" s="2095"/>
      <c r="D13" s="2096" t="s">
        <v>1658</v>
      </c>
      <c r="E13" s="39">
        <f>成本法!C10</f>
        <v>134068</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1660</v>
      </c>
      <c r="B14" s="992">
        <f>IF(ISERROR(ROUND(POWER(1+B15,B11-B13)*(POWER(1+B15,B13)-1)/(POWER(1+B15,B11)-1),3)),0,ROUND(POWER(1+B15,B11-B13)*(POWER(1+B15,B13)-1)/(POWER(1+B15,B11)-1),3))</f>
        <v>0.83399999999999996</v>
      </c>
      <c r="C14" s="1855"/>
      <c r="D14" s="2097" t="s">
        <v>1661</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1662</v>
      </c>
      <c r="B15" s="30">
        <v>0.04</v>
      </c>
      <c r="C15" s="1855"/>
      <c r="D15" s="2093" t="s">
        <v>1663</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1664</v>
      </c>
      <c r="B16" s="30">
        <v>0.05</v>
      </c>
      <c r="C16" s="1855"/>
      <c r="D16" s="2098" t="s">
        <v>1665</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1666</v>
      </c>
      <c r="B17" s="997">
        <v>0.08</v>
      </c>
      <c r="C17" s="1855"/>
      <c r="D17" s="2085" t="s">
        <v>1667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1876952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1669</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1670</v>
      </c>
      <c r="B21" s="32">
        <v>1.5</v>
      </c>
      <c r="C21" s="1855"/>
      <c r="D21" s="2093"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1673</v>
      </c>
      <c r="B22" s="1454">
        <v>1.5</v>
      </c>
      <c r="C22" s="1855"/>
      <c r="D22" s="2093"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1676</v>
      </c>
      <c r="B23" s="33">
        <f>B20+B21</f>
        <v>1.5</v>
      </c>
      <c r="C23" s="1855"/>
      <c r="D23" s="2093"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1679</v>
      </c>
      <c r="B24" s="1742">
        <f>B20+B22</f>
        <v>1.5</v>
      </c>
      <c r="C24" s="1855"/>
      <c r="D24" s="2098"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1682</v>
      </c>
      <c r="B25" s="1453">
        <f>B21-B22</f>
        <v>0</v>
      </c>
      <c r="C25" s="1237"/>
      <c r="D25" s="2089" t="s">
        <v>1683</v>
      </c>
      <c r="E25" s="711">
        <v>0.03</v>
      </c>
      <c r="F25" s="1852" t="s">
        <v>1684</v>
      </c>
      <c r="I25" s="1853"/>
      <c r="AE25" s="1237"/>
      <c r="AF25" s="1237"/>
      <c r="AG25" s="1237"/>
      <c r="AH25" s="1237"/>
      <c r="AI25" s="1237"/>
      <c r="AJ25" s="1237"/>
      <c r="AK25" s="1237"/>
      <c r="AL25" s="1237"/>
      <c r="AM25" s="1237"/>
      <c r="AN25" s="1237"/>
      <c r="AO25" s="1237"/>
    </row>
    <row r="26" spans="1:41" ht="15.75" thickBot="1">
      <c r="A26" s="2107" t="s">
        <v>1685</v>
      </c>
      <c r="B26" s="1094">
        <v>2005</v>
      </c>
      <c r="C26" s="1855"/>
      <c r="D26" s="2093" t="s">
        <v>1686</v>
      </c>
      <c r="E26" s="40">
        <v>0.03</v>
      </c>
      <c r="F26" s="1852" t="s">
        <v>1684</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1687</v>
      </c>
      <c r="E27" s="352">
        <f ca="1">存贷款利率!G1</f>
        <v>4.7500000000000001E-2</v>
      </c>
      <c r="F27" s="1852" t="s">
        <v>1688</v>
      </c>
      <c r="G27" s="2077"/>
      <c r="H27" s="2077"/>
      <c r="K27" s="1855"/>
      <c r="N27" s="1855"/>
      <c r="AE27" s="1237"/>
      <c r="AF27" s="1237"/>
      <c r="AG27" s="1237"/>
      <c r="AH27" s="1237"/>
      <c r="AI27" s="1237"/>
      <c r="AJ27" s="1237"/>
      <c r="AK27" s="1237"/>
      <c r="AL27" s="1237"/>
      <c r="AM27" s="1237"/>
      <c r="AN27" s="1237"/>
      <c r="AO27" s="1237"/>
    </row>
    <row r="28" spans="1:41" ht="15" thickBot="1">
      <c r="A28" s="2108" t="s">
        <v>1689</v>
      </c>
      <c r="B28" s="2109" t="s">
        <v>2839</v>
      </c>
      <c r="C28" s="1237"/>
      <c r="D28" s="2110" t="s">
        <v>1690</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v>
      </c>
      <c r="C29" s="1237"/>
      <c r="D29" s="2097" t="s">
        <v>1691</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1692</v>
      </c>
      <c r="B30" s="1419">
        <f ca="1">存贷款利率!I1</f>
        <v>1.4999999999999999E-2</v>
      </c>
      <c r="C30" s="1237"/>
      <c r="D30" s="2111" t="s">
        <v>1693</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1694</v>
      </c>
      <c r="B31" s="30">
        <v>0.02</v>
      </c>
      <c r="C31" s="1237"/>
      <c r="D31" s="2111" t="s">
        <v>1695</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1696</v>
      </c>
      <c r="B32" s="30">
        <v>0.1</v>
      </c>
      <c r="C32" s="1237"/>
      <c r="D32" s="2112" t="s">
        <v>1697</v>
      </c>
      <c r="E32" s="43">
        <v>7.0000000000000007E-2</v>
      </c>
      <c r="F32" s="1847" t="s">
        <v>1698</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1699</v>
      </c>
      <c r="B33" s="1380">
        <f>收益法!J54</f>
        <v>27.54</v>
      </c>
      <c r="C33" s="1237"/>
      <c r="D33" s="2112" t="s">
        <v>1700</v>
      </c>
      <c r="E33" s="41">
        <v>0.03</v>
      </c>
      <c r="F33" s="1846" t="s">
        <v>1701</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1702</v>
      </c>
      <c r="E34" s="41">
        <v>0.02</v>
      </c>
      <c r="F34" s="1846" t="s">
        <v>1703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1704</v>
      </c>
      <c r="B35" s="994"/>
      <c r="C35" s="1237"/>
      <c r="D35" s="2116" t="s">
        <v>1705</v>
      </c>
      <c r="E35" s="44">
        <v>0</v>
      </c>
      <c r="F35" s="1854" t="s">
        <v>1706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1707</v>
      </c>
      <c r="E36" s="45">
        <v>0.03</v>
      </c>
      <c r="F36" s="1850" t="s">
        <v>1708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1709</v>
      </c>
      <c r="E37" s="41">
        <v>5.0000000000000001E-4</v>
      </c>
      <c r="F37" s="1850" t="s">
        <v>1710</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1711</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1713</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1714</v>
      </c>
      <c r="B41" s="1000">
        <f>项目基本情况!C12</f>
        <v>670.34</v>
      </c>
      <c r="C41" s="1237"/>
      <c r="D41" s="2093" t="s">
        <v>1715</v>
      </c>
      <c r="E41" s="2121"/>
      <c r="F41" s="1848" t="s">
        <v>1716</v>
      </c>
      <c r="G41" s="2122" t="s">
        <v>1717</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1718</v>
      </c>
      <c r="B42" s="993">
        <v>365</v>
      </c>
      <c r="C42" s="1237"/>
      <c r="D42" s="2123" t="s">
        <v>1719</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1720</v>
      </c>
      <c r="B43" s="29"/>
      <c r="C43" s="1237"/>
      <c r="D43" s="2123" t="s">
        <v>1721</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1722</v>
      </c>
      <c r="B44" s="1001">
        <v>1.4999999999999999E-2</v>
      </c>
      <c r="C44" s="1237" t="s">
        <v>967</v>
      </c>
      <c r="D44" s="2123" t="s">
        <v>1723</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1724</v>
      </c>
      <c r="B45" s="1002">
        <v>1.5E-3</v>
      </c>
      <c r="C45" s="1237" t="s">
        <v>968</v>
      </c>
      <c r="D45" s="2123"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1726</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1731</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1732</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7"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7" t="s">
        <v>1744</v>
      </c>
      <c r="C5" s="2148" t="s">
        <v>1745</v>
      </c>
      <c r="D5" s="2145"/>
      <c r="E5" s="2149"/>
      <c r="F5" s="1887" t="s">
        <v>1746</v>
      </c>
      <c r="G5" s="2151" t="s">
        <v>1747</v>
      </c>
      <c r="H5" s="2141"/>
      <c r="I5" s="2141"/>
      <c r="J5" s="2141"/>
      <c r="K5" s="2141"/>
      <c r="L5" s="2141"/>
      <c r="M5" s="2141"/>
      <c r="N5" s="2141"/>
      <c r="O5" s="2141"/>
      <c r="P5" s="2141"/>
      <c r="Q5" s="2141"/>
      <c r="R5" s="2141"/>
    </row>
    <row r="6" spans="1:29" ht="54">
      <c r="A6" s="411"/>
      <c r="B6" s="1887" t="s">
        <v>1748</v>
      </c>
      <c r="C6" s="2151" t="s">
        <v>1743</v>
      </c>
      <c r="D6" s="2145"/>
      <c r="E6" s="2149"/>
      <c r="F6" s="1887" t="s">
        <v>1749</v>
      </c>
      <c r="G6" s="2151" t="s">
        <v>1750</v>
      </c>
      <c r="H6" s="2141"/>
      <c r="I6" s="2141"/>
      <c r="J6" s="2141"/>
      <c r="K6" s="2141"/>
      <c r="L6" s="2141"/>
      <c r="M6" s="2141"/>
      <c r="N6" s="2141"/>
      <c r="O6" s="2141"/>
      <c r="P6" s="2141"/>
      <c r="Q6" s="2141"/>
      <c r="R6" s="2141"/>
    </row>
    <row r="7" spans="1:29" ht="41.25" thickBot="1">
      <c r="A7" s="411"/>
      <c r="B7" s="1887"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7" t="s">
        <v>1749</v>
      </c>
      <c r="C8" s="2151" t="s">
        <v>1750</v>
      </c>
      <c r="D8" s="2152"/>
      <c r="E8" s="2152"/>
      <c r="F8" s="1246"/>
      <c r="G8" s="1246"/>
      <c r="H8" s="2141"/>
      <c r="I8" s="2141"/>
      <c r="J8" s="2141"/>
      <c r="K8" s="2141"/>
      <c r="L8" s="2141"/>
      <c r="M8" s="2141"/>
      <c r="N8" s="2141"/>
      <c r="O8" s="2141"/>
      <c r="P8" s="2141"/>
      <c r="Q8" s="2141"/>
      <c r="R8" s="2141"/>
    </row>
    <row r="9" spans="1:29" ht="27">
      <c r="A9" s="411"/>
      <c r="B9" s="1887" t="s">
        <v>1753</v>
      </c>
      <c r="C9" s="2148" t="s">
        <v>1754</v>
      </c>
      <c r="D9" s="2145"/>
      <c r="E9" s="2152"/>
      <c r="F9" s="1246"/>
      <c r="G9" s="1246"/>
      <c r="H9" s="2141"/>
      <c r="I9" s="2141"/>
      <c r="J9" s="2141"/>
      <c r="K9" s="2141"/>
      <c r="L9" s="2141"/>
      <c r="M9" s="2141"/>
      <c r="N9" s="2141"/>
      <c r="O9" s="2141"/>
      <c r="P9" s="2141"/>
      <c r="Q9" s="2141"/>
      <c r="R9" s="2141"/>
    </row>
    <row r="10" spans="1:29" s="35" customFormat="1" ht="15.75" thickBot="1">
      <c r="A10" s="2156"/>
      <c r="B10" s="2157" t="s">
        <v>1755</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3"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3"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7"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7" t="s">
        <v>1765</v>
      </c>
      <c r="G20" s="52" t="str">
        <f>G6</f>
        <v>估价对象所在区域基础设施水平</v>
      </c>
    </row>
    <row r="21" spans="1:18" ht="28.5">
      <c r="A21" s="629"/>
      <c r="B21" s="1887" t="s">
        <v>1746</v>
      </c>
      <c r="C21" s="52" t="str">
        <f>C7</f>
        <v>估价对象所在区域公共配套设施齐备情况</v>
      </c>
      <c r="D21" s="2145"/>
      <c r="E21" s="2181"/>
      <c r="F21" s="2182" t="s">
        <v>1766</v>
      </c>
      <c r="G21" s="2184"/>
    </row>
    <row r="22" spans="1:18" ht="28.5">
      <c r="A22" s="629"/>
      <c r="B22" s="1887"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30" t="s">
        <v>1222</v>
      </c>
      <c r="B1" s="1830">
        <f>SUM(B14:B23)</f>
        <v>670.34</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42775</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1532.8205</v>
      </c>
      <c r="C5" s="1830">
        <f ca="1">ROUND(B5*10000/$B$1,0)</f>
        <v>22866</v>
      </c>
      <c r="D5" s="1830" t="e">
        <f ca="1">ROUND(B5*10000/$B$2,0)</f>
        <v>#DIV/0!</v>
      </c>
      <c r="E5" s="1831"/>
      <c r="F5" s="1835"/>
      <c r="G5" s="1835"/>
    </row>
    <row r="6" spans="1:9" ht="16.5">
      <c r="A6" s="1830" t="s">
        <v>1230</v>
      </c>
      <c r="B6" s="1830">
        <f ca="1">SUM(G14:G23)</f>
        <v>1532.8205</v>
      </c>
      <c r="C6" s="1830">
        <f t="shared" ref="C6:C8" ca="1" si="0">ROUND(B6*10000/$B$1,0)</f>
        <v>22866</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2842</v>
      </c>
      <c r="B14" s="1834">
        <f>项目基本情况!C12</f>
        <v>670.34</v>
      </c>
      <c r="C14" s="1834">
        <f>项目基本情况!C13</f>
        <v>0</v>
      </c>
      <c r="D14" s="1834">
        <f ca="1">IF('数据-取费表'!B3="万元",IF(A14="估价对象1（结果表）",结果表!H121,'结果表 (1修多)'!H124),IF(A14="估价对象1（结果表）",结果表!H121,'结果表 (1修多)'!H124)/10000)</f>
        <v>1532.8205</v>
      </c>
      <c r="E14" s="1834">
        <f ca="1">ROUND(D14*10000/B14,0)</f>
        <v>22866</v>
      </c>
      <c r="F14" s="1834" t="e">
        <f ca="1">ROUND(D14*10000/C14,0)</f>
        <v>#DIV/0!</v>
      </c>
      <c r="G14" s="1834">
        <f ca="1">IF('数据-取费表'!B3="万元",IF(A14="估价对象1（结果表）",结果表!D125,'结果表 (1修多)'!D128),IF(A14="估价对象1（结果表）",结果表!D125,'结果表 (1修多)'!D128)/10000)</f>
        <v>1532.8205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L25" sqref="L25"/>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1769</v>
      </c>
      <c r="B1" s="2196"/>
      <c r="C1" s="2196"/>
      <c r="D1" s="2196"/>
      <c r="E1" s="2196"/>
      <c r="F1" s="2196"/>
      <c r="G1" s="2196"/>
      <c r="H1" s="2196"/>
      <c r="I1" s="2196"/>
    </row>
    <row r="2" spans="1:12" ht="21.75" customHeight="1">
      <c r="A2" s="2892" t="str">
        <f>项目基本情况!B1</f>
        <v>预评估</v>
      </c>
      <c r="B2" s="2892"/>
      <c r="C2" s="2892"/>
      <c r="D2" s="2892"/>
      <c r="E2" s="2892"/>
      <c r="F2" s="2892"/>
      <c r="G2" s="2892"/>
      <c r="H2" s="2892"/>
      <c r="I2" s="2892"/>
    </row>
    <row r="3" spans="1:12" ht="12.75">
      <c r="A3" s="2895" t="s">
        <v>1770</v>
      </c>
      <c r="B3" s="2896"/>
      <c r="C3" s="2896"/>
      <c r="D3" s="2896"/>
      <c r="E3" s="2896"/>
      <c r="F3" s="2896"/>
      <c r="G3" s="2896"/>
      <c r="H3" s="2896"/>
      <c r="I3" s="2896"/>
    </row>
    <row r="4" spans="1:12" ht="14.25">
      <c r="A4" s="2198" t="s">
        <v>1771</v>
      </c>
      <c r="B4" s="2199" t="s">
        <v>1772</v>
      </c>
      <c r="C4" s="2200" t="s">
        <v>2834</v>
      </c>
      <c r="D4" s="2200" t="s">
        <v>2835</v>
      </c>
      <c r="E4" s="2876" t="s">
        <v>1773</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1774</v>
      </c>
      <c r="B5" s="2831">
        <v>25</v>
      </c>
      <c r="C5" s="2880">
        <v>5</v>
      </c>
      <c r="D5" s="2894">
        <f>10-C5</f>
        <v>5</v>
      </c>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5</v>
      </c>
      <c r="D17" s="57">
        <f>SUM(D5:D16)</f>
        <v>5</v>
      </c>
      <c r="E17" s="2196"/>
      <c r="F17" s="2196"/>
      <c r="G17" s="2196"/>
      <c r="H17" s="2196"/>
      <c r="I17" s="2196"/>
    </row>
    <row r="18" spans="1:35" ht="15.75" thickBot="1">
      <c r="A18" s="2205" t="s">
        <v>1792</v>
      </c>
      <c r="B18" s="2206"/>
      <c r="C18" s="58">
        <f>ROUND(C17/SUM(C17:D17),2)</f>
        <v>0.5</v>
      </c>
      <c r="D18" s="58">
        <f>1-C18</f>
        <v>0.5</v>
      </c>
      <c r="E18" s="2196"/>
      <c r="F18" s="2196"/>
      <c r="G18" s="2196"/>
      <c r="H18" s="2196"/>
      <c r="I18" s="2196"/>
    </row>
    <row r="19" spans="1:35" ht="15">
      <c r="A19" s="2207" t="s">
        <v>1793</v>
      </c>
      <c r="B19" s="2208" t="s">
        <v>1794</v>
      </c>
      <c r="C19" s="59">
        <f ca="1">SUMIF(INDIRECT("'"&amp;C4&amp;"'"&amp;"!A:A"),结果表!B19,INDIRECT("'"&amp;C4&amp;"'"&amp;"!B:B"))</f>
        <v>13982500</v>
      </c>
      <c r="D19" s="60">
        <f ca="1">SUMIF(INDIRECT("'"&amp;D4&amp;"'"&amp;"!A:A"),结果表!B19,INDIRECT("'"&amp;D4&amp;"'"&amp;"!B:B"))</f>
        <v>16673910</v>
      </c>
      <c r="E19" s="2207" t="s">
        <v>1795</v>
      </c>
      <c r="F19" s="2208" t="s">
        <v>1794</v>
      </c>
      <c r="G19" s="61">
        <f ca="1">ROUND(C19*$C$18+D19*$D$18,0)</f>
        <v>15328205</v>
      </c>
      <c r="H19" s="2209" t="str">
        <f>'数据-取费表'!B3</f>
        <v>元</v>
      </c>
      <c r="I19" s="2196"/>
      <c r="K19" s="798">
        <v>22822</v>
      </c>
    </row>
    <row r="20" spans="1:35" ht="15">
      <c r="A20" s="2210"/>
      <c r="B20" s="2211" t="s">
        <v>1796</v>
      </c>
      <c r="C20" s="62">
        <f ca="1">SUMIF(INDIRECT("'"&amp;C4&amp;"'"&amp;"!A:A"),结果表!B20,INDIRECT("'"&amp;C4&amp;"'"&amp;"!B:B"))</f>
        <v>20859</v>
      </c>
      <c r="D20" s="63">
        <f ca="1">SUMIF(INDIRECT("'"&amp;D4&amp;"'"&amp;"!A:A"),结果表!B20,INDIRECT("'"&amp;D4&amp;"'"&amp;"!B:B"))</f>
        <v>24874</v>
      </c>
      <c r="E20" s="2210"/>
      <c r="F20" s="2211" t="s">
        <v>1796</v>
      </c>
      <c r="G20" s="64">
        <f ca="1">ROUND(C20*$C$18+D20*$D$18,0)</f>
        <v>22867</v>
      </c>
      <c r="H20" s="2212" t="s">
        <v>1797</v>
      </c>
      <c r="I20" s="2196"/>
      <c r="J20" s="798">
        <f ca="1">G20*项目基本情况!C12</f>
        <v>15328664.780000001</v>
      </c>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0.19248417664938322</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4" t="s">
        <v>2803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1805</v>
      </c>
      <c r="B32" s="2225" t="str">
        <f>'数据-取费表'!B4</f>
        <v>总价</v>
      </c>
      <c r="C32" s="1145">
        <f ca="1">IF(B32="总价",G19-C24,G20-C25)</f>
        <v>15328205</v>
      </c>
      <c r="D32" s="2196" t="str">
        <f>IF(B32="楼面单价","元/平方米",H19)</f>
        <v>元</v>
      </c>
      <c r="E32" s="2196"/>
      <c r="F32" s="2196"/>
      <c r="G32" s="2196"/>
      <c r="H32" s="2196"/>
      <c r="I32" s="2196"/>
    </row>
    <row r="33" spans="1:16" ht="15">
      <c r="A33" s="2226" t="s">
        <v>1806</v>
      </c>
      <c r="B33" s="2227"/>
      <c r="C33" s="2228"/>
      <c r="D33" s="2229"/>
      <c r="E33" s="2230" t="s">
        <v>1807</v>
      </c>
      <c r="F33" s="2231" t="str">
        <f>IF(B32="楼面单价","取值（单价）","取值（总价）")</f>
        <v>取值（总价）</v>
      </c>
      <c r="G33" s="2196"/>
      <c r="H33" s="2196"/>
      <c r="I33" s="2196"/>
    </row>
    <row r="34" spans="1:16" ht="15">
      <c r="A34" s="2232"/>
      <c r="B34" s="2233" t="s">
        <v>1808</v>
      </c>
      <c r="C34" s="72">
        <f ca="1">IF(D33="自定义",F34,C32-C35)</f>
        <v>12645769</v>
      </c>
      <c r="D34" s="1091">
        <f ca="1">IF(D33="自定义",ROUND(C34/C32,3),1-D35)</f>
        <v>0.82499999999999996</v>
      </c>
      <c r="E34" s="2234" t="s">
        <v>1809</v>
      </c>
      <c r="F34" s="1828">
        <v>2000</v>
      </c>
      <c r="G34" s="2196"/>
      <c r="H34" s="2196"/>
      <c r="I34" s="2196"/>
    </row>
    <row r="35" spans="1:16" ht="15.75" thickBot="1">
      <c r="A35" s="2235"/>
      <c r="B35" s="2236" t="s">
        <v>1810</v>
      </c>
      <c r="C35" s="73">
        <f ca="1">IF(D33="自定义",F35,ROUND(C32*D35,0))</f>
        <v>2682436</v>
      </c>
      <c r="D35" s="1090">
        <f ca="1">IF(D33="自定义",ROUND(C35/C32,3),IF(D33="成本法成本比率",成本法!C56,IF(D33="收益法收益比率",收益法!J38,收益法!J41)))</f>
        <v>0.17499999999999999</v>
      </c>
      <c r="E35" s="2237" t="s">
        <v>1811</v>
      </c>
      <c r="F35" s="79">
        <v>4460</v>
      </c>
      <c r="G35" s="2196"/>
      <c r="H35" s="2196"/>
      <c r="I35" s="2196"/>
    </row>
    <row r="36" spans="1:16" ht="15.75" thickBot="1">
      <c r="A36" s="2882" t="s">
        <v>1812</v>
      </c>
      <c r="B36" s="2238" t="s">
        <v>1813</v>
      </c>
      <c r="C36" s="69">
        <v>0</v>
      </c>
      <c r="D36" s="2239"/>
      <c r="E36" s="2240"/>
      <c r="F36" s="2240"/>
      <c r="G36" s="2196"/>
      <c r="H36" s="2196"/>
      <c r="I36" s="2196"/>
    </row>
    <row r="37" spans="1:16" ht="15.75" thickBot="1">
      <c r="A37" s="2883"/>
      <c r="B37" s="2241" t="s">
        <v>1814</v>
      </c>
      <c r="C37" s="71">
        <v>0</v>
      </c>
      <c r="D37" s="2206"/>
      <c r="E37" s="2206"/>
      <c r="F37" s="2240"/>
      <c r="G37" s="2206"/>
      <c r="H37" s="2206"/>
      <c r="I37" s="2206"/>
    </row>
    <row r="38" spans="1:16" ht="15.75" thickBot="1">
      <c r="A38" s="2884"/>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5"/>
    </row>
    <row r="45" spans="1:16" ht="14.25" customHeight="1" thickBot="1">
      <c r="A45" s="2888" t="s">
        <v>1823</v>
      </c>
      <c r="B45" s="2889"/>
      <c r="C45" s="2890"/>
      <c r="D45" s="80">
        <f ca="1">ROUND(I102*F45,0)</f>
        <v>15328205</v>
      </c>
      <c r="E45" s="81" t="s">
        <v>1824</v>
      </c>
      <c r="F45" s="82">
        <v>1</v>
      </c>
      <c r="G45" s="83" t="s">
        <v>1825</v>
      </c>
      <c r="H45" s="2196"/>
      <c r="I45" s="2196"/>
      <c r="J45" s="2950" t="s">
        <v>1826</v>
      </c>
      <c r="K45" s="2950"/>
      <c r="L45" s="2950"/>
      <c r="M45" s="2950"/>
      <c r="N45" s="2950"/>
      <c r="O45" s="2950"/>
      <c r="P45" s="1845"/>
    </row>
    <row r="46" spans="1:16" ht="14.25" customHeight="1">
      <c r="A46" s="2873" t="s">
        <v>1827</v>
      </c>
      <c r="B46" s="2874"/>
      <c r="C46" s="2874"/>
      <c r="D46" s="2874"/>
      <c r="E46" s="2874"/>
      <c r="F46" s="2874"/>
      <c r="G46" s="2875"/>
      <c r="H46" s="2258"/>
      <c r="I46" s="1144"/>
      <c r="J46" s="1883">
        <v>1</v>
      </c>
      <c r="K46" s="2950" t="s">
        <v>1828</v>
      </c>
      <c r="L46" s="2950"/>
      <c r="M46" s="2951" t="str">
        <f>项目基本情况!B1</f>
        <v>预评估</v>
      </c>
      <c r="N46" s="2951"/>
      <c r="O46" s="2951"/>
      <c r="P46" s="1845"/>
    </row>
    <row r="47" spans="1:16" ht="12" customHeight="1">
      <c r="A47" s="85" t="s">
        <v>1829</v>
      </c>
      <c r="B47" s="86"/>
      <c r="C47" s="87"/>
      <c r="D47" s="88" t="s">
        <v>1830</v>
      </c>
      <c r="E47" s="14" t="s">
        <v>1831</v>
      </c>
      <c r="F47" s="89" t="s">
        <v>1832</v>
      </c>
      <c r="G47" s="90" t="s">
        <v>1833</v>
      </c>
      <c r="H47" s="2258"/>
      <c r="I47" s="1144"/>
      <c r="J47" s="1883">
        <v>2</v>
      </c>
      <c r="K47" s="2950" t="s">
        <v>1834</v>
      </c>
      <c r="L47" s="2950"/>
      <c r="M47" s="2952">
        <f>'数据-取费表'!B2</f>
        <v>42775</v>
      </c>
      <c r="N47" s="2952"/>
      <c r="O47" s="2952"/>
      <c r="P47" s="1845"/>
    </row>
    <row r="48" spans="1:16" ht="25.5">
      <c r="A48" s="2885" t="s">
        <v>1835</v>
      </c>
      <c r="B48" s="2886"/>
      <c r="C48" s="2886"/>
      <c r="D48" s="56">
        <f ca="1">IF(H48="情况1",0,IF(H48="情况2",D52,IF(H48="情况3",D53,IF(H48="情况4",D54))))</f>
        <v>817504</v>
      </c>
      <c r="E48" s="1893" t="str">
        <f>IF(H48="情况4","(销售额-原购置价)×税（费）率","销售额×税（费）率")</f>
        <v>销售额×税（费）率</v>
      </c>
      <c r="F48" s="91">
        <f>IF(H48="情况1","免征",'数据-取费表'!E29)</f>
        <v>5.6000000000000001E-2</v>
      </c>
      <c r="G48" s="2259" t="s">
        <v>1836</v>
      </c>
      <c r="H48" s="2260" t="s">
        <v>1837</v>
      </c>
      <c r="I48" s="2258"/>
      <c r="J48" s="1883">
        <v>3</v>
      </c>
      <c r="K48" s="2950" t="s">
        <v>1838</v>
      </c>
      <c r="L48" s="2950"/>
      <c r="M48" s="2951">
        <f ca="1">I102</f>
        <v>15328205</v>
      </c>
      <c r="N48" s="2951"/>
      <c r="O48" s="2951"/>
      <c r="P48" s="1845"/>
    </row>
    <row r="49" spans="1:16" ht="25.5" customHeight="1">
      <c r="A49" s="92" t="s">
        <v>1839</v>
      </c>
      <c r="B49" s="2878" t="s">
        <v>1840</v>
      </c>
      <c r="C49" s="2878"/>
      <c r="D49" s="93">
        <v>0</v>
      </c>
      <c r="E49" s="13" t="s">
        <v>1841</v>
      </c>
      <c r="F49" s="18" t="s">
        <v>48</v>
      </c>
      <c r="G49" s="2943"/>
      <c r="H49" s="2196"/>
      <c r="I49" s="2261"/>
      <c r="J49" s="188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5"/>
    </row>
    <row r="50" spans="1:16" ht="25.5" customHeight="1">
      <c r="A50" s="94"/>
      <c r="B50" s="2878" t="s">
        <v>1842</v>
      </c>
      <c r="C50" s="2878"/>
      <c r="D50" s="95"/>
      <c r="E50" s="21"/>
      <c r="F50" s="96"/>
      <c r="G50" s="2944"/>
      <c r="H50" s="2196"/>
      <c r="I50" s="2261"/>
      <c r="J50" s="2950" t="s">
        <v>1843</v>
      </c>
      <c r="K50" s="2950"/>
      <c r="L50" s="2950"/>
      <c r="M50" s="2950"/>
      <c r="N50" s="2950"/>
      <c r="O50" s="2950"/>
      <c r="P50" s="1845"/>
    </row>
    <row r="51" spans="1:16" ht="12" customHeight="1">
      <c r="A51" s="97"/>
      <c r="B51" s="2878" t="s">
        <v>1844</v>
      </c>
      <c r="C51" s="2878"/>
      <c r="D51" s="98"/>
      <c r="E51" s="20"/>
      <c r="F51" s="96"/>
      <c r="G51" s="2945"/>
      <c r="H51" s="2196"/>
      <c r="I51" s="2261"/>
      <c r="J51" s="2262" t="s">
        <v>1845</v>
      </c>
      <c r="K51" s="2950" t="s">
        <v>1846</v>
      </c>
      <c r="L51" s="2950"/>
      <c r="M51" s="2262" t="s">
        <v>1847</v>
      </c>
      <c r="N51" s="2262" t="s">
        <v>1848</v>
      </c>
      <c r="O51" s="2262" t="s">
        <v>1849</v>
      </c>
      <c r="P51" s="1845"/>
    </row>
    <row r="52" spans="1:16" ht="24" customHeight="1">
      <c r="A52" s="99" t="s">
        <v>1850</v>
      </c>
      <c r="B52" s="2878" t="s">
        <v>1851</v>
      </c>
      <c r="C52" s="2878"/>
      <c r="D52" s="98">
        <f ca="1">ROUND(D45*'数据-取费表'!E29/(1+'数据-取费表'!F30),0)</f>
        <v>817504</v>
      </c>
      <c r="E52" s="10" t="s">
        <v>1852</v>
      </c>
      <c r="F52" s="100">
        <f>'数据-取费表'!E29</f>
        <v>5.6000000000000001E-2</v>
      </c>
      <c r="G52" s="2263"/>
      <c r="H52" s="2196"/>
      <c r="I52" s="2261"/>
      <c r="J52" s="1883">
        <v>1</v>
      </c>
      <c r="K52" s="2910" t="s">
        <v>1853</v>
      </c>
      <c r="L52" s="2910"/>
      <c r="M52" s="778">
        <f ca="1">D48</f>
        <v>817504</v>
      </c>
      <c r="N52" s="1883" t="str">
        <f>E48</f>
        <v>销售额×税（费）率</v>
      </c>
      <c r="O52" s="779">
        <f>F48</f>
        <v>5.6000000000000001E-2</v>
      </c>
      <c r="P52" s="1845"/>
    </row>
    <row r="53" spans="1:16" ht="12" customHeight="1">
      <c r="A53" s="99" t="s">
        <v>1854</v>
      </c>
      <c r="B53" s="2879" t="s">
        <v>1855</v>
      </c>
      <c r="C53" s="2809"/>
      <c r="D53" s="98">
        <f ca="1">ROUND(D45*'数据-取费表'!E29/(1+'数据-取费表'!F30),0)</f>
        <v>817504</v>
      </c>
      <c r="E53" s="10" t="s">
        <v>1852</v>
      </c>
      <c r="F53" s="100">
        <f>'数据-取费表'!E29</f>
        <v>5.6000000000000001E-2</v>
      </c>
      <c r="G53" s="2263"/>
      <c r="H53" s="2196"/>
      <c r="I53" s="2261"/>
      <c r="J53" s="1883">
        <v>2</v>
      </c>
      <c r="K53" s="2910" t="s">
        <v>1856</v>
      </c>
      <c r="L53" s="2910"/>
      <c r="M53" s="778">
        <f t="shared" ref="M53:O54" ca="1" si="1">D55</f>
        <v>7664</v>
      </c>
      <c r="N53" s="1883" t="str">
        <f t="shared" si="1"/>
        <v>销售额×税（费）率</v>
      </c>
      <c r="O53" s="779">
        <f t="shared" si="1"/>
        <v>5.0000000000000001E-4</v>
      </c>
      <c r="P53" s="1845"/>
    </row>
    <row r="54" spans="1:16" ht="12" customHeight="1">
      <c r="A54" s="99" t="s">
        <v>1857</v>
      </c>
      <c r="B54" s="2879" t="s">
        <v>1858</v>
      </c>
      <c r="C54" s="2809"/>
      <c r="D54" s="98">
        <f ca="1">C68</f>
        <v>817504</v>
      </c>
      <c r="E54" s="20" t="s">
        <v>1859</v>
      </c>
      <c r="F54" s="100">
        <f>'数据-取费表'!E29</f>
        <v>5.6000000000000001E-2</v>
      </c>
      <c r="G54" s="2263"/>
      <c r="H54" s="2264"/>
      <c r="I54" s="2261"/>
      <c r="J54" s="1883">
        <v>3</v>
      </c>
      <c r="K54" s="2910" t="s">
        <v>1860</v>
      </c>
      <c r="L54" s="2910"/>
      <c r="M54" s="778">
        <f t="shared" ca="1" si="1"/>
        <v>8675764</v>
      </c>
      <c r="N54" s="1883" t="str">
        <f t="shared" si="1"/>
        <v>增值额×税（费）率</v>
      </c>
      <c r="O54" s="780" t="str">
        <f t="shared" si="1"/>
        <v>——</v>
      </c>
      <c r="P54" s="1845"/>
    </row>
    <row r="55" spans="1:16" ht="24" customHeight="1">
      <c r="A55" s="2801" t="s">
        <v>1861</v>
      </c>
      <c r="B55" s="2886"/>
      <c r="C55" s="2886"/>
      <c r="D55" s="101">
        <f ca="1">IF(H55="个人住宅",0,ROUND(D45*I55,0))</f>
        <v>7664</v>
      </c>
      <c r="E55" s="10" t="s">
        <v>1862</v>
      </c>
      <c r="F55" s="100">
        <f>IF(H55="正常",I55,"免征")</f>
        <v>5.0000000000000001E-4</v>
      </c>
      <c r="G55" s="2263"/>
      <c r="H55" s="2260" t="s">
        <v>1863</v>
      </c>
      <c r="I55" s="102">
        <f>'数据-取费表'!E37</f>
        <v>5.0000000000000001E-4</v>
      </c>
      <c r="J55" s="1883">
        <f>IF(H59="非个人房产","",4)</f>
        <v>4</v>
      </c>
      <c r="K55" s="2910" t="str">
        <f>IF(H59="非个人房产","——","个人所得税")</f>
        <v>个人所得税</v>
      </c>
      <c r="L55" s="2910"/>
      <c r="M55" s="781">
        <f ca="1">D59</f>
        <v>153282</v>
      </c>
      <c r="N55" s="1886" t="str">
        <f>E59</f>
        <v>销售额×税（费）率</v>
      </c>
      <c r="O55" s="782">
        <f>F59</f>
        <v>0.01</v>
      </c>
      <c r="P55" s="1845"/>
    </row>
    <row r="56" spans="1:16" ht="24.75">
      <c r="A56" s="2801" t="s">
        <v>1864</v>
      </c>
      <c r="B56" s="2886"/>
      <c r="C56" s="2886"/>
      <c r="D56" s="101">
        <f ca="1">IF(H56="个人住宅",D57,D58)</f>
        <v>8675764</v>
      </c>
      <c r="E56" s="10" t="s">
        <v>1865</v>
      </c>
      <c r="F56" s="100" t="str">
        <f>IF(H56="正常",F58,"免征")</f>
        <v>——</v>
      </c>
      <c r="G56" s="2265" t="s">
        <v>1866</v>
      </c>
      <c r="H56" s="2266" t="s">
        <v>1863</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1839</v>
      </c>
      <c r="B57" s="2876" t="s">
        <v>1867</v>
      </c>
      <c r="C57" s="2887"/>
      <c r="D57" s="103">
        <v>0</v>
      </c>
      <c r="E57" s="13" t="s">
        <v>1841</v>
      </c>
      <c r="F57" s="70"/>
      <c r="G57" s="2263"/>
      <c r="H57" s="1022"/>
      <c r="I57" s="1022"/>
      <c r="J57" s="2910">
        <f>IF(AND(J55="",J56=""),4,IF(项目基本情况!I6="上海银行",J56+1,J55+1))</f>
        <v>5</v>
      </c>
      <c r="K57" s="2910" t="s">
        <v>1868</v>
      </c>
      <c r="L57" s="2267" t="s">
        <v>1869</v>
      </c>
      <c r="M57" s="783"/>
      <c r="N57" s="784">
        <f ca="1">SUMIF(M52:M56,"&lt;9e307")</f>
        <v>9654214</v>
      </c>
      <c r="O57" s="2268"/>
      <c r="P57" s="1841" t="e">
        <f ca="1">N57/M49</f>
        <v>#VALUE!</v>
      </c>
    </row>
    <row r="58" spans="1:16" ht="24.75">
      <c r="A58" s="99" t="s">
        <v>1850</v>
      </c>
      <c r="B58" s="2876" t="s">
        <v>1870</v>
      </c>
      <c r="C58" s="2877"/>
      <c r="D58" s="101">
        <f ca="1">IF(H58="转让取得",C81,C97)</f>
        <v>8675764</v>
      </c>
      <c r="E58" s="10" t="s">
        <v>1865</v>
      </c>
      <c r="F58" s="14" t="s">
        <v>48</v>
      </c>
      <c r="G58" s="2263"/>
      <c r="H58" s="2266" t="s">
        <v>1871</v>
      </c>
      <c r="I58" s="1022"/>
      <c r="J58" s="2910"/>
      <c r="K58" s="2910"/>
      <c r="L58" s="2267" t="s">
        <v>1872</v>
      </c>
      <c r="M58" s="785"/>
      <c r="N58" s="2269" t="str">
        <f ca="1">IF(H19="元",NUMBERSTRING(INT(N57),2)&amp;"元整",NUMBERSTRING(INT(N57*10000),2)&amp;"元整")</f>
        <v>玖佰陆拾伍万肆仟贰佰壹拾肆元整</v>
      </c>
      <c r="O58" s="2270"/>
      <c r="P58" s="1845"/>
    </row>
    <row r="59" spans="1:16" ht="26.25" thickBot="1">
      <c r="A59" s="2802" t="s">
        <v>1873</v>
      </c>
      <c r="B59" s="2805"/>
      <c r="C59" s="2805"/>
      <c r="D59" s="104">
        <f ca="1">IF(H59="非个人房产","——",IF(H59="个人住宅",0,ROUND(D45*I59,0)))</f>
        <v>153282</v>
      </c>
      <c r="E59" s="105" t="str">
        <f>IF(H59="非个人房产","——","销售额×税（费）率")</f>
        <v>销售额×税（费）率</v>
      </c>
      <c r="F59" s="106">
        <f>IF(H59="非个人房产","——",IF(H59="个人住宅","免征",I59))</f>
        <v>0.01</v>
      </c>
      <c r="G59" s="2271" t="s">
        <v>1866</v>
      </c>
      <c r="H59" s="2266" t="s">
        <v>1874</v>
      </c>
      <c r="I59" s="107">
        <v>0.01</v>
      </c>
      <c r="J59" s="2908">
        <f>J57+1</f>
        <v>6</v>
      </c>
      <c r="K59" s="2910" t="s">
        <v>1875</v>
      </c>
      <c r="L59" s="1883" t="s">
        <v>1869</v>
      </c>
      <c r="M59" s="786"/>
      <c r="N59" s="787" t="e">
        <f ca="1">M49-N57</f>
        <v>#VALUE!</v>
      </c>
      <c r="O59" s="2272"/>
      <c r="P59" s="1845"/>
    </row>
    <row r="60" spans="1:16" ht="12" customHeight="1">
      <c r="A60" s="2068"/>
      <c r="B60" s="2196"/>
      <c r="C60" s="2196"/>
      <c r="D60" s="2196"/>
      <c r="E60" s="1022"/>
      <c r="F60" s="1022"/>
      <c r="G60" s="1022"/>
      <c r="H60" s="2249"/>
      <c r="I60" s="2196"/>
      <c r="J60" s="2909"/>
      <c r="K60" s="2910"/>
      <c r="L60" s="2267" t="s">
        <v>1872</v>
      </c>
      <c r="M60" s="785"/>
      <c r="N60" s="2269" t="e">
        <f ca="1">IF(H19="元",NUMBERSTRING(INT(N59),2)&amp;"元整",NUMBERSTRING(INT(N59*10000),2)&amp;"元整")</f>
        <v>#VALUE!</v>
      </c>
      <c r="O60" s="2270"/>
      <c r="P60" s="1845"/>
    </row>
    <row r="61" spans="1:16" ht="13.5" thickBot="1">
      <c r="A61" s="2891" t="s">
        <v>1876</v>
      </c>
      <c r="B61" s="2891"/>
      <c r="C61" s="2891"/>
      <c r="D61" s="2891"/>
      <c r="E61" s="2891"/>
      <c r="F61" s="1022"/>
      <c r="G61" s="1022"/>
      <c r="H61" s="2249"/>
      <c r="I61" s="2196"/>
      <c r="J61" s="1883">
        <f>J59+1</f>
        <v>7</v>
      </c>
      <c r="K61" s="2910" t="s">
        <v>1877</v>
      </c>
      <c r="L61" s="2910"/>
      <c r="M61" s="788"/>
      <c r="N61" s="789" t="e">
        <f ca="1">IF(H19="元",ROUND(N59/项目基本情况!C12,0),ROUND(N59*10000/项目基本情况!C12,0))</f>
        <v>#VALUE!</v>
      </c>
      <c r="O61" s="2273"/>
      <c r="P61" s="1845"/>
    </row>
    <row r="62" spans="1:16" ht="12.75">
      <c r="A62" s="2898" t="s">
        <v>1878</v>
      </c>
      <c r="B62" s="2899"/>
      <c r="C62" s="1885"/>
      <c r="D62" s="1885" t="s">
        <v>1879</v>
      </c>
      <c r="E62" s="108" t="s">
        <v>1880</v>
      </c>
      <c r="F62" s="1022"/>
      <c r="G62" s="1022"/>
      <c r="H62" s="2249"/>
      <c r="I62" s="2196"/>
      <c r="J62" s="1845"/>
      <c r="K62" s="1845"/>
      <c r="L62" s="1845"/>
      <c r="M62" s="1845"/>
      <c r="N62" s="1845"/>
      <c r="O62" s="1845"/>
      <c r="P62" s="1845"/>
    </row>
    <row r="63" spans="1:16" ht="12.75">
      <c r="A63" s="109">
        <v>1</v>
      </c>
      <c r="B63" s="110" t="s">
        <v>1881</v>
      </c>
      <c r="C63" s="111">
        <f ca="1">ROUND((C64+C65)/(1+'数据-取费表'!F30),0)</f>
        <v>14598290</v>
      </c>
      <c r="D63" s="112"/>
      <c r="E63" s="113"/>
      <c r="F63" s="1022"/>
      <c r="G63" s="1022"/>
      <c r="H63" s="2249"/>
      <c r="I63" s="2196"/>
      <c r="J63" s="2930" t="s">
        <v>1882</v>
      </c>
      <c r="K63" s="2274"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15328205</v>
      </c>
      <c r="D64" s="117" t="s">
        <v>41</v>
      </c>
      <c r="E64" s="118"/>
      <c r="F64" s="1022"/>
      <c r="G64" s="1022"/>
      <c r="H64" s="2249"/>
      <c r="I64" s="2196"/>
      <c r="J64" s="2930"/>
      <c r="K64" s="2274"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9"/>
      <c r="I65" s="2196"/>
      <c r="J65" s="2930"/>
      <c r="K65" s="2274"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9"/>
      <c r="I66" s="2196"/>
      <c r="J66" s="2930"/>
      <c r="K66" s="2274" t="s">
        <v>1891</v>
      </c>
      <c r="L66" s="1844" t="e">
        <f>M49*0.5%</f>
        <v>#VALUE!</v>
      </c>
      <c r="M66" s="14" t="e">
        <f>IF(L66&gt;0.5,0.5,ROUND(L66,0))</f>
        <v>#VALUE!</v>
      </c>
      <c r="N66" s="1845" t="s">
        <v>1892</v>
      </c>
      <c r="O66" s="1845"/>
      <c r="P66" s="1845"/>
    </row>
    <row r="67" spans="1:35" ht="12.75">
      <c r="A67" s="120" t="s">
        <v>42</v>
      </c>
      <c r="B67" s="121" t="s">
        <v>1893</v>
      </c>
      <c r="C67" s="124">
        <f ca="1">C63-C66</f>
        <v>14598290</v>
      </c>
      <c r="D67" s="117" t="s">
        <v>41</v>
      </c>
      <c r="E67" s="118"/>
      <c r="F67" s="1022"/>
      <c r="G67" s="1022"/>
      <c r="H67" s="2249"/>
      <c r="I67" s="2196"/>
      <c r="J67" s="2930"/>
      <c r="K67" s="2274"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817504</v>
      </c>
      <c r="D68" s="128">
        <f>'数据-取费表'!E29</f>
        <v>5.6000000000000001E-2</v>
      </c>
      <c r="E68" s="129"/>
      <c r="F68" s="1022"/>
      <c r="G68" s="1022"/>
      <c r="H68" s="2249"/>
      <c r="I68" s="2196"/>
      <c r="J68" s="2930"/>
      <c r="K68" s="2274" t="s">
        <v>1896</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0"/>
      <c r="K69" s="2274" t="s">
        <v>1897</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2" t="s">
        <v>1898</v>
      </c>
      <c r="B70" s="2903"/>
      <c r="C70" s="2903"/>
      <c r="D70" s="2903"/>
      <c r="E70" s="2903"/>
      <c r="F70" s="2903"/>
      <c r="G70" s="2903"/>
      <c r="H70" s="290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8" t="s">
        <v>1878</v>
      </c>
      <c r="B71" s="2899"/>
      <c r="C71" s="1885"/>
      <c r="D71" s="1885" t="s">
        <v>1879</v>
      </c>
      <c r="E71" s="130" t="s">
        <v>1880</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1899</v>
      </c>
      <c r="C72" s="124">
        <f ca="1">ROUND(D45/(1+'数据-取费表'!F30),0)</f>
        <v>14598290</v>
      </c>
      <c r="D72" s="117" t="s">
        <v>41</v>
      </c>
      <c r="E72" s="12" t="s">
        <v>1900</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1901</v>
      </c>
      <c r="C73" s="124">
        <f ca="1">C74+C78</f>
        <v>87590</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879" t="s">
        <v>1908</v>
      </c>
      <c r="F76" s="2878"/>
      <c r="G76" s="2878"/>
      <c r="H76" s="289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87590</v>
      </c>
      <c r="D78" s="145">
        <f>'数据-取费表'!E31</f>
        <v>6.000000000000001E-3</v>
      </c>
      <c r="E78" s="2870" t="s">
        <v>1913</v>
      </c>
      <c r="F78" s="2871"/>
      <c r="G78" s="2871"/>
      <c r="H78" s="287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1914</v>
      </c>
      <c r="C79" s="124">
        <f ca="1">C72-C73</f>
        <v>14510700</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1915</v>
      </c>
      <c r="C80" s="147">
        <f ca="1">IF(C79&lt;=0,0,C79/C73)</f>
        <v>165.66617193743579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8675764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2" t="s">
        <v>1917</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8" t="s">
        <v>1878</v>
      </c>
      <c r="B84" s="289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1899</v>
      </c>
      <c r="C85" s="124">
        <f ca="1">ROUND(D45/(1+'数据-取费表'!F30),0)</f>
        <v>14598290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87590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2"/>
      <c r="G88" s="159" t="s">
        <v>1921</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70" t="s">
        <v>1925</v>
      </c>
      <c r="F91" s="2871"/>
      <c r="G91" s="2871"/>
      <c r="H91" s="2289" t="s">
        <v>1926</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70" t="s">
        <v>1928</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87590</v>
      </c>
      <c r="D93" s="145">
        <f>'数据-取费表'!E31</f>
        <v>6.000000000000001E-3</v>
      </c>
      <c r="E93" s="2870" t="s">
        <v>1913</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70" t="s">
        <v>1930</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1914</v>
      </c>
      <c r="C95" s="124">
        <f ca="1">ROUND(C85-C86,0)</f>
        <v>14510700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1915</v>
      </c>
      <c r="C96" s="147">
        <f ca="1">IF(C95&lt;=0,0,C95/C86)</f>
        <v>165.66617193743579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8675764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925" t="s">
        <v>1932</v>
      </c>
      <c r="B99" s="2926"/>
      <c r="C99" s="2926"/>
      <c r="D99" s="2927"/>
      <c r="E99" s="2196"/>
      <c r="F99" s="2936" t="s">
        <v>1933</v>
      </c>
      <c r="G99" s="2937"/>
      <c r="H99" s="2937"/>
      <c r="I99" s="2938"/>
    </row>
    <row r="100" spans="1:35" ht="15.75">
      <c r="A100" s="2939" t="s">
        <v>1934</v>
      </c>
      <c r="B100" s="2940"/>
      <c r="C100" s="720" t="str">
        <f>C4</f>
        <v>收益法</v>
      </c>
      <c r="D100" s="721" t="str">
        <f>D4</f>
        <v>成本法</v>
      </c>
      <c r="E100" s="2196"/>
      <c r="F100" s="2835" t="s">
        <v>1935</v>
      </c>
      <c r="G100" s="2836"/>
      <c r="H100" s="2835" t="s">
        <v>1936</v>
      </c>
      <c r="I100" s="2834"/>
    </row>
    <row r="101" spans="1:35" ht="15.75">
      <c r="A101" s="2917" t="s">
        <v>1937</v>
      </c>
      <c r="B101" s="2291" t="str">
        <f>IF(H19="元","总价（元）","总价（万元）")</f>
        <v>总价（元）</v>
      </c>
      <c r="C101" s="720">
        <f ca="1">C19</f>
        <v>13982500</v>
      </c>
      <c r="D101" s="721">
        <f ca="1">D19</f>
        <v>16673910</v>
      </c>
      <c r="E101" s="2196"/>
      <c r="F101" s="2835" t="str">
        <f>项目基本情况!I1</f>
        <v>房地产</v>
      </c>
      <c r="G101" s="2836"/>
      <c r="H101" s="2833">
        <f>项目基本情况!C12</f>
        <v>670.34</v>
      </c>
      <c r="I101" s="2834"/>
    </row>
    <row r="102" spans="1:35" ht="15.75">
      <c r="A102" s="2917"/>
      <c r="B102" s="2291" t="s">
        <v>1938</v>
      </c>
      <c r="C102" s="722">
        <f ca="1">C20</f>
        <v>20859</v>
      </c>
      <c r="D102" s="723">
        <f ca="1">D20</f>
        <v>24874</v>
      </c>
      <c r="E102" s="2196"/>
      <c r="F102" s="2862" t="s">
        <v>1939</v>
      </c>
      <c r="G102" s="2863"/>
      <c r="H102" s="2292" t="str">
        <f>C106</f>
        <v>总价（元）</v>
      </c>
      <c r="I102" s="1862">
        <f ca="1">H121</f>
        <v>15328205</v>
      </c>
    </row>
    <row r="103" spans="1:35" ht="15">
      <c r="A103" s="2917" t="s">
        <v>1940</v>
      </c>
      <c r="B103" s="2293" t="str">
        <f>B101</f>
        <v>总价（元）</v>
      </c>
      <c r="C103" s="724">
        <f ca="1">H121</f>
        <v>15328205</v>
      </c>
      <c r="D103" s="725"/>
      <c r="E103" s="2196"/>
      <c r="F103" s="2862"/>
      <c r="G103" s="2863"/>
      <c r="H103" s="2292" t="s">
        <v>1938</v>
      </c>
      <c r="I103" s="1050">
        <f ca="1">I121</f>
        <v>22866</v>
      </c>
    </row>
    <row r="104" spans="1:35" ht="16.5" thickBot="1">
      <c r="A104" s="2918"/>
      <c r="B104" s="2294" t="s">
        <v>1938</v>
      </c>
      <c r="C104" s="726">
        <f ca="1">I121</f>
        <v>22866</v>
      </c>
      <c r="D104" s="727"/>
      <c r="E104" s="2196"/>
      <c r="F104" s="2934"/>
      <c r="G104" s="2935"/>
      <c r="H104" s="2919"/>
      <c r="I104" s="2920"/>
    </row>
    <row r="105" spans="1:35" ht="15.75">
      <c r="A105" s="2925" t="s">
        <v>1941</v>
      </c>
      <c r="B105" s="2926"/>
      <c r="C105" s="2926"/>
      <c r="D105" s="2927"/>
      <c r="E105" s="2196"/>
      <c r="F105" s="2923" t="s">
        <v>1942</v>
      </c>
      <c r="G105" s="2924"/>
      <c r="H105" s="2295" t="str">
        <f>C108</f>
        <v>总额（元）</v>
      </c>
      <c r="I105" s="1862">
        <f>SUMIF(I106:I108,"&lt;9E307")</f>
        <v>0</v>
      </c>
    </row>
    <row r="106" spans="1:35" ht="15">
      <c r="A106" s="2849" t="s">
        <v>1943</v>
      </c>
      <c r="B106" s="2850"/>
      <c r="C106" s="2292" t="str">
        <f>B101</f>
        <v>总价（元）</v>
      </c>
      <c r="D106" s="1051">
        <f ca="1">H121</f>
        <v>15328205</v>
      </c>
      <c r="E106" s="2196"/>
      <c r="F106" s="2851" t="s">
        <v>1944</v>
      </c>
      <c r="G106" s="285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9"/>
      <c r="B107" s="2850"/>
      <c r="C107" s="2292" t="s">
        <v>1938</v>
      </c>
      <c r="D107" s="1052">
        <f ca="1">I121</f>
        <v>22866</v>
      </c>
      <c r="E107" s="2196"/>
      <c r="F107" s="2851" t="s">
        <v>1945</v>
      </c>
      <c r="G107" s="2852"/>
      <c r="H107" s="2295" t="str">
        <f>C110</f>
        <v>总额（元）</v>
      </c>
      <c r="I107" s="1050">
        <f>C37</f>
        <v>0</v>
      </c>
      <c r="K107" s="2296"/>
    </row>
    <row r="108" spans="1:35" ht="15">
      <c r="A108" s="2856" t="s">
        <v>1946</v>
      </c>
      <c r="B108" s="2857"/>
      <c r="C108" s="2295" t="str">
        <f>IF(H19="元","总额（元）","总额（万元）")</f>
        <v>总额（元）</v>
      </c>
      <c r="D108" s="1051">
        <f>IF(D36="正常操作",I106+I107+I108,I107+I108)</f>
        <v>0</v>
      </c>
      <c r="E108" s="2196"/>
      <c r="F108" s="2851" t="s">
        <v>1947</v>
      </c>
      <c r="G108" s="2852"/>
      <c r="H108" s="2295" t="str">
        <f>C111</f>
        <v>总额（元）</v>
      </c>
      <c r="I108" s="1050">
        <f>C38</f>
        <v>0</v>
      </c>
    </row>
    <row r="109" spans="1:35" ht="15.75">
      <c r="A109" s="2851" t="s">
        <v>1944</v>
      </c>
      <c r="B109" s="2852"/>
      <c r="C109" s="2295" t="str">
        <f>C108</f>
        <v>总额（元）</v>
      </c>
      <c r="D109" s="637">
        <f>IF(D36="同一抵押权人同一抵押物续贷",C36&amp;"（未扣减，详见特别提示）",C36)</f>
        <v>0</v>
      </c>
      <c r="E109" s="2196"/>
      <c r="F109" s="2934"/>
      <c r="G109" s="2935"/>
      <c r="H109" s="2921"/>
      <c r="I109" s="2922"/>
    </row>
    <row r="110" spans="1:35" ht="28.5" customHeight="1">
      <c r="A110" s="2851" t="s">
        <v>1945</v>
      </c>
      <c r="B110" s="2852"/>
      <c r="C110" s="2295" t="str">
        <f>C108</f>
        <v>总额（元）</v>
      </c>
      <c r="D110" s="637">
        <f>C37</f>
        <v>0</v>
      </c>
      <c r="E110" s="2196"/>
      <c r="F110" s="2837" t="str">
        <f>IF(项目基本情况!F5="已注销","——","3.房地产抵押价值")</f>
        <v>3.房地产抵押价值</v>
      </c>
      <c r="G110" s="2838"/>
      <c r="H110" s="2297" t="str">
        <f>C112</f>
        <v>总价（元）</v>
      </c>
      <c r="I110" s="1863">
        <f ca="1">IF(F110="——","——",I102-I105)</f>
        <v>15328205</v>
      </c>
    </row>
    <row r="111" spans="1:35" ht="15">
      <c r="A111" s="2851" t="s">
        <v>1947</v>
      </c>
      <c r="B111" s="2852"/>
      <c r="C111" s="2295" t="str">
        <f>C108</f>
        <v>总额（元）</v>
      </c>
      <c r="D111" s="637">
        <f>C38</f>
        <v>0</v>
      </c>
      <c r="E111" s="2196"/>
      <c r="F111" s="2953"/>
      <c r="G111" s="2954"/>
      <c r="H111" s="2292" t="s">
        <v>1938</v>
      </c>
      <c r="I111" s="2298">
        <f ca="1">D113</f>
        <v>22866</v>
      </c>
    </row>
    <row r="112" spans="1:35" ht="26.25" customHeight="1">
      <c r="A112" s="2849" t="str">
        <f>IF(项目基本情况!F5="已注销","——","3.房地产抵押价值")</f>
        <v>3.房地产抵押价值</v>
      </c>
      <c r="B112" s="2850"/>
      <c r="C112" s="2292" t="str">
        <f>B101</f>
        <v>总价（元）</v>
      </c>
      <c r="D112" s="1051">
        <f ca="1">IF(A112="——","——",D106-D108)</f>
        <v>15328205</v>
      </c>
      <c r="E112" s="2196"/>
      <c r="F112" s="2837" t="str">
        <f>IF(项目基本情况!F5="已注销及未注销","4.抵押担保权已注销时的房地产抵押价值",IF(项目基本情况!F5="已注销","3.抵押担保权已注销时的房地产抵押价值","——"))</f>
        <v>——</v>
      </c>
      <c r="G112" s="2838"/>
      <c r="H112" s="2297" t="str">
        <f>C114</f>
        <v>总价（元）</v>
      </c>
      <c r="I112" s="1863" t="str">
        <f>IF(F112="——","——",I102-I107-I108)</f>
        <v>——</v>
      </c>
    </row>
    <row r="113" spans="1:15" ht="15">
      <c r="A113" s="2849"/>
      <c r="B113" s="2850"/>
      <c r="C113" s="2292" t="s">
        <v>1938</v>
      </c>
      <c r="D113" s="1052">
        <f ca="1">ROUND(IF(D112=D106,D107,IF(H19="元",D112/项目基本情况!C12,D112*10000/项目基本情况!C12)),0)</f>
        <v>22866</v>
      </c>
      <c r="E113" s="2196"/>
      <c r="F113" s="2953"/>
      <c r="G113" s="2954"/>
      <c r="H113" s="2292" t="s">
        <v>1938</v>
      </c>
      <c r="I113" s="2299" t="str">
        <f>D115</f>
        <v>——</v>
      </c>
    </row>
    <row r="114" spans="1:15" ht="15.75">
      <c r="A114" s="2849" t="str">
        <f>IF(项目基本情况!F5="已注销及未注销","4.抵押担保权已注销时的房地产抵押价值",IF(项目基本情况!F5="已注销","3.抵押担保权已注销时的房地产抵押价值","——"))</f>
        <v>——</v>
      </c>
      <c r="B114" s="2850"/>
      <c r="C114" s="2292" t="str">
        <f>B101</f>
        <v>总价（元）</v>
      </c>
      <c r="D114" s="1051" t="str">
        <f>IF(A114="——","——",D106-D110-D111)</f>
        <v>——</v>
      </c>
      <c r="E114" s="2196"/>
      <c r="F114" s="2837" t="str">
        <f>IF(项目基本情况!G5="抵押净值",IF(OR(项目基本情况!F5="已注销",项目基本情况!F5="房地产抵押价值"),"4.抵押净值","5.抵押净值"),"——")</f>
        <v>——</v>
      </c>
      <c r="G114" s="2838"/>
      <c r="H114" s="2292" t="str">
        <f>C116</f>
        <v>总价（元）</v>
      </c>
      <c r="I114" s="1862" t="str">
        <f>IF(F114="——","——",N59)</f>
        <v>——</v>
      </c>
    </row>
    <row r="115" spans="1:15" ht="15.75" thickBot="1">
      <c r="A115" s="2849"/>
      <c r="B115" s="2850"/>
      <c r="C115" s="2292" t="s">
        <v>1938</v>
      </c>
      <c r="D115" s="1052" t="str">
        <f>IF(A114="——","——",ROUND(IF(D114=D106,D107,IF(H19="元",D114/项目基本情况!C12,D114*10000/项目基本情况!C12)),0))</f>
        <v>——</v>
      </c>
      <c r="E115" s="2196"/>
      <c r="F115" s="2839"/>
      <c r="G115" s="2840"/>
      <c r="H115" s="2300" t="s">
        <v>1938</v>
      </c>
      <c r="I115" s="1864" t="str">
        <f ca="1">D117</f>
        <v>——</v>
      </c>
    </row>
    <row r="116" spans="1:15" ht="15.75">
      <c r="A116" s="2849" t="str">
        <f>IF(项目基本情况!G5="抵押净值",IF(OR(项目基本情况!F5="已注销",项目基本情况!F5="房地产抵押价值"),"4.抵押净值","5.抵押净值"),"——")</f>
        <v>——</v>
      </c>
      <c r="B116" s="2850"/>
      <c r="C116" s="2292" t="str">
        <f>B101</f>
        <v>总价（元）</v>
      </c>
      <c r="D116" s="1051" t="str">
        <f>IF(A116="——","——",N59)</f>
        <v>——</v>
      </c>
      <c r="E116" s="2196"/>
      <c r="F116" s="2949"/>
      <c r="G116" s="2949"/>
      <c r="H116" s="2905"/>
      <c r="I116" s="2905"/>
      <c r="N116" s="55"/>
      <c r="O116" s="55"/>
    </row>
    <row r="117" spans="1:15" ht="15.75" thickBot="1">
      <c r="A117" s="2854"/>
      <c r="B117" s="2855"/>
      <c r="C117" s="2300" t="s">
        <v>1938</v>
      </c>
      <c r="D117" s="1053" t="str">
        <f ca="1">IF(D116=D112,D113,IF(A116="——","——",N61))</f>
        <v>——</v>
      </c>
      <c r="E117" s="2196"/>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1948</v>
      </c>
      <c r="B118" s="2907"/>
      <c r="C118" s="2907"/>
      <c r="D118" s="2907"/>
      <c r="E118" s="2907"/>
      <c r="F118" s="2907"/>
      <c r="G118" s="2907"/>
      <c r="H118" s="2907"/>
      <c r="I118" s="2907"/>
    </row>
    <row r="119" spans="1:15" ht="14.25">
      <c r="A119" s="2830" t="s">
        <v>1949</v>
      </c>
      <c r="B119" s="2860" t="s">
        <v>1950</v>
      </c>
      <c r="C119" s="2860" t="s">
        <v>1951</v>
      </c>
      <c r="D119" s="2932" t="s">
        <v>1952</v>
      </c>
      <c r="E119" s="2933"/>
      <c r="F119" s="2831" t="s">
        <v>1810</v>
      </c>
      <c r="G119" s="2831"/>
      <c r="H119" s="2831" t="s">
        <v>1953</v>
      </c>
      <c r="I119" s="2931"/>
    </row>
    <row r="120" spans="1:15" ht="14.25">
      <c r="A120" s="2830"/>
      <c r="B120" s="2861"/>
      <c r="C120" s="2861"/>
      <c r="D120" s="1887" t="s">
        <v>1954</v>
      </c>
      <c r="E120" s="1887" t="s">
        <v>1955</v>
      </c>
      <c r="F120" s="1887" t="s">
        <v>1954</v>
      </c>
      <c r="G120" s="1887" t="s">
        <v>1956</v>
      </c>
      <c r="H120" s="1887" t="s">
        <v>1954</v>
      </c>
      <c r="I120" s="637" t="s">
        <v>1956</v>
      </c>
    </row>
    <row r="121" spans="1:15" ht="14.25">
      <c r="A121" s="2182" t="str">
        <f>项目基本情况!I1</f>
        <v>房地产</v>
      </c>
      <c r="B121" s="1887">
        <f>项目基本情况!C12</f>
        <v>670.34</v>
      </c>
      <c r="C121" s="1887">
        <f>项目基本情况!C13</f>
        <v>0</v>
      </c>
      <c r="D121" s="1887">
        <f ca="1">ROUND(IF(B32="总价",C34,IF('数据-取费表'!B3="万元",E121*B121/10000,E121*B121)),0)</f>
        <v>12645769</v>
      </c>
      <c r="E121" s="1887">
        <f ca="1">ROUND(IF(B32="楼面单价",C34,IF(H19="元",D121/B121,D121*10000/B121)),0)</f>
        <v>18865</v>
      </c>
      <c r="F121" s="1887">
        <f ca="1">ROUND(IF(B32="总价",C35,IF('数据-取费表'!B3="万元",G121*B121/10000,G121*B121)),0)</f>
        <v>2682436</v>
      </c>
      <c r="G121" s="1887">
        <f ca="1">ROUND(IF(B32="楼面单价",C35,IF(H19="元",F121/B121,F121*10000/B121)),0)</f>
        <v>4002</v>
      </c>
      <c r="H121" s="1887">
        <f ca="1">ROUND(IF(B32="总价",C32,IF('数据-取费表'!B3="万元",I121*B121/10000,I121*B121)),0)</f>
        <v>15328205</v>
      </c>
      <c r="I121" s="637">
        <f ca="1">ROUND(IF(B32="楼面单价",C32,IF(H19="元",H121/B121,H121*10000/B121)),0)</f>
        <v>22866</v>
      </c>
    </row>
    <row r="122" spans="1:15" ht="14.25">
      <c r="A122" s="2830" t="s">
        <v>1957</v>
      </c>
      <c r="B122" s="2831"/>
      <c r="C122" s="2831"/>
      <c r="D122" s="2864" t="str">
        <f ca="1">IF(H19="元",NUMBERSTRING(INT(D121),2)&amp;"元整",NUMBERSTRING(INT(D121*10000),2)&amp;"元整")</f>
        <v>壹仟贰佰陆拾肆万伍仟柒佰陆拾玖元整</v>
      </c>
      <c r="E122" s="2911"/>
      <c r="F122" s="2864" t="str">
        <f ca="1">IF(H19="元",NUMBERSTRING(INT(F121),2)&amp;"元整",NUMBERSTRING(INT(F121*10000),2)&amp;"元整")</f>
        <v>贰佰陆拾捌万贰仟肆佰叁拾陆元整</v>
      </c>
      <c r="G122" s="2911"/>
      <c r="H122" s="2864" t="str">
        <f ca="1">IF(H19="元",NUMBERSTRING(INT(H121),2)&amp;"元整",NUMBERSTRING(INT(H121*10000),2)&amp;"元整")</f>
        <v>壹仟伍佰叁拾贰万捌仟贰佰零伍元整</v>
      </c>
      <c r="I122" s="2865"/>
    </row>
    <row r="123" spans="1:15" ht="15">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c r="A124" s="2914" t="s">
        <v>1957</v>
      </c>
      <c r="B124" s="2915"/>
      <c r="C124" s="2916"/>
      <c r="D124" s="2844">
        <f>H109</f>
        <v>0</v>
      </c>
      <c r="E124" s="2845"/>
      <c r="F124" s="2845"/>
      <c r="G124" s="2845"/>
      <c r="H124" s="2845"/>
      <c r="I124" s="2846"/>
    </row>
    <row r="125" spans="1:15" ht="15">
      <c r="A125" s="2847" t="str">
        <f>IF(项目基本情况!D5="房地产市场价值","——",MID(A112,3,LEN(A112)-2))</f>
        <v>房地产抵押价值</v>
      </c>
      <c r="B125" s="2848"/>
      <c r="C125" s="2848"/>
      <c r="D125" s="2841">
        <f ca="1">I110</f>
        <v>15328205</v>
      </c>
      <c r="E125" s="2842"/>
      <c r="F125" s="2842"/>
      <c r="G125" s="2842"/>
      <c r="H125" s="2842"/>
      <c r="I125" s="2843"/>
    </row>
    <row r="126" spans="1:15" ht="14.25">
      <c r="A126" s="2830" t="s">
        <v>1957</v>
      </c>
      <c r="B126" s="2831"/>
      <c r="C126" s="2831"/>
      <c r="D126" s="2844">
        <f ca="1">I111</f>
        <v>22866</v>
      </c>
      <c r="E126" s="2845"/>
      <c r="F126" s="2845"/>
      <c r="G126" s="2845"/>
      <c r="H126" s="2845"/>
      <c r="I126" s="2846"/>
    </row>
    <row r="127" spans="1:15" ht="15.75" thickBot="1">
      <c r="A127" s="2847" t="str">
        <f>IF(项目基本情况!D5="房地产市场价值","——",MID(A114,3,LEN(A114)-2))</f>
        <v/>
      </c>
      <c r="B127" s="2848"/>
      <c r="C127" s="2848"/>
      <c r="D127" s="2946" t="str">
        <f>I112</f>
        <v>——</v>
      </c>
      <c r="E127" s="2947"/>
      <c r="F127" s="2947"/>
      <c r="G127" s="2947"/>
      <c r="H127" s="2947"/>
      <c r="I127" s="2948"/>
    </row>
    <row r="128" spans="1:15" ht="15.75" thickTop="1" thickBot="1">
      <c r="A128" s="2830" t="s">
        <v>1957</v>
      </c>
      <c r="B128" s="2831"/>
      <c r="C128" s="2832"/>
      <c r="D128" s="2904" t="str">
        <f>I113</f>
        <v>——</v>
      </c>
      <c r="E128" s="2904"/>
      <c r="F128" s="2904"/>
      <c r="G128" s="2904"/>
      <c r="H128" s="2904"/>
      <c r="I128" s="2904"/>
    </row>
    <row r="129" spans="1:9" ht="16.5" thickTop="1" thickBot="1">
      <c r="A129" s="2847" t="str">
        <f>IF(项目基本情况!D5="房地产市场价值","——",MID(F114,3,LEN(F114)-2))</f>
        <v/>
      </c>
      <c r="B129" s="2848"/>
      <c r="C129" s="2841"/>
      <c r="D129" s="2853" t="str">
        <f>I114</f>
        <v>——</v>
      </c>
      <c r="E129" s="2853"/>
      <c r="F129" s="2853"/>
      <c r="G129" s="2853"/>
      <c r="H129" s="2853"/>
      <c r="I129" s="2853"/>
    </row>
    <row r="130" spans="1:9" ht="15.75" thickTop="1" thickBot="1">
      <c r="A130" s="2858" t="s">
        <v>1957</v>
      </c>
      <c r="B130" s="2859"/>
      <c r="C130" s="2859"/>
      <c r="D130" s="2866">
        <f>H116</f>
        <v>0</v>
      </c>
      <c r="E130" s="2867"/>
      <c r="F130" s="2867"/>
      <c r="G130" s="2867"/>
      <c r="H130" s="2867"/>
      <c r="I130" s="286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1965</v>
      </c>
      <c r="B1" s="2196"/>
      <c r="C1" s="2196"/>
      <c r="D1" s="2196"/>
      <c r="E1" s="2196"/>
      <c r="F1" s="2196"/>
      <c r="G1" s="2196"/>
      <c r="H1" s="2196"/>
      <c r="I1" s="2196"/>
    </row>
    <row r="2" spans="1:12" ht="21.75" customHeight="1">
      <c r="A2" s="2965" t="s">
        <v>1966</v>
      </c>
      <c r="B2" s="2965"/>
      <c r="C2" s="2965"/>
      <c r="D2" s="2965"/>
      <c r="E2" s="2965"/>
      <c r="F2" s="2965"/>
      <c r="G2" s="2965"/>
      <c r="H2" s="2965"/>
      <c r="I2" s="2965"/>
    </row>
    <row r="3" spans="1:12" ht="12.75">
      <c r="A3" s="2895" t="s">
        <v>1770</v>
      </c>
      <c r="B3" s="2896"/>
      <c r="C3" s="2896"/>
      <c r="D3" s="2896"/>
      <c r="E3" s="2896"/>
      <c r="F3" s="2896"/>
      <c r="G3" s="2896"/>
      <c r="H3" s="2896"/>
      <c r="I3" s="2896"/>
    </row>
    <row r="4" spans="1:12" ht="14.25">
      <c r="A4" s="2198" t="s">
        <v>1771</v>
      </c>
      <c r="B4" s="2199" t="s">
        <v>1772</v>
      </c>
      <c r="C4" s="2200"/>
      <c r="D4" s="2200"/>
      <c r="E4" s="2876" t="s">
        <v>1967</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1774</v>
      </c>
      <c r="B5" s="2831">
        <v>25</v>
      </c>
      <c r="C5" s="2880"/>
      <c r="D5" s="2894"/>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0</v>
      </c>
      <c r="D17" s="57">
        <f>SUM(D5:D16)</f>
        <v>0</v>
      </c>
      <c r="E17" s="2196"/>
      <c r="F17" s="2196"/>
      <c r="G17" s="2196"/>
      <c r="H17" s="2196"/>
      <c r="I17" s="2196"/>
    </row>
    <row r="18" spans="1:35" ht="15.75" thickBot="1">
      <c r="A18" s="2205" t="s">
        <v>1792</v>
      </c>
      <c r="B18" s="2206"/>
      <c r="C18" s="58" t="e">
        <f>ROUND(C17/SUM(C17:D17),2)</f>
        <v>#DIV/0!</v>
      </c>
      <c r="D18" s="58" t="e">
        <f>1-C18</f>
        <v>#DIV/0!</v>
      </c>
      <c r="E18" s="2196"/>
      <c r="F18" s="2196"/>
      <c r="G18" s="2196"/>
      <c r="H18" s="2196"/>
      <c r="I18" s="2196"/>
    </row>
    <row r="19" spans="1:35" ht="15">
      <c r="A19" s="2207" t="s">
        <v>1793</v>
      </c>
      <c r="B19" s="2208" t="s">
        <v>1794</v>
      </c>
      <c r="C19" s="59" t="e">
        <f ca="1">SUMIF(INDIRECT("'"&amp;C4&amp;"'"&amp;"!A:A"),'结果表 (1修多)'!B19,INDIRECT("'"&amp;C4&amp;"'"&amp;"!B:B"))</f>
        <v>#REF!</v>
      </c>
      <c r="D19" s="60" t="e">
        <f ca="1">SUMIF(INDIRECT("'"&amp;D4&amp;"'"&amp;"!A:A"),'结果表 (1修多)'!B19,INDIRECT("'"&amp;D4&amp;"'"&amp;"!B:B"))</f>
        <v>#REF!</v>
      </c>
      <c r="E19" s="2207" t="s">
        <v>1795</v>
      </c>
      <c r="F19" s="2208" t="s">
        <v>1794</v>
      </c>
      <c r="G19" s="61" t="e">
        <f ca="1">ROUND(C19*$C$18+D19*$D$18,0)</f>
        <v>#REF!</v>
      </c>
      <c r="H19" s="2209" t="str">
        <f>'数据-取费表'!B3</f>
        <v>元</v>
      </c>
      <c r="I19" s="2196"/>
    </row>
    <row r="20" spans="1:35" ht="15">
      <c r="A20" s="2210"/>
      <c r="B20" s="2211" t="s">
        <v>1796</v>
      </c>
      <c r="C20" s="62" t="e">
        <f ca="1">SUMIF(INDIRECT("'"&amp;C4&amp;"'"&amp;"!A:A"),'结果表 (1修多)'!B20,INDIRECT("'"&amp;C4&amp;"'"&amp;"!B:B"))</f>
        <v>#REF!</v>
      </c>
      <c r="D20" s="63" t="e">
        <f ca="1">SUMIF(INDIRECT("'"&amp;D4&amp;"'"&amp;"!A:A"),'结果表 (1修多)'!B20,INDIRECT("'"&amp;D4&amp;"'"&amp;"!B:B"))</f>
        <v>#REF!</v>
      </c>
      <c r="E20" s="2210"/>
      <c r="F20" s="2211" t="s">
        <v>1796</v>
      </c>
      <c r="G20" s="64" t="e">
        <f ca="1">ROUND(C20*$C$18+D20*$D$18,0)</f>
        <v>#REF!</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t="s">
        <v>1968</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1969</v>
      </c>
      <c r="B30" s="2716"/>
      <c r="C30" s="2716"/>
      <c r="D30" s="2716"/>
      <c r="E30" s="2714" t="s">
        <v>2804</v>
      </c>
      <c r="F30" s="2196"/>
      <c r="G30" s="2196"/>
      <c r="H30" s="2196"/>
      <c r="I30" s="2196"/>
    </row>
    <row r="31" spans="1:35" s="2223" customFormat="1" ht="15.75" thickBot="1">
      <c r="A31" s="2956" t="s">
        <v>1970</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1971</v>
      </c>
      <c r="C32" s="1308">
        <f>典型户型修正!R27</f>
        <v>0</v>
      </c>
      <c r="D32" s="2196" t="s">
        <v>1972</v>
      </c>
      <c r="E32" s="2196"/>
      <c r="F32" s="2196"/>
      <c r="G32" s="2196"/>
      <c r="H32" s="2196"/>
      <c r="I32" s="2196"/>
    </row>
    <row r="33" spans="1:16" ht="15">
      <c r="A33" s="2323" t="s">
        <v>1973</v>
      </c>
      <c r="B33" s="2324" t="s">
        <v>1974</v>
      </c>
      <c r="C33" s="1309">
        <f>典型户型修正!B2</f>
        <v>0</v>
      </c>
      <c r="D33" s="2325" t="str">
        <f>IF('数据-取费表'!B3="万元","万元","元")</f>
        <v>元</v>
      </c>
      <c r="E33" s="2196"/>
      <c r="F33" s="2196"/>
      <c r="G33" s="2196"/>
      <c r="H33" s="2196"/>
      <c r="I33" s="2196"/>
    </row>
    <row r="34" spans="1:16" ht="15.75" thickBot="1">
      <c r="A34" s="2326"/>
      <c r="B34" s="2327" t="s">
        <v>1975</v>
      </c>
      <c r="C34" s="771" t="e">
        <f>典型户型修正!B3</f>
        <v>#DIV/0!</v>
      </c>
      <c r="D34" s="2196" t="s">
        <v>1976</v>
      </c>
      <c r="E34" s="2196"/>
      <c r="F34" s="2196"/>
      <c r="G34" s="2196"/>
      <c r="H34" s="2196"/>
      <c r="I34" s="2196"/>
    </row>
    <row r="35" spans="1:16" ht="15">
      <c r="A35" s="2328"/>
      <c r="B35" s="2329" t="s">
        <v>1977</v>
      </c>
      <c r="C35" s="1316">
        <f>IF('数据-取费表'!B3="万元",典型户型修正!V25,典型户型修正!U25)</f>
        <v>0</v>
      </c>
      <c r="D35" s="2196" t="str">
        <f>D33</f>
        <v>元</v>
      </c>
      <c r="E35" s="2196"/>
      <c r="F35" s="2196"/>
      <c r="G35" s="2196"/>
      <c r="H35" s="2196"/>
      <c r="I35" s="2196"/>
    </row>
    <row r="36" spans="1:16" ht="15.75" thickBot="1">
      <c r="A36" s="2235"/>
      <c r="B36" s="2330" t="s">
        <v>1978</v>
      </c>
      <c r="C36" s="1317">
        <f>IF('数据-取费表'!B3="万元",典型户型修正!Y25,典型户型修正!X25)</f>
        <v>0</v>
      </c>
      <c r="D36" s="2196" t="str">
        <f>D33</f>
        <v>元</v>
      </c>
      <c r="E36" s="2196"/>
      <c r="F36" s="2196"/>
      <c r="G36" s="2196"/>
      <c r="H36" s="2196"/>
      <c r="I36" s="2196"/>
    </row>
    <row r="37" spans="1:16" ht="15.75" thickBot="1">
      <c r="A37" s="2882" t="s">
        <v>1979</v>
      </c>
      <c r="B37" s="2238" t="s">
        <v>1980</v>
      </c>
      <c r="C37" s="69"/>
      <c r="D37" s="2239"/>
      <c r="E37" s="2240"/>
      <c r="F37" s="2240"/>
      <c r="G37" s="2196"/>
      <c r="H37" s="2196"/>
      <c r="I37" s="2196"/>
    </row>
    <row r="38" spans="1:16" ht="15.75" thickBot="1">
      <c r="A38" s="2883"/>
      <c r="B38" s="2241" t="s">
        <v>1981</v>
      </c>
      <c r="C38" s="71"/>
      <c r="D38" s="2206"/>
      <c r="E38" s="2206"/>
      <c r="F38" s="2240"/>
      <c r="G38" s="2206"/>
      <c r="H38" s="2206"/>
      <c r="I38" s="2206"/>
    </row>
    <row r="39" spans="1:16" ht="15.75" thickBot="1">
      <c r="A39" s="2884"/>
      <c r="B39" s="2242" t="s">
        <v>1982</v>
      </c>
      <c r="C39" s="712"/>
      <c r="D39" s="2243" t="s">
        <v>1983</v>
      </c>
      <c r="E39" s="2206"/>
      <c r="F39" s="2240"/>
      <c r="G39" s="2206"/>
      <c r="H39" s="2206"/>
      <c r="I39" s="2206"/>
    </row>
    <row r="40" spans="1:16" ht="15">
      <c r="A40" s="2210" t="s">
        <v>1984</v>
      </c>
      <c r="B40" s="2244" t="s">
        <v>1985</v>
      </c>
      <c r="C40" s="2245" t="s">
        <v>1986</v>
      </c>
      <c r="D40" s="2245" t="s">
        <v>1987</v>
      </c>
      <c r="E40" s="2246" t="s">
        <v>1988</v>
      </c>
      <c r="F40" s="2240"/>
      <c r="G40" s="2206"/>
      <c r="H40" s="2206"/>
      <c r="I40" s="2206"/>
    </row>
    <row r="41" spans="1:16" ht="14.25">
      <c r="A41" s="2247" t="s">
        <v>1989</v>
      </c>
      <c r="B41" s="74"/>
      <c r="C41" s="75"/>
      <c r="D41" s="75"/>
      <c r="E41" s="76"/>
      <c r="F41" s="2240"/>
      <c r="G41" s="2206"/>
      <c r="H41" s="2206"/>
      <c r="I41" s="2206"/>
    </row>
    <row r="42" spans="1:16" ht="14.25">
      <c r="A42" s="2247" t="s">
        <v>1990</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1991</v>
      </c>
      <c r="B45" s="2253"/>
      <c r="C45" s="2253"/>
      <c r="D45" s="2254"/>
      <c r="E45" s="2254"/>
      <c r="F45" s="2255"/>
      <c r="G45" s="2255"/>
      <c r="H45" s="2255"/>
      <c r="I45" s="2255"/>
      <c r="J45" s="2256" t="s">
        <v>1822</v>
      </c>
      <c r="K45" s="2257"/>
      <c r="L45" s="2257"/>
      <c r="M45" s="2257"/>
      <c r="N45" s="2257"/>
      <c r="O45" s="2257"/>
      <c r="P45" s="1845"/>
    </row>
    <row r="46" spans="1:16" ht="14.25" customHeight="1" thickBot="1">
      <c r="A46" s="2888" t="s">
        <v>1992</v>
      </c>
      <c r="B46" s="2889"/>
      <c r="C46" s="2890"/>
      <c r="D46" s="80">
        <f>ROUND(I103*F46,0)</f>
        <v>0</v>
      </c>
      <c r="E46" s="81" t="s">
        <v>1993</v>
      </c>
      <c r="F46" s="82">
        <v>1</v>
      </c>
      <c r="G46" s="83" t="s">
        <v>1994</v>
      </c>
      <c r="H46" s="2196"/>
      <c r="I46" s="2196"/>
      <c r="J46" s="2950" t="s">
        <v>1826</v>
      </c>
      <c r="K46" s="2950"/>
      <c r="L46" s="2950"/>
      <c r="M46" s="2950"/>
      <c r="N46" s="2950"/>
      <c r="O46" s="2950"/>
      <c r="P46" s="1845"/>
    </row>
    <row r="47" spans="1:16" ht="14.25" customHeight="1">
      <c r="A47" s="2873" t="s">
        <v>1827</v>
      </c>
      <c r="B47" s="2874"/>
      <c r="C47" s="2874"/>
      <c r="D47" s="2874"/>
      <c r="E47" s="2874"/>
      <c r="F47" s="2874"/>
      <c r="G47" s="2875"/>
      <c r="H47" s="2258"/>
      <c r="I47" s="1144"/>
      <c r="J47" s="1883">
        <v>1</v>
      </c>
      <c r="K47" s="2950" t="s">
        <v>1828</v>
      </c>
      <c r="L47" s="2950"/>
      <c r="M47" s="2966"/>
      <c r="N47" s="2966"/>
      <c r="O47" s="2966"/>
      <c r="P47" s="1845"/>
    </row>
    <row r="48" spans="1:16" ht="12" customHeight="1">
      <c r="A48" s="85" t="s">
        <v>1829</v>
      </c>
      <c r="B48" s="86"/>
      <c r="C48" s="87"/>
      <c r="D48" s="88" t="s">
        <v>1830</v>
      </c>
      <c r="E48" s="14" t="s">
        <v>1831</v>
      </c>
      <c r="F48" s="89" t="s">
        <v>1832</v>
      </c>
      <c r="G48" s="90" t="s">
        <v>1833</v>
      </c>
      <c r="H48" s="2258"/>
      <c r="I48" s="1144"/>
      <c r="J48" s="1883">
        <v>2</v>
      </c>
      <c r="K48" s="2950" t="s">
        <v>1834</v>
      </c>
      <c r="L48" s="2950"/>
      <c r="M48" s="2952">
        <f>'数据-取费表'!B2</f>
        <v>42775</v>
      </c>
      <c r="N48" s="2952"/>
      <c r="O48" s="2952"/>
      <c r="P48" s="1845"/>
    </row>
    <row r="49" spans="1:16" ht="25.5">
      <c r="A49" s="2885" t="s">
        <v>1835</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9" t="s">
        <v>1836</v>
      </c>
      <c r="H49" s="2260" t="s">
        <v>1837</v>
      </c>
      <c r="I49" s="2258"/>
      <c r="J49" s="1883">
        <v>3</v>
      </c>
      <c r="K49" s="2950" t="s">
        <v>1838</v>
      </c>
      <c r="L49" s="2950"/>
      <c r="M49" s="2951">
        <f>I103</f>
        <v>0</v>
      </c>
      <c r="N49" s="2951"/>
      <c r="O49" s="2951"/>
      <c r="P49" s="1845"/>
    </row>
    <row r="50" spans="1:16" ht="25.5" customHeight="1">
      <c r="A50" s="92" t="s">
        <v>1839</v>
      </c>
      <c r="B50" s="2878" t="s">
        <v>1840</v>
      </c>
      <c r="C50" s="2878"/>
      <c r="D50" s="93">
        <v>0</v>
      </c>
      <c r="E50" s="13" t="s">
        <v>1841</v>
      </c>
      <c r="F50" s="18" t="s">
        <v>48</v>
      </c>
      <c r="G50" s="2943"/>
      <c r="H50" s="2196"/>
      <c r="I50" s="2261"/>
      <c r="J50" s="188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5"/>
    </row>
    <row r="51" spans="1:16" ht="25.5" customHeight="1">
      <c r="A51" s="94"/>
      <c r="B51" s="2878" t="s">
        <v>1842</v>
      </c>
      <c r="C51" s="2878"/>
      <c r="D51" s="95"/>
      <c r="E51" s="21"/>
      <c r="F51" s="96"/>
      <c r="G51" s="2944"/>
      <c r="H51" s="2196"/>
      <c r="I51" s="2261"/>
      <c r="J51" s="2950" t="s">
        <v>1843</v>
      </c>
      <c r="K51" s="2950"/>
      <c r="L51" s="2950"/>
      <c r="M51" s="2950"/>
      <c r="N51" s="2950"/>
      <c r="O51" s="2950"/>
      <c r="P51" s="1845"/>
    </row>
    <row r="52" spans="1:16" ht="12" customHeight="1">
      <c r="A52" s="97"/>
      <c r="B52" s="2878" t="s">
        <v>1844</v>
      </c>
      <c r="C52" s="2878"/>
      <c r="D52" s="98"/>
      <c r="E52" s="20"/>
      <c r="F52" s="96"/>
      <c r="G52" s="2945"/>
      <c r="H52" s="2196"/>
      <c r="I52" s="2261"/>
      <c r="J52" s="2262" t="s">
        <v>1845</v>
      </c>
      <c r="K52" s="2950" t="s">
        <v>1846</v>
      </c>
      <c r="L52" s="2950"/>
      <c r="M52" s="2262" t="s">
        <v>1847</v>
      </c>
      <c r="N52" s="2262" t="s">
        <v>1848</v>
      </c>
      <c r="O52" s="2262" t="s">
        <v>1849</v>
      </c>
      <c r="P52" s="1845"/>
    </row>
    <row r="53" spans="1:16" ht="24" customHeight="1">
      <c r="A53" s="99" t="s">
        <v>1850</v>
      </c>
      <c r="B53" s="2878" t="s">
        <v>1851</v>
      </c>
      <c r="C53" s="2878"/>
      <c r="D53" s="98">
        <f>ROUND(D46*'数据-取费表'!E29/(1+'数据-取费表'!F30),0)</f>
        <v>0</v>
      </c>
      <c r="E53" s="10" t="s">
        <v>1852</v>
      </c>
      <c r="F53" s="100">
        <f>'数据-取费表'!E29</f>
        <v>5.6000000000000001E-2</v>
      </c>
      <c r="G53" s="2263"/>
      <c r="H53" s="2196"/>
      <c r="I53" s="2261"/>
      <c r="J53" s="1883">
        <v>1</v>
      </c>
      <c r="K53" s="2910" t="s">
        <v>1853</v>
      </c>
      <c r="L53" s="2910"/>
      <c r="M53" s="778">
        <f>D49</f>
        <v>0</v>
      </c>
      <c r="N53" s="1883" t="str">
        <f>E49</f>
        <v>销售额×税（费）率</v>
      </c>
      <c r="O53" s="779">
        <f>F49</f>
        <v>5.6000000000000001E-2</v>
      </c>
      <c r="P53" s="1845"/>
    </row>
    <row r="54" spans="1:16" ht="12" customHeight="1">
      <c r="A54" s="99" t="s">
        <v>1854</v>
      </c>
      <c r="B54" s="2879" t="s">
        <v>1855</v>
      </c>
      <c r="C54" s="2809"/>
      <c r="D54" s="98">
        <f>ROUND(D46*'数据-取费表'!E29/(1+'数据-取费表'!F30),0)</f>
        <v>0</v>
      </c>
      <c r="E54" s="10" t="s">
        <v>1852</v>
      </c>
      <c r="F54" s="100">
        <f>'数据-取费表'!E29</f>
        <v>5.6000000000000001E-2</v>
      </c>
      <c r="G54" s="2263"/>
      <c r="H54" s="2196"/>
      <c r="I54" s="2261"/>
      <c r="J54" s="1883">
        <v>2</v>
      </c>
      <c r="K54" s="2910" t="s">
        <v>1856</v>
      </c>
      <c r="L54" s="2910"/>
      <c r="M54" s="778">
        <f t="shared" ref="M54:O55" si="1">D56</f>
        <v>0</v>
      </c>
      <c r="N54" s="1883" t="str">
        <f t="shared" si="1"/>
        <v>销售额×税（费）率</v>
      </c>
      <c r="O54" s="779">
        <f t="shared" si="1"/>
        <v>5.0000000000000001E-4</v>
      </c>
      <c r="P54" s="1845"/>
    </row>
    <row r="55" spans="1:16" ht="12" customHeight="1">
      <c r="A55" s="99" t="s">
        <v>1857</v>
      </c>
      <c r="B55" s="2879" t="s">
        <v>1858</v>
      </c>
      <c r="C55" s="2809"/>
      <c r="D55" s="98">
        <f>C69</f>
        <v>0</v>
      </c>
      <c r="E55" s="20" t="s">
        <v>1859</v>
      </c>
      <c r="F55" s="100">
        <f>'数据-取费表'!E29</f>
        <v>5.6000000000000001E-2</v>
      </c>
      <c r="G55" s="2263"/>
      <c r="H55" s="2264"/>
      <c r="I55" s="2261"/>
      <c r="J55" s="1883">
        <v>3</v>
      </c>
      <c r="K55" s="2910" t="s">
        <v>1860</v>
      </c>
      <c r="L55" s="2910"/>
      <c r="M55" s="778">
        <f t="shared" si="1"/>
        <v>0</v>
      </c>
      <c r="N55" s="1883" t="str">
        <f t="shared" si="1"/>
        <v>增值额×税（费）率</v>
      </c>
      <c r="O55" s="780" t="str">
        <f t="shared" si="1"/>
        <v>——</v>
      </c>
      <c r="P55" s="1845"/>
    </row>
    <row r="56" spans="1:16" ht="24" customHeight="1">
      <c r="A56" s="2801" t="s">
        <v>1861</v>
      </c>
      <c r="B56" s="2886"/>
      <c r="C56" s="2886"/>
      <c r="D56" s="101">
        <f>IF(H56="个人住宅",0,ROUND(D46*I56,0))</f>
        <v>0</v>
      </c>
      <c r="E56" s="10" t="s">
        <v>1862</v>
      </c>
      <c r="F56" s="100">
        <f>IF(H56="正常",I56,"免征")</f>
        <v>5.0000000000000001E-4</v>
      </c>
      <c r="G56" s="2263"/>
      <c r="H56" s="2260" t="s">
        <v>1863</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1864</v>
      </c>
      <c r="B57" s="2886"/>
      <c r="C57" s="2886"/>
      <c r="D57" s="101">
        <f>IF(H57="个人住宅",D58,D59)</f>
        <v>0</v>
      </c>
      <c r="E57" s="10" t="s">
        <v>1865</v>
      </c>
      <c r="F57" s="100" t="str">
        <f>IF(H57="正常",F59,"免征")</f>
        <v>——</v>
      </c>
      <c r="G57" s="2265" t="s">
        <v>1866</v>
      </c>
      <c r="H57" s="2266" t="s">
        <v>1863</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1839</v>
      </c>
      <c r="B58" s="2876" t="s">
        <v>1867</v>
      </c>
      <c r="C58" s="2887"/>
      <c r="D58" s="103">
        <v>0</v>
      </c>
      <c r="E58" s="13" t="s">
        <v>1841</v>
      </c>
      <c r="F58" s="70"/>
      <c r="G58" s="2263"/>
      <c r="H58" s="1022"/>
      <c r="I58" s="1022"/>
      <c r="J58" s="2910">
        <f>IF(AND(J56="",J57=""),4,IF(项目基本情况!I6="上海银行",J57+1,J56+1))</f>
        <v>4</v>
      </c>
      <c r="K58" s="2910" t="s">
        <v>1868</v>
      </c>
      <c r="L58" s="2267" t="s">
        <v>1869</v>
      </c>
      <c r="M58" s="783"/>
      <c r="N58" s="784">
        <f>SUMIF(M53:M57,"&lt;9e307")</f>
        <v>0</v>
      </c>
      <c r="O58" s="2268"/>
      <c r="P58" s="1841" t="e">
        <f>N58/M50</f>
        <v>#VALUE!</v>
      </c>
    </row>
    <row r="59" spans="1:16" ht="24.75">
      <c r="A59" s="99" t="s">
        <v>1850</v>
      </c>
      <c r="B59" s="2876" t="s">
        <v>1870</v>
      </c>
      <c r="C59" s="2877"/>
      <c r="D59" s="101">
        <f>IF(H59="转让取得",C82,C98)</f>
        <v>0</v>
      </c>
      <c r="E59" s="10" t="s">
        <v>1865</v>
      </c>
      <c r="F59" s="14" t="s">
        <v>48</v>
      </c>
      <c r="G59" s="2263"/>
      <c r="H59" s="2266" t="s">
        <v>1871</v>
      </c>
      <c r="I59" s="1022"/>
      <c r="J59" s="2910"/>
      <c r="K59" s="2910"/>
      <c r="L59" s="2267" t="s">
        <v>1872</v>
      </c>
      <c r="M59" s="785"/>
      <c r="N59" s="2269" t="str">
        <f>IF(H19="元",NUMBERSTRING(INT(N58),2)&amp;"元整",NUMBERSTRING(INT(N58*10000),2)&amp;"元整")</f>
        <v>零元整</v>
      </c>
      <c r="O59" s="2270"/>
      <c r="P59" s="1845"/>
    </row>
    <row r="60" spans="1:16" ht="24.75" thickBot="1">
      <c r="A60" s="2802" t="s">
        <v>1873</v>
      </c>
      <c r="B60" s="2805"/>
      <c r="C60" s="2805"/>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908">
        <f>J58+1</f>
        <v>5</v>
      </c>
      <c r="K60" s="2910" t="s">
        <v>1875</v>
      </c>
      <c r="L60" s="1883" t="s">
        <v>1869</v>
      </c>
      <c r="M60" s="786"/>
      <c r="N60" s="787" t="e">
        <f>M50-N58</f>
        <v>#VALUE!</v>
      </c>
      <c r="O60" s="2272"/>
      <c r="P60" s="1845"/>
    </row>
    <row r="61" spans="1:16" ht="12" customHeight="1">
      <c r="A61" s="2068"/>
      <c r="B61" s="2196"/>
      <c r="C61" s="2196"/>
      <c r="D61" s="2196"/>
      <c r="E61" s="1022"/>
      <c r="F61" s="1022"/>
      <c r="G61" s="1022"/>
      <c r="H61" s="2249"/>
      <c r="I61" s="2196"/>
      <c r="J61" s="2909"/>
      <c r="K61" s="2910"/>
      <c r="L61" s="2267" t="s">
        <v>1872</v>
      </c>
      <c r="M61" s="785"/>
      <c r="N61" s="2269" t="e">
        <f>IF(H19="元",NUMBERSTRING(INT(N60),2)&amp;"元整",NUMBERSTRING(INT(N60*10000),2)&amp;"元整")</f>
        <v>#VALUE!</v>
      </c>
      <c r="O61" s="2270"/>
      <c r="P61" s="1845"/>
    </row>
    <row r="62" spans="1:16" ht="13.5" thickBot="1">
      <c r="A62" s="2891" t="s">
        <v>1876</v>
      </c>
      <c r="B62" s="2891"/>
      <c r="C62" s="2891"/>
      <c r="D62" s="2891"/>
      <c r="E62" s="2891"/>
      <c r="F62" s="1022"/>
      <c r="G62" s="1022"/>
      <c r="H62" s="2249"/>
      <c r="I62" s="2196"/>
      <c r="J62" s="1883">
        <f>J60+1</f>
        <v>6</v>
      </c>
      <c r="K62" s="2910" t="s">
        <v>1877</v>
      </c>
      <c r="L62" s="2910"/>
      <c r="M62" s="788"/>
      <c r="N62" s="789" t="e">
        <f>IF(H19="元",ROUND(N60/项目基本情况!C12,0),ROUND(N60*10000/项目基本情况!C12,0))</f>
        <v>#VALUE!</v>
      </c>
      <c r="O62" s="2273"/>
      <c r="P62" s="1845"/>
    </row>
    <row r="63" spans="1:16" ht="12.75">
      <c r="A63" s="2898" t="s">
        <v>1878</v>
      </c>
      <c r="B63" s="2899"/>
      <c r="C63" s="1885"/>
      <c r="D63" s="1885" t="s">
        <v>1879</v>
      </c>
      <c r="E63" s="108" t="s">
        <v>1880</v>
      </c>
      <c r="F63" s="1022"/>
      <c r="G63" s="1022"/>
      <c r="H63" s="2249"/>
      <c r="I63" s="2196"/>
      <c r="J63" s="1845"/>
      <c r="K63" s="1845"/>
      <c r="L63" s="1845"/>
      <c r="M63" s="1845"/>
      <c r="N63" s="1845"/>
      <c r="O63" s="1845"/>
      <c r="P63" s="1845"/>
    </row>
    <row r="64" spans="1:16" ht="12.75">
      <c r="A64" s="109">
        <v>1</v>
      </c>
      <c r="B64" s="110" t="s">
        <v>1881</v>
      </c>
      <c r="C64" s="111">
        <f>ROUND((C65+C66)/(1+'数据-取费表'!F30),0)</f>
        <v>0</v>
      </c>
      <c r="D64" s="112"/>
      <c r="E64" s="113"/>
      <c r="F64" s="1022"/>
      <c r="G64" s="1022"/>
      <c r="H64" s="2249"/>
      <c r="I64" s="2196"/>
      <c r="J64" s="2930" t="s">
        <v>1882</v>
      </c>
      <c r="K64" s="2274"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9"/>
      <c r="I65" s="2196"/>
      <c r="J65" s="2930"/>
      <c r="K65" s="2274"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9"/>
      <c r="I66" s="2196"/>
      <c r="J66" s="2930"/>
      <c r="K66" s="2274"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9"/>
      <c r="I67" s="2196"/>
      <c r="J67" s="2930"/>
      <c r="K67" s="2274"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9"/>
      <c r="I68" s="2196"/>
      <c r="J68" s="2930"/>
      <c r="K68" s="2274"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9"/>
      <c r="I69" s="2196"/>
      <c r="J69" s="2930"/>
      <c r="K69" s="2274" t="s">
        <v>1896</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0"/>
      <c r="K70" s="2274" t="s">
        <v>1897</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2" t="s">
        <v>1898</v>
      </c>
      <c r="B71" s="2903"/>
      <c r="C71" s="2903"/>
      <c r="D71" s="2903"/>
      <c r="E71" s="2903"/>
      <c r="F71" s="2903"/>
      <c r="G71" s="2903"/>
      <c r="H71" s="290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8" t="s">
        <v>1878</v>
      </c>
      <c r="B72" s="2899"/>
      <c r="C72" s="1885"/>
      <c r="D72" s="1885" t="s">
        <v>1879</v>
      </c>
      <c r="E72" s="130" t="s">
        <v>1880</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1899</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1901</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1902</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1903</v>
      </c>
      <c r="C76" s="137"/>
      <c r="D76" s="117" t="s">
        <v>41</v>
      </c>
      <c r="E76" s="138" t="s">
        <v>1904</v>
      </c>
      <c r="F76" s="2285"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1907</v>
      </c>
      <c r="C77" s="117">
        <f>IF(F76="购房发票",ROUND(C76*H76*D77,0),0)</f>
        <v>0</v>
      </c>
      <c r="D77" s="141">
        <v>0.05</v>
      </c>
      <c r="E77" s="2879" t="s">
        <v>1908</v>
      </c>
      <c r="F77" s="2878"/>
      <c r="G77" s="2878"/>
      <c r="H77" s="289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1912</v>
      </c>
      <c r="C79" s="144">
        <f>ROUND(D46*D79/(1+'数据-取费表'!F30),0)</f>
        <v>0</v>
      </c>
      <c r="D79" s="145">
        <f>'数据-取费表'!E31</f>
        <v>6.000000000000001E-3</v>
      </c>
      <c r="E79" s="2870" t="s">
        <v>1913</v>
      </c>
      <c r="F79" s="2871"/>
      <c r="G79" s="2871"/>
      <c r="H79" s="287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1914</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2" t="s">
        <v>1917</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8" t="s">
        <v>1878</v>
      </c>
      <c r="B85" s="289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1919</v>
      </c>
      <c r="C89" s="157"/>
      <c r="D89" s="145"/>
      <c r="E89" s="158" t="s">
        <v>1920</v>
      </c>
      <c r="F89" s="1882"/>
      <c r="G89" s="159" t="s">
        <v>1921</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1924</v>
      </c>
      <c r="C92" s="144">
        <f>IF(H92="——",成本法!C33,I92)</f>
        <v>0</v>
      </c>
      <c r="D92" s="145"/>
      <c r="E92" s="2870" t="s">
        <v>1925</v>
      </c>
      <c r="F92" s="2871"/>
      <c r="G92" s="2871"/>
      <c r="H92" s="2289" t="s">
        <v>1926</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1927</v>
      </c>
      <c r="C93" s="144">
        <f>ROUND((C88+C91+C92)*D93,0)</f>
        <v>0</v>
      </c>
      <c r="D93" s="145">
        <v>0.1</v>
      </c>
      <c r="E93" s="2870" t="s">
        <v>1928</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1912</v>
      </c>
      <c r="C94" s="144">
        <f>ROUND(D46*D94/(1+'数据-取费表'!F30),0)</f>
        <v>0</v>
      </c>
      <c r="D94" s="145">
        <f>'数据-取费表'!E31</f>
        <v>6.000000000000001E-3</v>
      </c>
      <c r="E94" s="2870" t="s">
        <v>1913</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1929</v>
      </c>
      <c r="C95" s="144">
        <f>ROUND((C88+C91+C92)*D95,0)</f>
        <v>0</v>
      </c>
      <c r="D95" s="145">
        <v>0.2</v>
      </c>
      <c r="E95" s="2870" t="s">
        <v>1930</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925" t="s">
        <v>1932</v>
      </c>
      <c r="B100" s="2926"/>
      <c r="C100" s="2926"/>
      <c r="D100" s="2927"/>
      <c r="E100" s="2196"/>
      <c r="F100" s="2936" t="s">
        <v>1933</v>
      </c>
      <c r="G100" s="2937"/>
      <c r="H100" s="2937"/>
      <c r="I100" s="2938"/>
    </row>
    <row r="101" spans="1:35" ht="15.75">
      <c r="A101" s="2939" t="s">
        <v>1934</v>
      </c>
      <c r="B101" s="2940"/>
      <c r="C101" s="720">
        <f>C4</f>
        <v>0</v>
      </c>
      <c r="D101" s="721">
        <f>D4</f>
        <v>0</v>
      </c>
      <c r="E101" s="2196"/>
      <c r="F101" s="2835" t="s">
        <v>1935</v>
      </c>
      <c r="G101" s="2836"/>
      <c r="H101" s="2961" t="s">
        <v>1936</v>
      </c>
      <c r="I101" s="2834"/>
    </row>
    <row r="102" spans="1:35" ht="15.75">
      <c r="A102" s="2962" t="s">
        <v>1996</v>
      </c>
      <c r="B102" s="2291" t="str">
        <f>IF(H19="元","总价（元）","总价（万元）")</f>
        <v>总价（元）</v>
      </c>
      <c r="C102" s="720" t="e">
        <f ca="1">C19</f>
        <v>#REF!</v>
      </c>
      <c r="D102" s="721" t="e">
        <f ca="1">D19</f>
        <v>#REF!</v>
      </c>
      <c r="E102" s="2196"/>
      <c r="F102" s="2963"/>
      <c r="G102" s="2964"/>
      <c r="H102" s="2833">
        <f>典型户型修正!B25</f>
        <v>0</v>
      </c>
      <c r="I102" s="2834"/>
    </row>
    <row r="103" spans="1:35" ht="15.75">
      <c r="A103" s="2962"/>
      <c r="B103" s="2291" t="s">
        <v>1938</v>
      </c>
      <c r="C103" s="722" t="e">
        <f ca="1">C20</f>
        <v>#REF!</v>
      </c>
      <c r="D103" s="723" t="e">
        <f ca="1">D20</f>
        <v>#REF!</v>
      </c>
      <c r="E103" s="2196"/>
      <c r="F103" s="2862" t="s">
        <v>1939</v>
      </c>
      <c r="G103" s="2863"/>
      <c r="H103" s="2292" t="str">
        <f>C109</f>
        <v>总价（元）</v>
      </c>
      <c r="I103" s="1862">
        <f>H124</f>
        <v>0</v>
      </c>
    </row>
    <row r="104" spans="1:35" ht="15">
      <c r="A104" s="2962" t="s">
        <v>1997</v>
      </c>
      <c r="B104" s="2293" t="str">
        <f>B102</f>
        <v>总价（元）</v>
      </c>
      <c r="C104" s="1190" t="e">
        <f ca="1">ROUND(IF('数据-取费表'!B4="总价",G19,IF(H19="元",G20*'数据-取费表'!E5,G20*'数据-取费表'!E5/10000)),0)</f>
        <v>#REF!</v>
      </c>
      <c r="D104" s="725"/>
      <c r="E104" s="2196"/>
      <c r="F104" s="2862"/>
      <c r="G104" s="2863"/>
      <c r="H104" s="2292" t="s">
        <v>1938</v>
      </c>
      <c r="I104" s="1050" t="e">
        <f>I124</f>
        <v>#DIV/0!</v>
      </c>
    </row>
    <row r="105" spans="1:35" ht="15.75">
      <c r="A105" s="2962"/>
      <c r="B105" s="2291" t="s">
        <v>1938</v>
      </c>
      <c r="C105" s="1191" t="e">
        <f ca="1">ROUND(IF('数据-取费表'!B4="楼面单价",G20,IF(H19="元",G19/'数据-取费表'!E5,G19*10000/'数据-取费表'!E5)),0)</f>
        <v>#REF!</v>
      </c>
      <c r="D105" s="725"/>
      <c r="E105" s="2196"/>
      <c r="F105" s="2934"/>
      <c r="G105" s="2935"/>
      <c r="H105" s="2919"/>
      <c r="I105" s="2920"/>
    </row>
    <row r="106" spans="1:35" ht="15.75">
      <c r="A106" s="2955" t="s">
        <v>1998</v>
      </c>
      <c r="B106" s="2331" t="str">
        <f>B102</f>
        <v>总价（元）</v>
      </c>
      <c r="C106" s="724">
        <f>H124</f>
        <v>0</v>
      </c>
      <c r="D106" s="1189"/>
      <c r="E106" s="2196"/>
      <c r="F106" s="2923" t="s">
        <v>1942</v>
      </c>
      <c r="G106" s="2924"/>
      <c r="H106" s="2295" t="str">
        <f>C111</f>
        <v>总额（元）</v>
      </c>
      <c r="I106" s="1862">
        <f>SUMIF(I107:I109,"&lt;9E307")</f>
        <v>0</v>
      </c>
    </row>
    <row r="107" spans="1:35" ht="15.75" thickBot="1">
      <c r="A107" s="2918"/>
      <c r="B107" s="2294" t="s">
        <v>1938</v>
      </c>
      <c r="C107" s="726" t="e">
        <f>I124</f>
        <v>#DIV/0!</v>
      </c>
      <c r="D107" s="727"/>
      <c r="E107" s="2196"/>
      <c r="F107" s="2851" t="s">
        <v>1944</v>
      </c>
      <c r="G107" s="285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1941</v>
      </c>
      <c r="B108" s="2959"/>
      <c r="C108" s="2959"/>
      <c r="D108" s="2960"/>
      <c r="E108" s="2196"/>
      <c r="F108" s="2851" t="s">
        <v>1945</v>
      </c>
      <c r="G108" s="2852"/>
      <c r="H108" s="2295" t="str">
        <f>C113</f>
        <v>总额（元）</v>
      </c>
      <c r="I108" s="1050">
        <f>C38</f>
        <v>0</v>
      </c>
      <c r="K108" s="2296"/>
    </row>
    <row r="109" spans="1:35" ht="15">
      <c r="A109" s="2849" t="s">
        <v>1999</v>
      </c>
      <c r="B109" s="2850"/>
      <c r="C109" s="2292" t="str">
        <f>B102</f>
        <v>总价（元）</v>
      </c>
      <c r="D109" s="1051">
        <f>H124</f>
        <v>0</v>
      </c>
      <c r="E109" s="2196"/>
      <c r="F109" s="2851" t="s">
        <v>1947</v>
      </c>
      <c r="G109" s="2852"/>
      <c r="H109" s="2295" t="str">
        <f>C114</f>
        <v>总额（元）</v>
      </c>
      <c r="I109" s="1050">
        <f>C39</f>
        <v>0</v>
      </c>
    </row>
    <row r="110" spans="1:35" ht="15.75">
      <c r="A110" s="2849"/>
      <c r="B110" s="2850"/>
      <c r="C110" s="2292" t="s">
        <v>1938</v>
      </c>
      <c r="D110" s="1052" t="e">
        <f>I124</f>
        <v>#DIV/0!</v>
      </c>
      <c r="E110" s="2196"/>
      <c r="F110" s="2934"/>
      <c r="G110" s="2935"/>
      <c r="H110" s="2921"/>
      <c r="I110" s="2922"/>
    </row>
    <row r="111" spans="1:35" ht="28.5" customHeight="1">
      <c r="A111" s="2856" t="s">
        <v>1946</v>
      </c>
      <c r="B111" s="2857"/>
      <c r="C111" s="2295" t="str">
        <f>IF(H19="元","总额（元）","总额（万元）")</f>
        <v>总额（元）</v>
      </c>
      <c r="D111" s="1051">
        <f>IF(D37="正常操作",I107+I108+I109,I108+I109)</f>
        <v>0</v>
      </c>
      <c r="E111" s="2196"/>
      <c r="F111" s="2837" t="str">
        <f>IF(项目基本情况!F5="已注销","——","3.房地产抵押价值")</f>
        <v>3.房地产抵押价值</v>
      </c>
      <c r="G111" s="2838"/>
      <c r="H111" s="2332" t="str">
        <f>C115</f>
        <v>总价（元）</v>
      </c>
      <c r="I111" s="1862">
        <f>IF(F111="——","——",I103-I106)</f>
        <v>0</v>
      </c>
    </row>
    <row r="112" spans="1:35" ht="15">
      <c r="A112" s="2851" t="s">
        <v>1944</v>
      </c>
      <c r="B112" s="2852"/>
      <c r="C112" s="2295" t="str">
        <f>C111</f>
        <v>总额（元）</v>
      </c>
      <c r="D112" s="637">
        <f>IF(D37="同一抵押权人同一抵押物续贷",C37&amp;"（未扣减，详见特别提示）",C37)</f>
        <v>0</v>
      </c>
      <c r="E112" s="2196"/>
      <c r="F112" s="2953"/>
      <c r="G112" s="2954"/>
      <c r="H112" s="2292" t="s">
        <v>1938</v>
      </c>
      <c r="I112" s="2298" t="e">
        <f>D116</f>
        <v>#DIV/0!</v>
      </c>
    </row>
    <row r="113" spans="1:26" ht="15.75">
      <c r="A113" s="2851" t="s">
        <v>1945</v>
      </c>
      <c r="B113" s="2852"/>
      <c r="C113" s="2295" t="str">
        <f>C111</f>
        <v>总额（元）</v>
      </c>
      <c r="D113" s="637">
        <f>C38</f>
        <v>0</v>
      </c>
      <c r="E113" s="2196"/>
      <c r="F113" s="2837" t="str">
        <f>IF(项目基本情况!F5="已注销及未注销","4.抵押担保权已注销时的房地产抵押价值",IF(项目基本情况!F5="已注销","3.抵押担保权已注销时的房地产抵押价值","——"))</f>
        <v>——</v>
      </c>
      <c r="G113" s="2838"/>
      <c r="H113" s="2332" t="str">
        <f>C117</f>
        <v>总价（元）</v>
      </c>
      <c r="I113" s="1862" t="str">
        <f>IF(F113="——","——",I103-I108-I109)</f>
        <v>——</v>
      </c>
    </row>
    <row r="114" spans="1:26" ht="15">
      <c r="A114" s="2851" t="s">
        <v>1947</v>
      </c>
      <c r="B114" s="2852"/>
      <c r="C114" s="2295" t="str">
        <f>C111</f>
        <v>总额（元）</v>
      </c>
      <c r="D114" s="637">
        <f>C39</f>
        <v>0</v>
      </c>
      <c r="E114" s="2196"/>
      <c r="F114" s="2953"/>
      <c r="G114" s="2954"/>
      <c r="H114" s="2292" t="s">
        <v>1938</v>
      </c>
      <c r="I114" s="1050" t="str">
        <f>D118</f>
        <v>——</v>
      </c>
    </row>
    <row r="115" spans="1:26" ht="15.75">
      <c r="A115" s="2849" t="str">
        <f>IF(项目基本情况!F5="已注销","——","3.房地产抵押价值")</f>
        <v>3.房地产抵押价值</v>
      </c>
      <c r="B115" s="2850"/>
      <c r="C115" s="2292" t="str">
        <f>B102</f>
        <v>总价（元）</v>
      </c>
      <c r="D115" s="1051">
        <f>IF(A115="——","——",D109-D111)</f>
        <v>0</v>
      </c>
      <c r="E115" s="2196"/>
      <c r="F115" s="2837" t="str">
        <f>IF(项目基本情况!G5="抵押净值",IF(OR(项目基本情况!F5="已注销",项目基本情况!F5="房地产抵押价值"),"4.抵押净值","5.抵押净值"),"——")</f>
        <v>——</v>
      </c>
      <c r="G115" s="2838"/>
      <c r="H115" s="2292" t="str">
        <f>C119</f>
        <v>总价（元）</v>
      </c>
      <c r="I115" s="1862" t="str">
        <f>IF(F115="——","——",N60)</f>
        <v>——</v>
      </c>
    </row>
    <row r="116" spans="1:26" ht="15.75" thickBot="1">
      <c r="A116" s="2849"/>
      <c r="B116" s="2850"/>
      <c r="C116" s="2292" t="s">
        <v>2000</v>
      </c>
      <c r="D116" s="1052" t="e">
        <f>ROUND(IF(D115=D109,D110,IF(H19="元",D115/B124,D115*10000/B124)),0)</f>
        <v>#DIV/0!</v>
      </c>
      <c r="E116" s="2196"/>
      <c r="F116" s="2839"/>
      <c r="G116" s="2840"/>
      <c r="H116" s="2300" t="s">
        <v>2000</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92" t="str">
        <f>B102</f>
        <v>总价（元）</v>
      </c>
      <c r="D117" s="1051" t="str">
        <f>IF(A117="——","——",D109-D113-D114)</f>
        <v>——</v>
      </c>
      <c r="E117" s="2196"/>
      <c r="F117" s="2949"/>
      <c r="G117" s="2949"/>
      <c r="H117" s="2905"/>
      <c r="I117" s="2905"/>
      <c r="N117" s="55"/>
      <c r="O117" s="55"/>
    </row>
    <row r="118" spans="1:26" s="1845" customFormat="1" ht="15">
      <c r="A118" s="2849"/>
      <c r="B118" s="2850"/>
      <c r="C118" s="2292" t="s">
        <v>2000</v>
      </c>
      <c r="D118" s="1052" t="str">
        <f>IF(A117="——","——",IF(H19="元",ROUND(D117/B124,0),ROUND(D117*10000/B124,0)))</f>
        <v>——</v>
      </c>
      <c r="E118" s="2196"/>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300" t="s">
        <v>2000</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2001</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1949</v>
      </c>
      <c r="B122" s="2860" t="s">
        <v>2002</v>
      </c>
      <c r="C122" s="2860" t="s">
        <v>2003</v>
      </c>
      <c r="D122" s="2932" t="s">
        <v>1952</v>
      </c>
      <c r="E122" s="2933"/>
      <c r="F122" s="2831" t="s">
        <v>2004</v>
      </c>
      <c r="G122" s="2831"/>
      <c r="H122" s="2831" t="s">
        <v>1953</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1957</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1957</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1957</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1957</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1957</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37" zoomScale="95" zoomScaleNormal="95" workbookViewId="0">
      <selection activeCell="F56" sqref="F5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2823</v>
      </c>
      <c r="C1" s="162"/>
      <c r="D1" s="162"/>
      <c r="E1" s="162"/>
      <c r="F1" s="162"/>
      <c r="G1" s="163"/>
    </row>
    <row r="2" spans="1:7" s="164" customFormat="1" ht="18" customHeight="1">
      <c r="A2" s="165" t="s">
        <v>2006</v>
      </c>
      <c r="B2" s="166">
        <f ca="1">IF(D2="——",IF(C2="元",C52,ROUND(C52/10000,0)),IF(C2="元",C52,ROUND(C52/10000,0))-E2)</f>
        <v>16673910</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2007</v>
      </c>
      <c r="B3" s="168">
        <f ca="1">ROUND(C52/IF(B1="仅计算典型户型",'数据-取费表'!E5,'数据-取费表'!B5),0)</f>
        <v>24874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9496973</v>
      </c>
      <c r="D5" s="195" t="s">
        <v>2012</v>
      </c>
      <c r="E5" s="1532" t="s">
        <v>2013</v>
      </c>
      <c r="F5" s="1532" t="s">
        <v>2014</v>
      </c>
      <c r="G5" s="174"/>
    </row>
    <row r="6" spans="1:7" s="175" customFormat="1" ht="13.5" customHeight="1">
      <c r="A6" s="176" t="s">
        <v>2015</v>
      </c>
      <c r="B6" s="177" t="s">
        <v>2016</v>
      </c>
      <c r="C6" s="1531">
        <f ca="1">基准地价修正!C26</f>
        <v>9085788</v>
      </c>
      <c r="D6" s="1533"/>
      <c r="E6" s="1534"/>
      <c r="F6" s="1534"/>
      <c r="G6" s="179"/>
    </row>
    <row r="7" spans="1:7" s="175" customFormat="1" ht="13.5" customHeight="1">
      <c r="A7" s="176" t="s">
        <v>2017</v>
      </c>
      <c r="B7" s="177" t="s">
        <v>2018</v>
      </c>
      <c r="C7" s="199">
        <f ca="1">ROUND(C6*F7,0)</f>
        <v>277117</v>
      </c>
      <c r="D7" s="199"/>
      <c r="E7" s="1534"/>
      <c r="F7" s="1535">
        <f>'数据-取费表'!E36+'数据-取费表'!E37</f>
        <v>3.0499999999999999E-2</v>
      </c>
      <c r="G7" s="179"/>
    </row>
    <row r="8" spans="1:7" s="180" customFormat="1">
      <c r="A8" s="176" t="s">
        <v>2019</v>
      </c>
      <c r="B8" s="177" t="s">
        <v>2020</v>
      </c>
      <c r="C8" s="199">
        <f>IF(G8="已包含在土地购买价格中","0",'数据-取费表'!E13)</f>
        <v>134068</v>
      </c>
      <c r="D8" s="1536"/>
      <c r="E8" s="199"/>
      <c r="F8" s="1535"/>
      <c r="G8" s="2336" t="s">
        <v>2832</v>
      </c>
    </row>
    <row r="9" spans="1:7" s="175" customFormat="1" ht="13.5" customHeight="1">
      <c r="A9" s="1304" t="s">
        <v>951</v>
      </c>
      <c r="B9" s="181" t="s">
        <v>2021</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2022</v>
      </c>
      <c r="C10" s="1537">
        <f>ROUND(D10*E10,0)</f>
        <v>134068</v>
      </c>
      <c r="D10" s="1538">
        <f>IF('数据-取费表'!B10&lt;&gt;"住宅",IF(B1="仅计算典型户型",'数据-取费表'!E5,'数据-取费表'!B5),0)</f>
        <v>670.34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t="str">
        <f>IF(G19="已包含在土地取得成本中","0",ROUND(D19*E19,0))</f>
        <v>0</v>
      </c>
      <c r="D19" s="1541">
        <f>IF(B1="仅计算典型户型",'数据-取费表'!E5,'数据-取费表'!B5)</f>
        <v>670.34</v>
      </c>
      <c r="E19" s="195">
        <f>'数据-取费表'!E15</f>
        <v>0</v>
      </c>
      <c r="F19" s="196"/>
      <c r="G19" s="2336" t="s">
        <v>2833</v>
      </c>
    </row>
    <row r="20" spans="1:7" s="175" customFormat="1" ht="13.5" customHeight="1">
      <c r="A20" s="204" t="s">
        <v>2034</v>
      </c>
      <c r="B20" s="173" t="s">
        <v>2035</v>
      </c>
      <c r="C20" s="183">
        <f ca="1">ROUND((C5+C19)*F20,0)</f>
        <v>284909</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694723</v>
      </c>
      <c r="D22" s="185">
        <f ca="1">C26</f>
        <v>1.1000000000000001E-3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684632</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10091</v>
      </c>
      <c r="D25" s="188"/>
      <c r="E25" s="191"/>
      <c r="F25" s="189"/>
      <c r="G25" s="192" t="s">
        <v>2049</v>
      </c>
    </row>
    <row r="26" spans="1:7" s="175" customFormat="1">
      <c r="A26" s="176" t="s">
        <v>2050</v>
      </c>
      <c r="B26" s="177" t="s">
        <v>2051</v>
      </c>
      <c r="C26" s="188">
        <f ca="1">ROUND(IF('数据-取费表'!B23&lt;=1,F21*F22*'数据-取费表'!B24/2,F21*(POWER((1+F22),'数据-取费表'!B24/2)-1)),4)</f>
        <v>1.1000000000000001E-3</v>
      </c>
      <c r="D26" s="188"/>
      <c r="E26" s="191"/>
      <c r="F26" s="189"/>
      <c r="G26" s="193"/>
    </row>
    <row r="27" spans="1:7" s="175" customFormat="1" ht="25.5">
      <c r="A27" s="1305" t="s">
        <v>2052</v>
      </c>
      <c r="B27" s="194" t="s">
        <v>2053</v>
      </c>
      <c r="C27" s="195">
        <f ca="1">C28</f>
        <v>2445471</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2445471</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14229794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2095483</v>
      </c>
      <c r="D33" s="183"/>
      <c r="E33" s="1532"/>
      <c r="F33" s="191"/>
      <c r="G33" s="184"/>
    </row>
    <row r="34" spans="1:7" s="206" customFormat="1" ht="13.5" customHeight="1">
      <c r="A34" s="176" t="s">
        <v>2043</v>
      </c>
      <c r="B34" s="177" t="s">
        <v>2065</v>
      </c>
      <c r="C34" s="199">
        <f>IF(B1="仅计算典型户型",'数据-取费表'!F18,'数据-取费表'!E18)</f>
        <v>1876952</v>
      </c>
      <c r="D34" s="1533"/>
      <c r="E34" s="199"/>
      <c r="F34" s="1544" t="str">
        <f>IF('数据-取费表'!B25=0,"",'数据-取费表'!E20)</f>
        <v/>
      </c>
      <c r="G34" s="179"/>
    </row>
    <row r="35" spans="1:7" ht="13.5" customHeight="1">
      <c r="A35" s="176" t="s">
        <v>2017</v>
      </c>
      <c r="B35" s="177" t="s">
        <v>2066</v>
      </c>
      <c r="C35" s="199">
        <f>ROUND(C34*F35,0)</f>
        <v>56309</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134068</v>
      </c>
      <c r="D37" s="1533">
        <f>IF(B1="仅计算典型户型",'数据-取费表'!E5,'数据-取费表'!B5)</f>
        <v>670.34</v>
      </c>
      <c r="E37" s="199">
        <f>'数据-取费表'!E23</f>
        <v>200</v>
      </c>
      <c r="F37" s="1545"/>
      <c r="G37" s="208" t="s">
        <v>2071</v>
      </c>
    </row>
    <row r="38" spans="1:7" ht="13.5" customHeight="1">
      <c r="A38" s="176" t="s">
        <v>2072</v>
      </c>
      <c r="B38" s="177" t="s">
        <v>2073</v>
      </c>
      <c r="C38" s="199">
        <f>ROUND(C34*F38,0)</f>
        <v>28154</v>
      </c>
      <c r="D38" s="199"/>
      <c r="E38" s="199"/>
      <c r="F38" s="1545">
        <f>'数据-取费表'!E24</f>
        <v>1.4999999999999999E-2</v>
      </c>
      <c r="G38" s="179" t="s">
        <v>2067</v>
      </c>
    </row>
    <row r="39" spans="1:7" s="175" customFormat="1" ht="13.5" customHeight="1">
      <c r="A39" s="204" t="s">
        <v>2032</v>
      </c>
      <c r="B39" s="173" t="s">
        <v>2035</v>
      </c>
      <c r="C39" s="183">
        <f>ROUND(C33*F20,0)</f>
        <v>62864</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76443</v>
      </c>
      <c r="D41" s="185">
        <f ca="1">C44</f>
        <v>1.1000000000000001E-3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74217</v>
      </c>
      <c r="D42" s="188"/>
      <c r="E42" s="188"/>
      <c r="F42" s="189"/>
      <c r="G42" s="2967" t="s">
        <v>2077</v>
      </c>
    </row>
    <row r="43" spans="1:7" ht="13.5" customHeight="1">
      <c r="A43" s="176" t="s">
        <v>2017</v>
      </c>
      <c r="B43" s="177" t="s">
        <v>2046</v>
      </c>
      <c r="C43" s="188">
        <f ca="1">ROUND(IF('数据-取费表'!B23&lt;=1,C39*F22*'数据-取费表'!B22/2,C39*(POWER((1+F22),'数据-取费表'!B22/2)-1)),0)</f>
        <v>2226</v>
      </c>
      <c r="D43" s="188"/>
      <c r="E43" s="188"/>
      <c r="F43" s="189"/>
      <c r="G43" s="2968"/>
    </row>
    <row r="44" spans="1:7" ht="13.5" customHeight="1">
      <c r="A44" s="176" t="s">
        <v>2019</v>
      </c>
      <c r="B44" s="177" t="s">
        <v>2048</v>
      </c>
      <c r="C44" s="188">
        <f ca="1">ROUND(IF('数据-取费表'!B23&lt;=1,C40*F22*'数据-取费表'!B22/2,C40*(POWER((1+F22),'数据-取费表'!B22/2)-1)),4)</f>
        <v>1.1000000000000001E-3</v>
      </c>
      <c r="D44" s="188"/>
      <c r="E44" s="188"/>
      <c r="F44" s="189"/>
      <c r="G44" s="2969"/>
    </row>
    <row r="45" spans="1:7" s="175" customFormat="1" ht="13.5" customHeight="1">
      <c r="A45" s="204" t="s">
        <v>2041</v>
      </c>
      <c r="B45" s="194" t="s">
        <v>2053</v>
      </c>
      <c r="C45" s="195">
        <f>C46</f>
        <v>539587</v>
      </c>
      <c r="D45" s="185">
        <f>C47</f>
        <v>7.4999999999999997E-3</v>
      </c>
      <c r="E45" s="186" t="s">
        <v>2075</v>
      </c>
      <c r="F45" s="196"/>
      <c r="G45" s="197" t="s">
        <v>2078</v>
      </c>
    </row>
    <row r="46" spans="1:7" s="175" customFormat="1" ht="13.5" customHeight="1">
      <c r="A46" s="176" t="s">
        <v>2043</v>
      </c>
      <c r="B46" s="198" t="s">
        <v>2079</v>
      </c>
      <c r="C46" s="199">
        <f>ROUND((C33+C39)*F27,0)</f>
        <v>539587</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3055145</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2444116</v>
      </c>
      <c r="D51" s="183"/>
      <c r="E51" s="183"/>
      <c r="F51" s="210"/>
      <c r="G51" s="184" t="s">
        <v>2091</v>
      </c>
    </row>
    <row r="52" spans="1:7" s="172" customFormat="1" ht="16.5" thickBot="1">
      <c r="A52" s="211" t="s">
        <v>2092</v>
      </c>
      <c r="B52" s="212"/>
      <c r="C52" s="213">
        <f ca="1">C31+C51</f>
        <v>16673910</v>
      </c>
      <c r="D52" s="212"/>
      <c r="E52" s="212"/>
      <c r="F52" s="212"/>
      <c r="G52" s="214"/>
    </row>
    <row r="55" spans="1:7" ht="15">
      <c r="B55" s="216" t="s">
        <v>2093</v>
      </c>
      <c r="C55" s="217"/>
    </row>
    <row r="56" spans="1:7">
      <c r="B56" s="219" t="s">
        <v>2094</v>
      </c>
      <c r="C56" s="220">
        <f ca="1">ROUND(C51/C52,3)</f>
        <v>0.14699999999999999</v>
      </c>
    </row>
    <row r="57" spans="1:7">
      <c r="B57" s="219" t="s">
        <v>2095</v>
      </c>
      <c r="C57" s="221">
        <f ca="1">1-C56</f>
        <v>0.85299999999999998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134193</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-134068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-134068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-4022</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-34523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-34523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134193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2823</v>
      </c>
      <c r="E1" s="2706" t="s">
        <v>1250</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13982500</v>
      </c>
      <c r="C2" s="2337"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20859</v>
      </c>
      <c r="C3" s="2337"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994646</v>
      </c>
      <c r="D5" s="2338" t="s">
        <v>2105</v>
      </c>
      <c r="E5" s="1214"/>
      <c r="F5" s="1383"/>
      <c r="G5" s="1238"/>
      <c r="H5" s="316">
        <v>1</v>
      </c>
      <c r="I5" s="317" t="s">
        <v>2104</v>
      </c>
      <c r="J5" s="318">
        <f ca="1">J6+J10+J12</f>
        <v>0</v>
      </c>
      <c r="K5" s="2338" t="s">
        <v>2105</v>
      </c>
      <c r="L5" s="1214"/>
      <c r="M5" s="1383"/>
    </row>
    <row r="6" spans="1:37" ht="18" customHeight="1">
      <c r="A6" s="1384" t="s">
        <v>2106</v>
      </c>
      <c r="B6" s="2025" t="s">
        <v>2107</v>
      </c>
      <c r="C6" s="318">
        <f>ROUND(F6*F8*F7*(1-F9),0)</f>
        <v>990930</v>
      </c>
      <c r="D6" s="80" t="s">
        <v>2800</v>
      </c>
      <c r="E6" s="319" t="s">
        <v>2108</v>
      </c>
      <c r="F6" s="320">
        <f>'数据-取费表'!B29</f>
        <v>4.5</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670.34</v>
      </c>
      <c r="G7" s="1238"/>
      <c r="H7" s="321"/>
      <c r="I7" s="322"/>
      <c r="J7" s="323"/>
      <c r="K7" s="324"/>
      <c r="L7" s="319" t="s">
        <v>2109</v>
      </c>
      <c r="M7" s="320">
        <f>IF('数据-取费表'!B41="",IF(D1="仅计算典型户型",'数据-取费表'!E5,'数据-取费表'!B5),'数据-取费表'!B41)</f>
        <v>670.34</v>
      </c>
    </row>
    <row r="8" spans="1:37" ht="18" customHeight="1">
      <c r="A8" s="1447"/>
      <c r="B8" s="322"/>
      <c r="C8" s="323"/>
      <c r="D8" s="324"/>
      <c r="E8" s="319" t="s">
        <v>2110</v>
      </c>
      <c r="F8" s="320">
        <f>'数据-取费表'!B42</f>
        <v>365</v>
      </c>
      <c r="G8" s="1238"/>
      <c r="H8" s="321"/>
      <c r="I8" s="322"/>
      <c r="J8" s="323"/>
      <c r="K8" s="324"/>
      <c r="L8" s="319" t="s">
        <v>2111</v>
      </c>
      <c r="M8" s="320">
        <f>'数据-取费表'!B42</f>
        <v>365</v>
      </c>
    </row>
    <row r="9" spans="1:37" ht="18" customHeight="1">
      <c r="A9" s="1447"/>
      <c r="B9" s="322"/>
      <c r="C9" s="323"/>
      <c r="D9" s="328"/>
      <c r="E9" s="319" t="s">
        <v>2112</v>
      </c>
      <c r="F9" s="329">
        <f>'数据-取费表'!B32</f>
        <v>0.1</v>
      </c>
      <c r="G9" s="1238"/>
      <c r="H9" s="321"/>
      <c r="I9" s="322"/>
      <c r="J9" s="1386"/>
      <c r="K9" s="95"/>
      <c r="L9" s="330" t="s">
        <v>2112</v>
      </c>
      <c r="M9" s="329">
        <f>'数据-取费表'!B38</f>
        <v>0</v>
      </c>
    </row>
    <row r="10" spans="1:37" ht="18" customHeight="1">
      <c r="A10" s="1384" t="s">
        <v>2113</v>
      </c>
      <c r="B10" s="2339" t="s">
        <v>2114</v>
      </c>
      <c r="C10" s="1385">
        <f ca="1">ROUND(IF(F10="押一",C6/12*F11,IF(F10="押二",C6/12*2*F11,IF(F10="押三",C6/12*3*F11,C11*F11))),0)</f>
        <v>3716</v>
      </c>
      <c r="D10" s="2340" t="s">
        <v>2808</v>
      </c>
      <c r="E10" s="330" t="s">
        <v>2115</v>
      </c>
      <c r="F10" s="2341" t="s">
        <v>2836</v>
      </c>
      <c r="G10" s="1238"/>
      <c r="H10" s="1384" t="s">
        <v>2113</v>
      </c>
      <c r="I10" s="2339" t="s">
        <v>2114</v>
      </c>
      <c r="J10" s="1385">
        <f ca="1">ROUND(IF(M10="押一",J6/12*M11,IF(M10="押二",J6/12*2*M11,IF(M10="押三",J6/12*3*M11,J11*M11))),0)</f>
        <v>0</v>
      </c>
      <c r="K10" s="80" t="s">
        <v>2808</v>
      </c>
      <c r="L10" s="330" t="s">
        <v>2115</v>
      </c>
      <c r="M10" s="2341"/>
    </row>
    <row r="11" spans="1:37" s="341" customFormat="1" ht="18" customHeight="1">
      <c r="A11" s="348"/>
      <c r="B11" s="2342" t="s">
        <v>2116</v>
      </c>
      <c r="C11" s="1418"/>
      <c r="D11" s="324"/>
      <c r="E11" s="330" t="s">
        <v>2117</v>
      </c>
      <c r="F11" s="331">
        <f ca="1">'数据-取费表'!B30</f>
        <v>1.4999999999999999E-2</v>
      </c>
      <c r="G11" s="1239"/>
      <c r="H11" s="325"/>
      <c r="I11" s="2342"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3" t="s">
        <v>2120</v>
      </c>
      <c r="C12" s="1425"/>
      <c r="D12" s="2344"/>
      <c r="E12" s="1431"/>
      <c r="F12" s="1426"/>
      <c r="G12" s="1238"/>
      <c r="H12" s="1424" t="s">
        <v>2119</v>
      </c>
      <c r="I12" s="2343" t="s">
        <v>2120</v>
      </c>
      <c r="J12" s="1425"/>
      <c r="K12" s="1441"/>
      <c r="L12" s="1431"/>
      <c r="M12" s="1442"/>
    </row>
    <row r="13" spans="1:37" s="341" customFormat="1" ht="18" customHeight="1" thickTop="1">
      <c r="A13" s="1420">
        <v>2</v>
      </c>
      <c r="B13" s="1421" t="s">
        <v>2121</v>
      </c>
      <c r="C13" s="327">
        <f ca="1">ROUND(C29*F13,0)</f>
        <v>2444116</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1876952</v>
      </c>
      <c r="D14" s="1888" t="s">
        <v>2126</v>
      </c>
      <c r="E14" s="1889"/>
      <c r="F14" s="979"/>
      <c r="G14" s="1239"/>
      <c r="H14" s="337" t="s">
        <v>2106</v>
      </c>
      <c r="I14" s="319" t="s">
        <v>2127</v>
      </c>
      <c r="J14" s="14">
        <f ca="1">C29</f>
        <v>3055145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71490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134068</v>
      </c>
      <c r="D17" s="319" t="s">
        <v>2140</v>
      </c>
      <c r="E17" s="319" t="s">
        <v>2141</v>
      </c>
      <c r="F17" s="16">
        <f>'数据-取费表'!E23</f>
        <v>200</v>
      </c>
      <c r="G17" s="1239"/>
      <c r="H17" s="337" t="s">
        <v>2142</v>
      </c>
      <c r="I17" s="319" t="s">
        <v>2143</v>
      </c>
      <c r="J17" s="14">
        <f ca="1">ROUND(IF(项目基本情况!B7="自然人",J5*M17,J18+J19+J20),0)</f>
        <v>25663</v>
      </c>
      <c r="K17" s="1888" t="s">
        <v>2144</v>
      </c>
      <c r="L17" s="1893" t="s">
        <v>2145</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28154</v>
      </c>
      <c r="D18" s="319" t="s">
        <v>2130</v>
      </c>
      <c r="E18" s="319" t="s">
        <v>2131</v>
      </c>
      <c r="F18" s="342">
        <f>'数据-取费表'!E24</f>
        <v>1.4999999999999999E-2</v>
      </c>
      <c r="G18" s="1238"/>
      <c r="H18" s="337" t="s">
        <v>2148</v>
      </c>
      <c r="I18" s="319" t="s">
        <v>2149</v>
      </c>
      <c r="J18" s="14">
        <f ca="1">IF(项目基本情况!B7="自然人","——",ROUND(J5*M18/(1+'数据-取费表'!F30),0))</f>
        <v>0</v>
      </c>
      <c r="K18" s="1893" t="s">
        <v>2150</v>
      </c>
      <c r="L18" s="319" t="s">
        <v>2131</v>
      </c>
      <c r="M18" s="342">
        <f>'数据-取费表'!E29</f>
        <v>5.6000000000000001E-2</v>
      </c>
    </row>
    <row r="19" spans="1:37" s="341" customFormat="1" ht="18" customHeight="1">
      <c r="A19" s="337" t="s">
        <v>2142</v>
      </c>
      <c r="B19" s="319" t="s">
        <v>2151</v>
      </c>
      <c r="C19" s="14">
        <f>SUM(C14:C18)</f>
        <v>2095483</v>
      </c>
      <c r="D19" s="56" t="s">
        <v>2152</v>
      </c>
      <c r="E19" s="1898"/>
      <c r="F19" s="16"/>
      <c r="G19" s="1239"/>
      <c r="H19" s="337" t="s">
        <v>2128</v>
      </c>
      <c r="I19" s="319" t="s">
        <v>2153</v>
      </c>
      <c r="J19" s="14">
        <f ca="1">IF(项目基本情况!B7="自然人","——",IF(K19="按租金收入计税",ROUND(J5*M19,1),ROUND(C29*M19*0.7,1)))</f>
        <v>25663.200000000001</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62864</v>
      </c>
      <c r="D20" s="344" t="s">
        <v>2156</v>
      </c>
      <c r="E20" s="319" t="s">
        <v>2157</v>
      </c>
      <c r="F20" s="342">
        <f>'数据-取费表'!E25</f>
        <v>0.03</v>
      </c>
      <c r="G20" s="1239"/>
      <c r="H20" s="337" t="s">
        <v>2134</v>
      </c>
      <c r="I20" s="80" t="s">
        <v>2158</v>
      </c>
      <c r="J20" s="15">
        <f>IF(项目基本情况!B7="自然人","——",ROUND(M20*M21,0))</f>
        <v>0</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45827</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76443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1.1000000000000001E-3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-71490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539587</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3055145</v>
      </c>
      <c r="D29" s="1433"/>
      <c r="E29" s="1431"/>
      <c r="F29" s="1434"/>
      <c r="G29" s="791"/>
      <c r="H29" s="356" t="s">
        <v>24</v>
      </c>
      <c r="I29" s="357" t="s">
        <v>2201</v>
      </c>
      <c r="J29" s="358">
        <f ca="1">ROUND(J26/(1+F40)^F41,0)</f>
        <v>0</v>
      </c>
      <c r="K29" s="359" t="s">
        <v>2202</v>
      </c>
      <c r="L29" s="360"/>
      <c r="M29" s="361">
        <f>IF(D1="仅计算典型户型",'数据-取费表'!E5,'数据-取费表'!B5)</f>
        <v>670.34</v>
      </c>
    </row>
    <row r="30" spans="1:37" ht="18" customHeight="1" thickTop="1">
      <c r="A30" s="1420" t="s">
        <v>14</v>
      </c>
      <c r="B30" s="1421" t="s">
        <v>2203</v>
      </c>
      <c r="C30" s="327">
        <f ca="1">ROUND(C31+C36+C37+C38,0)</f>
        <v>231845</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172405.5</v>
      </c>
      <c r="D31" s="1888" t="s">
        <v>2205</v>
      </c>
      <c r="E31" s="1893" t="s">
        <v>2206</v>
      </c>
      <c r="F31" s="343" t="str">
        <f>IF(项目基本情况!B7="企业","",IF('数据-取费表'!B10="住宅",5%,IF(F6*F7*F8/12/(1+'数据-取费表'!F30)&gt;20000,12%,7%)))</f>
        <v/>
      </c>
      <c r="G31" s="791"/>
      <c r="H31" s="1218"/>
      <c r="I31" s="1219"/>
      <c r="J31" s="1220"/>
      <c r="K31" s="1221"/>
      <c r="L31" s="1222"/>
      <c r="M31" s="1223"/>
    </row>
    <row r="32" spans="1:37" ht="18" customHeight="1">
      <c r="A32" s="337" t="s">
        <v>2124</v>
      </c>
      <c r="B32" s="319" t="s">
        <v>2207</v>
      </c>
      <c r="C32" s="14">
        <f ca="1">IF(项目基本情况!B7="自然人","——",ROUND(C5*F32/(1+'数据-取费表'!F30),0))</f>
        <v>53048</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f ca="1">IF(项目基本情况!B7="自然人","——",IF(D33="按租金收入计税",ROUND(C5*F33,1),IF(D33="按房产原值计税",ROUND(C29*F33*0.7,1),'数据-取费表'!B43)))</f>
        <v>119357.5</v>
      </c>
      <c r="D33" s="2014" t="s">
        <v>2846</v>
      </c>
      <c r="E33" s="319" t="s">
        <v>2131</v>
      </c>
      <c r="F33" s="342">
        <f>IF(D33="按票据","——",IF(D33="按租金收入计税",'数据-取费表'!E39,'数据-取费表'!E38))</f>
        <v>0.12</v>
      </c>
      <c r="G33" s="791"/>
      <c r="H33" s="1230"/>
      <c r="I33" s="363" t="s">
        <v>2209</v>
      </c>
      <c r="J33" s="364"/>
      <c r="K33" s="1231"/>
      <c r="L33" s="1230"/>
      <c r="M33" s="1230"/>
    </row>
    <row r="34" spans="1:18" ht="18" customHeight="1">
      <c r="A34" s="1384" t="s">
        <v>2134</v>
      </c>
      <c r="B34" s="80" t="s">
        <v>2158</v>
      </c>
      <c r="C34" s="15">
        <f>IF(项目基本情况!B7="自然人","——",ROUND(F34*F35,0))</f>
        <v>0</v>
      </c>
      <c r="D34" s="346" t="s">
        <v>2159</v>
      </c>
      <c r="E34" s="319" t="s">
        <v>2160</v>
      </c>
      <c r="F34" s="347">
        <f>'数据-取费表'!E40</f>
        <v>0</v>
      </c>
      <c r="G34" s="791"/>
      <c r="H34" s="1218"/>
      <c r="I34" s="365" t="s">
        <v>2210</v>
      </c>
      <c r="J34" s="366">
        <f ca="1">ROUND(C13*J35,0)</f>
        <v>195529</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45827</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3666</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9946</v>
      </c>
      <c r="D38" s="1433" t="s">
        <v>2178</v>
      </c>
      <c r="E38" s="1431" t="s">
        <v>2174</v>
      </c>
      <c r="F38" s="1426">
        <f>'数据-取费表'!B46</f>
        <v>0.01</v>
      </c>
      <c r="G38" s="791"/>
      <c r="H38" s="1230"/>
      <c r="I38" s="365" t="s">
        <v>2216</v>
      </c>
      <c r="J38" s="220">
        <f ca="1">ROUND(J34/C39,3)</f>
        <v>0.25600000000000001</v>
      </c>
      <c r="K38" s="1235"/>
      <c r="L38" s="1230"/>
      <c r="M38" s="1230"/>
    </row>
    <row r="39" spans="1:18" ht="18" customHeight="1" thickTop="1">
      <c r="A39" s="1420" t="s">
        <v>22</v>
      </c>
      <c r="B39" s="1435" t="s">
        <v>2217</v>
      </c>
      <c r="C39" s="327">
        <f ca="1">C5-C30</f>
        <v>762801</v>
      </c>
      <c r="D39" s="1436" t="s">
        <v>2218</v>
      </c>
      <c r="E39" s="1437"/>
      <c r="F39" s="1438"/>
      <c r="G39" s="791"/>
      <c r="H39" s="1230"/>
      <c r="I39" s="365" t="s">
        <v>2219</v>
      </c>
      <c r="J39" s="220">
        <f ca="1">1-J38</f>
        <v>0.74399999999999999</v>
      </c>
      <c r="K39" s="1235"/>
      <c r="L39" s="1230"/>
      <c r="M39" s="1230"/>
    </row>
    <row r="40" spans="1:18" s="791" customFormat="1" ht="18" customHeight="1">
      <c r="A40" s="316" t="s">
        <v>23</v>
      </c>
      <c r="B40" s="317" t="s">
        <v>2220</v>
      </c>
      <c r="C40" s="318">
        <f ca="1">ROUND(C39*(1-((1+F42)/(1+F40))^F41)/(F40-F42),0)</f>
        <v>13982500</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2837</v>
      </c>
      <c r="F41" s="355">
        <f>IF('数据-取费表'!B28="租赁期内按合同租金",'数据-取费表'!B34,IF(E41="收益年期(n)",'数据-取费表'!B33,'数据-取费表'!B13))</f>
        <v>27.54</v>
      </c>
      <c r="H41" s="1237"/>
      <c r="I41" s="219" t="s">
        <v>2094</v>
      </c>
      <c r="J41" s="220">
        <f ca="1">ROUND(C13/C40,3)</f>
        <v>0.17499999999999999</v>
      </c>
      <c r="K41" s="1234"/>
      <c r="L41" s="1237"/>
      <c r="M41" s="1237"/>
      <c r="Q41" s="795"/>
    </row>
    <row r="42" spans="1:18" s="791" customFormat="1" ht="18" customHeight="1">
      <c r="A42" s="325"/>
      <c r="B42" s="326"/>
      <c r="C42" s="327"/>
      <c r="D42" s="349"/>
      <c r="E42" s="319" t="s">
        <v>2198</v>
      </c>
      <c r="F42" s="329">
        <f>'数据-取费表'!B31</f>
        <v>0.02</v>
      </c>
      <c r="H42" s="1237"/>
      <c r="I42" s="219" t="s">
        <v>2095</v>
      </c>
      <c r="J42" s="221">
        <f ca="1">1-J41</f>
        <v>0.82499999999999996</v>
      </c>
      <c r="K42" s="1234"/>
      <c r="L42" s="1237"/>
      <c r="M42" s="1237"/>
      <c r="Q42" s="795"/>
    </row>
    <row r="43" spans="1:18" s="791" customFormat="1" ht="18" customHeight="1" thickBot="1">
      <c r="A43" s="356" t="s">
        <v>24</v>
      </c>
      <c r="B43" s="357" t="s">
        <v>2223</v>
      </c>
      <c r="C43" s="358">
        <f ca="1">ROUND(C40/F43,0)</f>
        <v>20859</v>
      </c>
      <c r="D43" s="359" t="s">
        <v>2224</v>
      </c>
      <c r="E43" s="360" t="s">
        <v>2225</v>
      </c>
      <c r="F43" s="361">
        <f>IF(D1="仅计算典型户型",'数据-取费表'!E5,'数据-取费表'!B5)</f>
        <v>670.34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955</v>
      </c>
      <c r="P45" s="1368" t="s">
        <v>2231</v>
      </c>
      <c r="Q45" s="1369">
        <f ca="1">C40+J29</f>
        <v>13982500</v>
      </c>
      <c r="R45" s="1370" t="s">
        <v>2232</v>
      </c>
    </row>
    <row r="46" spans="1:18" s="791" customFormat="1" ht="18" customHeight="1" thickBot="1">
      <c r="A46" s="776"/>
      <c r="D46" s="776"/>
      <c r="E46" s="776"/>
      <c r="F46" s="776"/>
      <c r="K46" s="792"/>
      <c r="O46" s="1367" t="s">
        <v>956</v>
      </c>
      <c r="P46" s="1368" t="s">
        <v>2233</v>
      </c>
      <c r="Q46" s="1369" t="str">
        <f>J61</f>
        <v>0</v>
      </c>
      <c r="R46" s="1370" t="s">
        <v>2234</v>
      </c>
    </row>
    <row r="47" spans="1:18" s="791" customFormat="1" ht="21.75" thickBot="1">
      <c r="A47" s="2345" t="s">
        <v>2235</v>
      </c>
      <c r="C47" s="1303">
        <f ca="1">IF(C2="元",C69-C40,ROUND((C69-C40)/10000,0))</f>
        <v>-18507740</v>
      </c>
      <c r="D47" s="2346" t="str">
        <f>C2</f>
        <v>元</v>
      </c>
      <c r="E47" s="776"/>
      <c r="F47" s="776"/>
      <c r="I47" s="2347" t="s">
        <v>2236</v>
      </c>
      <c r="J47" s="1343"/>
      <c r="K47" s="1344"/>
      <c r="L47" s="1357" t="str">
        <f>IF(M48="住宅",0,IF(L49&gt;J52,L61,J61))</f>
        <v>0</v>
      </c>
      <c r="O47" s="1371" t="s">
        <v>957</v>
      </c>
      <c r="P47" s="1368" t="s">
        <v>2237</v>
      </c>
      <c r="Q47" s="1369">
        <f ca="1">C29</f>
        <v>3055145</v>
      </c>
      <c r="R47" s="1370" t="s">
        <v>2232</v>
      </c>
    </row>
    <row r="48" spans="1:18" s="791" customFormat="1" ht="15.75" thickBot="1">
      <c r="A48" s="312" t="s">
        <v>2238</v>
      </c>
      <c r="B48" s="313" t="s">
        <v>2239</v>
      </c>
      <c r="C48" s="313" t="s">
        <v>2240</v>
      </c>
      <c r="D48" s="313" t="s">
        <v>2241</v>
      </c>
      <c r="E48" s="1297" t="s">
        <v>2242</v>
      </c>
      <c r="F48" s="1298"/>
      <c r="I48" s="2348" t="s">
        <v>2243</v>
      </c>
      <c r="J48" s="2349" t="s">
        <v>2840</v>
      </c>
      <c r="K48" s="2350" t="s">
        <v>2244</v>
      </c>
      <c r="L48" s="1345">
        <f>'数据-取费表'!B11</f>
        <v>40</v>
      </c>
      <c r="M48" s="1358" t="str">
        <f>IF('数据-取费表'!B10="住宅","住宅","非住宅")</f>
        <v>非住宅</v>
      </c>
      <c r="O48" s="1371" t="s">
        <v>958</v>
      </c>
      <c r="P48" s="1368" t="s">
        <v>2245</v>
      </c>
      <c r="Q48" s="1372" t="e">
        <f>J59</f>
        <v>#VALUE!</v>
      </c>
      <c r="R48" s="1370"/>
    </row>
    <row r="49" spans="1:18" s="791" customFormat="1" ht="15.75" thickBot="1">
      <c r="A49" s="1457" t="s">
        <v>1028</v>
      </c>
      <c r="B49" s="317" t="s">
        <v>2246</v>
      </c>
      <c r="C49" s="1458">
        <f ca="1">C50+C54+C56</f>
        <v>0</v>
      </c>
      <c r="D49" s="1459"/>
      <c r="E49" s="101"/>
      <c r="F49" s="16"/>
      <c r="I49" s="2351" t="s">
        <v>2247</v>
      </c>
      <c r="J49" s="2352" t="s">
        <v>2841</v>
      </c>
      <c r="K49" s="2353" t="s">
        <v>2248</v>
      </c>
      <c r="L49" s="1128">
        <f>'数据-取费表'!B13</f>
        <v>27.54</v>
      </c>
      <c r="O49" s="1371" t="s">
        <v>959</v>
      </c>
      <c r="P49" s="1368" t="s">
        <v>2249</v>
      </c>
      <c r="Q49" s="1372">
        <f>J53</f>
        <v>0</v>
      </c>
      <c r="R49" s="1370"/>
    </row>
    <row r="50" spans="1:18" s="791" customFormat="1" ht="15.75" thickBot="1">
      <c r="A50" s="345" t="s">
        <v>2106</v>
      </c>
      <c r="B50" s="2025" t="s">
        <v>2250</v>
      </c>
      <c r="C50" s="318">
        <f>ROUND(F50*F52*F51*(1-F53),0)</f>
        <v>0</v>
      </c>
      <c r="D50" s="93" t="s">
        <v>2801</v>
      </c>
      <c r="E50" s="2354" t="s">
        <v>2251</v>
      </c>
      <c r="F50" s="1299"/>
      <c r="I50" s="2351" t="s">
        <v>2252</v>
      </c>
      <c r="J50" s="1128">
        <f>'数据-取费表'!B26</f>
        <v>2005</v>
      </c>
      <c r="K50" s="2355" t="s">
        <v>2253</v>
      </c>
      <c r="L50" s="1346"/>
      <c r="O50" s="1371" t="s">
        <v>960</v>
      </c>
      <c r="P50" s="1368" t="s">
        <v>2254</v>
      </c>
      <c r="Q50" s="1369">
        <f>J54</f>
        <v>27.54</v>
      </c>
      <c r="R50" s="1370" t="s">
        <v>2255</v>
      </c>
    </row>
    <row r="51" spans="1:18" s="791" customFormat="1" ht="15.75" thickBot="1">
      <c r="A51" s="321"/>
      <c r="B51" s="322"/>
      <c r="C51" s="323"/>
      <c r="D51" s="324"/>
      <c r="E51" s="339" t="s">
        <v>2109</v>
      </c>
      <c r="F51" s="1296">
        <f>F7</f>
        <v>670.34</v>
      </c>
      <c r="I51" s="2351" t="s">
        <v>2256</v>
      </c>
      <c r="J51" s="1347">
        <f>SUMPRODUCT((I64:I66=J48)*(J63:L63=J49)*(J64:L66))</f>
        <v>60</v>
      </c>
      <c r="K51" s="2355" t="s">
        <v>2257</v>
      </c>
      <c r="L51" s="1346"/>
      <c r="O51" s="1367" t="s">
        <v>961</v>
      </c>
      <c r="P51" s="1368" t="str">
        <f>IF(C2="元","收益价值(元)","收益价值(万元)")</f>
        <v>收益价值(元)</v>
      </c>
      <c r="Q51" s="1369">
        <f ca="1">ROUND(IF(C2="元",Q45+Q46,(Q45+Q46)/10000),0)</f>
        <v>13982500</v>
      </c>
      <c r="R51" s="1370" t="s">
        <v>962</v>
      </c>
    </row>
    <row r="52" spans="1:18" s="791" customFormat="1" ht="16.5" thickBot="1">
      <c r="A52" s="321"/>
      <c r="B52" s="322"/>
      <c r="C52" s="323"/>
      <c r="D52" s="324"/>
      <c r="E52" s="319" t="s">
        <v>2111</v>
      </c>
      <c r="F52" s="320">
        <f>F8</f>
        <v>365</v>
      </c>
      <c r="I52" s="2356" t="s">
        <v>2258</v>
      </c>
      <c r="J52" s="1348">
        <f>IF(J50="",J51,J50+J51-YEAR('数据-取费表'!B2))</f>
        <v>48</v>
      </c>
      <c r="K52" s="2357" t="s">
        <v>2259</v>
      </c>
      <c r="L52" s="1349">
        <f ca="1">ROUND(-PV('数据-取费表'!B15,L49,(C40-C13*J35)),0)</f>
        <v>227640632</v>
      </c>
      <c r="O52" s="1361" t="s">
        <v>2260</v>
      </c>
      <c r="P52" s="1362"/>
      <c r="Q52" s="1358"/>
      <c r="R52" s="1362"/>
    </row>
    <row r="53" spans="1:18" s="791" customFormat="1" ht="15.75" thickBot="1">
      <c r="A53" s="325"/>
      <c r="B53" s="326"/>
      <c r="C53" s="327"/>
      <c r="D53" s="328"/>
      <c r="E53" s="319" t="s">
        <v>2112</v>
      </c>
      <c r="F53" s="1356"/>
      <c r="I53" s="2358" t="s">
        <v>2261</v>
      </c>
      <c r="J53" s="1350"/>
      <c r="K53" s="2358" t="s">
        <v>2262</v>
      </c>
      <c r="L53" s="1350"/>
      <c r="O53" s="1363" t="s">
        <v>2227</v>
      </c>
      <c r="P53" s="1364" t="s">
        <v>2228</v>
      </c>
      <c r="Q53" s="1365" t="s">
        <v>2229</v>
      </c>
      <c r="R53" s="1366" t="s">
        <v>2230</v>
      </c>
    </row>
    <row r="54" spans="1:18" s="791" customFormat="1" ht="29.25" customHeight="1" thickBot="1">
      <c r="A54" s="1384" t="s">
        <v>2113</v>
      </c>
      <c r="B54" s="2339" t="s">
        <v>2114</v>
      </c>
      <c r="C54" s="1385">
        <f ca="1">ROUND(IF(F54="押一",C50/12*F11,IF(F54="押二",C50/12*2*F11,IF(F54="押三",C50/12*3*F11,C55*F11))),0)</f>
        <v>0</v>
      </c>
      <c r="D54" s="2340" t="s">
        <v>2809</v>
      </c>
      <c r="E54" s="330" t="s">
        <v>2115</v>
      </c>
      <c r="F54" s="2341"/>
      <c r="I54" s="2731" t="s">
        <v>2811</v>
      </c>
      <c r="J54" s="1351">
        <f>IF(M48="住宅",IF(E1="——",MAX(J52,L49),IF(E1="在建（套用方法）",MAX(J52,L49-'数据-取费表'!B25),MAX(J52,L49-'数据-取费表'!B21))),IF(E1="——",MIN(J52,L49),IF(E1="在建（套用方法）",MIN(J52,L49-'数据-取费表'!B25),IF(E1="土地（套用方法）",MIN(J52,L49-'数据-取费表'!B21)))))</f>
        <v>27.54</v>
      </c>
      <c r="K54" s="2970" t="s">
        <v>2799</v>
      </c>
      <c r="L54" s="2971"/>
      <c r="O54" s="1367" t="s">
        <v>955</v>
      </c>
      <c r="P54" s="1368" t="s">
        <v>2231</v>
      </c>
      <c r="Q54" s="1369">
        <f ca="1">C40+J29</f>
        <v>13982500</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2263</v>
      </c>
      <c r="Q55" s="1369">
        <f>L61</f>
        <v>0</v>
      </c>
      <c r="R55" s="1370" t="s">
        <v>2264</v>
      </c>
    </row>
    <row r="56" spans="1:18" s="791" customFormat="1" ht="20.25" thickBot="1">
      <c r="A56" s="1424" t="s">
        <v>2119</v>
      </c>
      <c r="B56" s="2343" t="s">
        <v>2120</v>
      </c>
      <c r="C56" s="1425"/>
      <c r="D56" s="1441"/>
      <c r="E56" s="2362"/>
      <c r="F56" s="1501"/>
      <c r="I56" s="2363" t="s">
        <v>2265</v>
      </c>
      <c r="J56" s="1871" t="e">
        <f>ROUND(IF(J48="钢混",J58/J51,1-(1-2%)*(J51-J58)/J51),3)</f>
        <v>#VALUE!</v>
      </c>
      <c r="K56" s="2364" t="s">
        <v>2266</v>
      </c>
      <c r="L56" s="1352"/>
      <c r="O56" s="1371" t="s">
        <v>957</v>
      </c>
      <c r="P56" s="1368" t="s">
        <v>2267</v>
      </c>
      <c r="Q56" s="1369">
        <f>IF(L56="比较法",L50,IF(L56="基准地价",L51,0))</f>
        <v>0</v>
      </c>
      <c r="R56" s="1370" t="s">
        <v>2232</v>
      </c>
    </row>
    <row r="57" spans="1:18" s="791" customFormat="1" ht="44.25" thickTop="1" thickBot="1">
      <c r="A57" s="1420">
        <v>2</v>
      </c>
      <c r="B57" s="1421" t="s">
        <v>2121</v>
      </c>
      <c r="C57" s="1500">
        <f ca="1">C13</f>
        <v>2444116</v>
      </c>
      <c r="D57" s="1294"/>
      <c r="E57" s="1295"/>
      <c r="F57" s="1302"/>
      <c r="I57" s="2365" t="s">
        <v>2268</v>
      </c>
      <c r="J57" s="1355" t="s">
        <v>2838</v>
      </c>
      <c r="K57" s="2351" t="s">
        <v>2269</v>
      </c>
      <c r="L57" s="1128" t="str">
        <f>IF(L49&lt;J52,"——",L49-J52)</f>
        <v>——</v>
      </c>
      <c r="O57" s="1371" t="s">
        <v>958</v>
      </c>
      <c r="P57" s="1368" t="s">
        <v>2270</v>
      </c>
      <c r="Q57" s="1372">
        <f>L53</f>
        <v>0</v>
      </c>
      <c r="R57" s="1370"/>
    </row>
    <row r="58" spans="1:18" s="791" customFormat="1" ht="29.25" thickBot="1">
      <c r="A58" s="1301"/>
      <c r="B58" s="319" t="s">
        <v>2200</v>
      </c>
      <c r="C58" s="188">
        <f ca="1">C29</f>
        <v>3055145</v>
      </c>
      <c r="D58" s="1294"/>
      <c r="E58" s="1295"/>
      <c r="F58" s="1302"/>
      <c r="I58" s="2366" t="s">
        <v>2271</v>
      </c>
      <c r="J58" s="1354" t="str">
        <f>IF(OR(M48="住宅",J52&lt;L49,J57="是"),"——",J52-L49)</f>
        <v>——</v>
      </c>
      <c r="K58" s="2351" t="s">
        <v>2272</v>
      </c>
      <c r="L58" s="1128" t="str">
        <f>IF(L49&lt;J52,"——",IF(L56="比较法",L50,IF(L56="基准地价",L51,L52)))</f>
        <v>——</v>
      </c>
      <c r="O58" s="1371" t="s">
        <v>959</v>
      </c>
      <c r="P58" s="1368" t="s">
        <v>2273</v>
      </c>
      <c r="Q58" s="1369" t="e">
        <f>L59</f>
        <v>#DIV/0!</v>
      </c>
      <c r="R58" s="1370" t="s">
        <v>2274</v>
      </c>
    </row>
    <row r="59" spans="1:18" s="791" customFormat="1" ht="29.25" thickBot="1">
      <c r="A59" s="332" t="s">
        <v>14</v>
      </c>
      <c r="B59" s="333" t="s">
        <v>2203</v>
      </c>
      <c r="C59" s="334">
        <f ca="1">ROUND(C60+C65+C66+C67,0)</f>
        <v>306125</v>
      </c>
      <c r="D59" s="12" t="s">
        <v>2204</v>
      </c>
      <c r="E59" s="1898"/>
      <c r="F59" s="16"/>
      <c r="I59" s="2366" t="s">
        <v>2275</v>
      </c>
      <c r="J59" s="1870" t="e">
        <f>IF(J56&lt;0.4,0.4,J56)</f>
        <v>#VALUE!</v>
      </c>
      <c r="K59" s="2357" t="s">
        <v>2276</v>
      </c>
      <c r="L59" s="1128" t="e">
        <f>ROUND(POWER(1+L53,L48-L49)*(POWER(1+L53,L49)-1)/(POWER(1+L53,L48)-1),4)</f>
        <v>#DIV/0!</v>
      </c>
      <c r="O59" s="1371" t="s">
        <v>960</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256632.2</v>
      </c>
      <c r="D60" s="1888" t="s">
        <v>2205</v>
      </c>
      <c r="E60" s="1893" t="s">
        <v>2206</v>
      </c>
      <c r="F60" s="343" t="str">
        <f>IF(项目基本情况!B7="企业","",IF('数据-取费表'!B10="住宅",5%,IF(F50*F51*F52/12/(1+'数据-取费表'!F30)&gt;20000,12%,7%)))</f>
        <v/>
      </c>
      <c r="I60" s="2366" t="s">
        <v>2278</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13982500</v>
      </c>
      <c r="R60" s="1370" t="s">
        <v>962</v>
      </c>
    </row>
    <row r="61" spans="1:18" s="791" customFormat="1" ht="16.5" thickBot="1">
      <c r="A61" s="337" t="s">
        <v>16</v>
      </c>
      <c r="B61" s="319" t="s">
        <v>2207</v>
      </c>
      <c r="C61" s="14">
        <f ca="1">IF(项目基本情况!B7="自然人","——",ROUND(C49*F61/(1+'数据-取费表'!F30),0))</f>
        <v>0</v>
      </c>
      <c r="D61" s="1893" t="s">
        <v>2208</v>
      </c>
      <c r="E61" s="319" t="s">
        <v>2157</v>
      </c>
      <c r="F61" s="352">
        <f t="shared" ref="F61:F67" si="0">F32</f>
        <v>5.6000000000000001E-2</v>
      </c>
      <c r="I61" s="2367" t="s">
        <v>2279</v>
      </c>
      <c r="J61" s="1353" t="str">
        <f>IF(OR(M48="住宅",J52&lt;L49,J57="是"),"0",ROUND(J60/(1+J53)^J54,0))</f>
        <v>0</v>
      </c>
      <c r="K61" s="2368" t="s">
        <v>2280</v>
      </c>
      <c r="L61" s="1353">
        <f>IF(OR(M48="住宅",L49&lt;J52),0,ROUND(L58*(L59/L60-1),0))</f>
        <v>0</v>
      </c>
      <c r="O61" s="1361" t="s">
        <v>2281</v>
      </c>
      <c r="P61" s="1362"/>
      <c r="Q61" s="1358"/>
      <c r="R61" s="1362"/>
    </row>
    <row r="62" spans="1:18" s="791" customFormat="1" ht="15.75" thickBot="1">
      <c r="A62" s="337" t="s">
        <v>17</v>
      </c>
      <c r="B62" s="319" t="s">
        <v>2282</v>
      </c>
      <c r="C62" s="14">
        <f ca="1">IF(项目基本情况!B7="自然人","——",IF(D62="按租金收入计税",ROUND(C49*F62,1),IF(D62="按房产原值计税",ROUND(C58*F62*0.7,1),'数据-取费表'!B43)))</f>
        <v>256632.2</v>
      </c>
      <c r="D62" s="2014" t="s">
        <v>2154</v>
      </c>
      <c r="E62" s="319" t="s">
        <v>2157</v>
      </c>
      <c r="F62" s="342">
        <f t="shared" si="0"/>
        <v>0.12</v>
      </c>
      <c r="O62" s="1363" t="s">
        <v>2227</v>
      </c>
      <c r="P62" s="1364" t="s">
        <v>2228</v>
      </c>
      <c r="Q62" s="1365" t="s">
        <v>2229</v>
      </c>
      <c r="R62" s="1366" t="s">
        <v>2230</v>
      </c>
    </row>
    <row r="63" spans="1:18" s="791" customFormat="1" ht="15.75" thickBot="1">
      <c r="A63" s="345" t="s">
        <v>18</v>
      </c>
      <c r="B63" s="80" t="s">
        <v>2283</v>
      </c>
      <c r="C63" s="15">
        <f>IF(项目基本情况!B7="自然人","——",ROUND(F63*F64,0))</f>
        <v>0</v>
      </c>
      <c r="D63" s="346" t="s">
        <v>2284</v>
      </c>
      <c r="E63" s="319" t="s">
        <v>2285</v>
      </c>
      <c r="F63" s="347">
        <f t="shared" si="0"/>
        <v>0</v>
      </c>
      <c r="I63" s="2369" t="s">
        <v>2286</v>
      </c>
      <c r="J63" s="1874" t="s">
        <v>2287</v>
      </c>
      <c r="K63" s="1874" t="s">
        <v>2288</v>
      </c>
      <c r="L63" s="1874" t="s">
        <v>2289</v>
      </c>
      <c r="M63" s="1873" t="s">
        <v>2290</v>
      </c>
      <c r="O63" s="1367" t="s">
        <v>955</v>
      </c>
      <c r="P63" s="1368" t="s">
        <v>2231</v>
      </c>
      <c r="Q63" s="1369">
        <f ca="1">C40+J29</f>
        <v>13982500</v>
      </c>
      <c r="R63" s="1370" t="s">
        <v>2232</v>
      </c>
    </row>
    <row r="64" spans="1:18" s="791" customFormat="1" ht="20.25" thickBot="1">
      <c r="A64" s="348"/>
      <c r="B64" s="328"/>
      <c r="C64" s="19"/>
      <c r="D64" s="349"/>
      <c r="E64" s="319" t="s">
        <v>2291</v>
      </c>
      <c r="F64" s="320">
        <f t="shared" si="0"/>
        <v>0</v>
      </c>
      <c r="I64" s="2369" t="s">
        <v>2292</v>
      </c>
      <c r="J64" s="1874">
        <v>70</v>
      </c>
      <c r="K64" s="1874">
        <v>50</v>
      </c>
      <c r="L64" s="1874">
        <v>80</v>
      </c>
      <c r="M64" s="1872">
        <v>0.02</v>
      </c>
      <c r="O64" s="1367" t="s">
        <v>956</v>
      </c>
      <c r="P64" s="1368" t="s">
        <v>2263</v>
      </c>
      <c r="Q64" s="1369">
        <f>L61</f>
        <v>0</v>
      </c>
      <c r="R64" s="1370" t="s">
        <v>2264</v>
      </c>
    </row>
    <row r="65" spans="1:18" s="791" customFormat="1" ht="23.25" thickBot="1">
      <c r="A65" s="337" t="s">
        <v>19</v>
      </c>
      <c r="B65" s="319" t="s">
        <v>2212</v>
      </c>
      <c r="C65" s="14">
        <f ca="1">ROUND(C58*F65,0)</f>
        <v>45827</v>
      </c>
      <c r="D65" s="1893" t="s">
        <v>2213</v>
      </c>
      <c r="E65" s="319" t="s">
        <v>2157</v>
      </c>
      <c r="F65" s="350">
        <f t="shared" si="0"/>
        <v>1.4999999999999999E-2</v>
      </c>
      <c r="I65" s="2369" t="s">
        <v>2293</v>
      </c>
      <c r="J65" s="1874">
        <v>50</v>
      </c>
      <c r="K65" s="1874">
        <v>35</v>
      </c>
      <c r="L65" s="1874">
        <v>60</v>
      </c>
      <c r="M65" s="1873">
        <v>0</v>
      </c>
      <c r="O65" s="1371" t="s">
        <v>957</v>
      </c>
      <c r="P65" s="1368" t="s">
        <v>2267</v>
      </c>
      <c r="Q65" s="1373">
        <f ca="1">L52</f>
        <v>227640632</v>
      </c>
      <c r="R65" s="1374" t="s">
        <v>2294</v>
      </c>
    </row>
    <row r="66" spans="1:18" s="791" customFormat="1" ht="20.25" thickBot="1">
      <c r="A66" s="337" t="s">
        <v>20</v>
      </c>
      <c r="B66" s="319" t="s">
        <v>2172</v>
      </c>
      <c r="C66" s="14">
        <f ca="1">ROUND(C57*F66,0)</f>
        <v>3666</v>
      </c>
      <c r="D66" s="1893" t="s">
        <v>2173</v>
      </c>
      <c r="E66" s="319" t="s">
        <v>2174</v>
      </c>
      <c r="F66" s="351">
        <f t="shared" si="0"/>
        <v>1.5E-3</v>
      </c>
      <c r="I66" s="2369" t="s">
        <v>2295</v>
      </c>
      <c r="J66" s="1874">
        <v>40</v>
      </c>
      <c r="K66" s="1874">
        <v>30</v>
      </c>
      <c r="L66" s="1874">
        <v>50</v>
      </c>
      <c r="M66" s="1872">
        <v>0.02</v>
      </c>
      <c r="O66" s="1371" t="s">
        <v>958</v>
      </c>
      <c r="P66" s="1375" t="s">
        <v>2296</v>
      </c>
      <c r="Q66" s="1369">
        <f ca="1">ROUND(Q67-Q68*Q69,0)</f>
        <v>567272</v>
      </c>
      <c r="R66" s="1370"/>
    </row>
    <row r="67" spans="1:18" s="791" customFormat="1" ht="15.75" thickBot="1">
      <c r="A67" s="337" t="s">
        <v>21</v>
      </c>
      <c r="B67" s="319" t="s">
        <v>2155</v>
      </c>
      <c r="C67" s="14">
        <f ca="1">ROUND(C49*F67,0)</f>
        <v>0</v>
      </c>
      <c r="D67" s="1893" t="s">
        <v>2178</v>
      </c>
      <c r="E67" s="319" t="s">
        <v>2174</v>
      </c>
      <c r="F67" s="329">
        <f t="shared" si="0"/>
        <v>0.01</v>
      </c>
      <c r="O67" s="1371" t="s">
        <v>963</v>
      </c>
      <c r="P67" s="1375" t="s">
        <v>2297</v>
      </c>
      <c r="Q67" s="1369">
        <f ca="1">C39</f>
        <v>762801</v>
      </c>
      <c r="R67" s="1370" t="s">
        <v>2232</v>
      </c>
    </row>
    <row r="68" spans="1:18" ht="15.75" thickBot="1">
      <c r="A68" s="332" t="s">
        <v>22</v>
      </c>
      <c r="B68" s="89" t="s">
        <v>2182</v>
      </c>
      <c r="C68" s="334">
        <f ca="1">C49-C59</f>
        <v>-306125</v>
      </c>
      <c r="D68" s="1888" t="s">
        <v>2183</v>
      </c>
      <c r="E68" s="1892"/>
      <c r="F68" s="353"/>
      <c r="H68" s="791"/>
      <c r="I68" s="791"/>
      <c r="J68" s="791"/>
      <c r="K68" s="791"/>
      <c r="L68" s="791"/>
      <c r="M68" s="791"/>
      <c r="O68" s="1371" t="s">
        <v>964</v>
      </c>
      <c r="P68" s="1375" t="s">
        <v>2298</v>
      </c>
      <c r="Q68" s="1369">
        <f ca="1">C13</f>
        <v>2444116</v>
      </c>
      <c r="R68" s="1370" t="s">
        <v>2232</v>
      </c>
    </row>
    <row r="69" spans="1:18" ht="15.75" thickBot="1">
      <c r="A69" s="316" t="s">
        <v>23</v>
      </c>
      <c r="B69" s="317" t="s">
        <v>2220</v>
      </c>
      <c r="C69" s="318">
        <f ca="1">ROUND(C68*(1-((1+F71)/(1+F69))^F70)/(F69-F71),0)</f>
        <v>-4525240</v>
      </c>
      <c r="D69" s="346" t="s">
        <v>2188</v>
      </c>
      <c r="E69" s="319" t="s">
        <v>2189</v>
      </c>
      <c r="F69" s="329">
        <f>F40</f>
        <v>0.05</v>
      </c>
      <c r="H69" s="791"/>
      <c r="I69" s="791"/>
      <c r="J69" s="791"/>
      <c r="K69" s="791"/>
      <c r="L69" s="791"/>
      <c r="M69" s="791"/>
      <c r="O69" s="1371" t="s">
        <v>965</v>
      </c>
      <c r="P69" s="1375" t="s">
        <v>2299</v>
      </c>
      <c r="Q69" s="1372">
        <f>J35</f>
        <v>0.08</v>
      </c>
      <c r="R69" s="1370"/>
    </row>
    <row r="70" spans="1:18" ht="15.75" thickBot="1">
      <c r="A70" s="321"/>
      <c r="B70" s="322"/>
      <c r="C70" s="323"/>
      <c r="D70" s="354" t="s">
        <v>2222</v>
      </c>
      <c r="E70" s="319" t="s">
        <v>2194</v>
      </c>
      <c r="F70" s="355">
        <f>F41</f>
        <v>27.54</v>
      </c>
      <c r="H70" s="791"/>
      <c r="I70" s="791"/>
      <c r="J70" s="791"/>
      <c r="K70" s="791"/>
      <c r="L70" s="791"/>
      <c r="M70" s="791"/>
      <c r="O70" s="1371" t="s">
        <v>959</v>
      </c>
      <c r="P70" s="1368" t="s">
        <v>2270</v>
      </c>
      <c r="Q70" s="1372">
        <f>L53</f>
        <v>0</v>
      </c>
      <c r="R70" s="1370"/>
    </row>
    <row r="71" spans="1:18" ht="20.25" thickBot="1">
      <c r="A71" s="325"/>
      <c r="B71" s="326"/>
      <c r="C71" s="327"/>
      <c r="D71" s="349"/>
      <c r="E71" s="319" t="s">
        <v>2198</v>
      </c>
      <c r="F71" s="1356"/>
      <c r="H71" s="791"/>
      <c r="M71" s="791"/>
      <c r="O71" s="1371" t="s">
        <v>960</v>
      </c>
      <c r="P71" s="1368" t="s">
        <v>2273</v>
      </c>
      <c r="Q71" s="1369" t="e">
        <f>L59</f>
        <v>#DIV/0!</v>
      </c>
      <c r="R71" s="1370" t="s">
        <v>2274</v>
      </c>
    </row>
    <row r="72" spans="1:18" ht="15.75" thickBot="1">
      <c r="A72" s="356" t="s">
        <v>24</v>
      </c>
      <c r="B72" s="357" t="s">
        <v>2223</v>
      </c>
      <c r="C72" s="358">
        <f ca="1">ROUND(C69/F72,0)</f>
        <v>-6751</v>
      </c>
      <c r="D72" s="359" t="s">
        <v>2224</v>
      </c>
      <c r="E72" s="360" t="s">
        <v>2225</v>
      </c>
      <c r="F72" s="361">
        <f>F43</f>
        <v>670.34</v>
      </c>
      <c r="O72" s="1371" t="s">
        <v>966</v>
      </c>
      <c r="P72" s="1368" t="str">
        <f>K60</f>
        <v>建筑物剩余耐用年限下的土地年期修正系数Kn</v>
      </c>
      <c r="Q72" s="1369" t="e">
        <f>L60</f>
        <v>#DIV/0!</v>
      </c>
      <c r="R72" s="1370" t="s">
        <v>2277</v>
      </c>
    </row>
    <row r="73" spans="1:18" ht="15.75" thickBot="1">
      <c r="A73" s="791"/>
      <c r="B73" s="795"/>
      <c r="C73" s="795"/>
      <c r="D73" s="791"/>
      <c r="E73" s="791"/>
      <c r="F73" s="791"/>
      <c r="O73" s="1367" t="s">
        <v>961</v>
      </c>
      <c r="P73" s="1368" t="str">
        <f>IF(C2="元","收益价值(元)","收益价值(万元)")</f>
        <v>收益价值(元)</v>
      </c>
      <c r="Q73" s="1369">
        <f ca="1">ROUND(IF(C2="元",Q63+Q64,(Q63+Q64)/10000),0)</f>
        <v>13982500</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9" t="s">
        <v>973</v>
      </c>
      <c r="E2" s="1389" t="s">
        <v>974</v>
      </c>
      <c r="F2" s="1389" t="s">
        <v>975</v>
      </c>
      <c r="G2" s="1389" t="s">
        <v>976</v>
      </c>
      <c r="H2" s="1389" t="s">
        <v>977</v>
      </c>
      <c r="I2" s="1390" t="s">
        <v>978</v>
      </c>
    </row>
    <row r="3" spans="1:9">
      <c r="A3" s="2978"/>
      <c r="B3" s="2979" t="s">
        <v>979</v>
      </c>
      <c r="C3" s="2979"/>
      <c r="D3" s="1391"/>
      <c r="E3" s="1389"/>
      <c r="F3" s="1392"/>
      <c r="G3" s="1392"/>
      <c r="H3" s="1393"/>
      <c r="I3" s="1394">
        <f>ROUND(D3*E3*F3*G3*H3/10000,0)</f>
        <v>0</v>
      </c>
    </row>
    <row r="4" spans="1:9">
      <c r="A4" s="2978"/>
      <c r="B4" s="2979" t="s">
        <v>980</v>
      </c>
      <c r="C4" s="2979"/>
      <c r="D4" s="1391"/>
      <c r="E4" s="1389"/>
      <c r="F4" s="1392"/>
      <c r="G4" s="1392"/>
      <c r="H4" s="1393"/>
      <c r="I4" s="1394">
        <f t="shared" ref="I4:I9" si="0">ROUND(D4*E4*F4*G4*H4/10000,0)</f>
        <v>0</v>
      </c>
    </row>
    <row r="5" spans="1:9">
      <c r="A5" s="2978"/>
      <c r="B5" s="2979" t="s">
        <v>981</v>
      </c>
      <c r="C5" s="2979"/>
      <c r="D5" s="1391"/>
      <c r="E5" s="1389"/>
      <c r="F5" s="1392"/>
      <c r="G5" s="1392"/>
      <c r="H5" s="1393"/>
      <c r="I5" s="1394">
        <f t="shared" si="0"/>
        <v>0</v>
      </c>
    </row>
    <row r="6" spans="1:9">
      <c r="A6" s="2978"/>
      <c r="B6" s="2979" t="s">
        <v>982</v>
      </c>
      <c r="C6" s="2979"/>
      <c r="D6" s="1391"/>
      <c r="E6" s="1389"/>
      <c r="F6" s="1392"/>
      <c r="G6" s="1392"/>
      <c r="H6" s="1393"/>
      <c r="I6" s="1394">
        <f t="shared" si="0"/>
        <v>0</v>
      </c>
    </row>
    <row r="7" spans="1:9">
      <c r="A7" s="2978"/>
      <c r="B7" s="2979" t="s">
        <v>983</v>
      </c>
      <c r="C7" s="2979"/>
      <c r="D7" s="1391"/>
      <c r="E7" s="1389"/>
      <c r="F7" s="1392"/>
      <c r="G7" s="1392"/>
      <c r="H7" s="1393"/>
      <c r="I7" s="1394">
        <f t="shared" si="0"/>
        <v>0</v>
      </c>
    </row>
    <row r="8" spans="1:9">
      <c r="A8" s="2978"/>
      <c r="B8" s="2979" t="s">
        <v>984</v>
      </c>
      <c r="C8" s="2979"/>
      <c r="D8" s="1391"/>
      <c r="E8" s="1389"/>
      <c r="F8" s="1392"/>
      <c r="G8" s="1392"/>
      <c r="H8" s="1393"/>
      <c r="I8" s="1394">
        <f t="shared" si="0"/>
        <v>0</v>
      </c>
    </row>
    <row r="9" spans="1:9">
      <c r="A9" s="2978"/>
      <c r="B9" s="2979" t="s">
        <v>985</v>
      </c>
      <c r="C9" s="2979"/>
      <c r="D9" s="1391"/>
      <c r="E9" s="1389"/>
      <c r="F9" s="1392"/>
      <c r="G9" s="1392"/>
      <c r="H9" s="1393"/>
      <c r="I9" s="1394">
        <f t="shared" si="0"/>
        <v>0</v>
      </c>
    </row>
    <row r="10" spans="1:9">
      <c r="A10" s="2978"/>
      <c r="B10" s="2980" t="s">
        <v>986</v>
      </c>
      <c r="C10" s="2980"/>
      <c r="D10" s="1395">
        <v>527</v>
      </c>
      <c r="E10" s="1395" t="e">
        <f>ROUND(D1*10000/D10/H9,0)</f>
        <v>#DIV/0!</v>
      </c>
      <c r="F10" s="1396"/>
      <c r="G10" s="1396"/>
      <c r="H10" s="1397"/>
      <c r="I10" s="1398">
        <f>SUM(I3:I9)</f>
        <v>0</v>
      </c>
    </row>
    <row r="11" spans="1:9" ht="14.25">
      <c r="A11" s="2978" t="s">
        <v>1024</v>
      </c>
      <c r="B11" s="2979" t="s">
        <v>987</v>
      </c>
      <c r="C11" s="2979"/>
      <c r="D11" s="1391" t="s">
        <v>988</v>
      </c>
      <c r="E11" s="1391" t="s">
        <v>989</v>
      </c>
      <c r="F11" s="1392" t="s">
        <v>990</v>
      </c>
      <c r="G11" s="1392" t="s">
        <v>977</v>
      </c>
      <c r="H11" s="1399" t="s">
        <v>991</v>
      </c>
      <c r="I11" s="1390" t="s">
        <v>978</v>
      </c>
    </row>
    <row r="12" spans="1:9">
      <c r="A12" s="2978"/>
      <c r="B12" s="2979" t="s">
        <v>992</v>
      </c>
      <c r="C12" s="2979"/>
      <c r="D12" s="1391"/>
      <c r="E12" s="1391"/>
      <c r="F12" s="1392"/>
      <c r="G12" s="1393"/>
      <c r="H12" s="1400"/>
      <c r="I12" s="1390">
        <f>ROUND(D12*E12*F12*G12/10000,0)</f>
        <v>0</v>
      </c>
    </row>
    <row r="13" spans="1:9">
      <c r="A13" s="2978"/>
      <c r="B13" s="2979" t="s">
        <v>993</v>
      </c>
      <c r="C13" s="2979"/>
      <c r="D13" s="1391"/>
      <c r="E13" s="1391"/>
      <c r="F13" s="1392"/>
      <c r="G13" s="1393"/>
      <c r="H13" s="1400"/>
      <c r="I13" s="1390">
        <f>ROUND(D13*E13*F13*G13/10000,0)</f>
        <v>0</v>
      </c>
    </row>
    <row r="14" spans="1:9">
      <c r="A14" s="2978"/>
      <c r="B14" s="2979" t="s">
        <v>994</v>
      </c>
      <c r="C14" s="2979"/>
      <c r="D14" s="1391"/>
      <c r="E14" s="1391"/>
      <c r="F14" s="1392"/>
      <c r="G14" s="1393"/>
      <c r="H14" s="1400"/>
      <c r="I14" s="1390">
        <f>ROUND(D14*E14*F14*G14/10000,0)</f>
        <v>0</v>
      </c>
    </row>
    <row r="15" spans="1:9">
      <c r="A15" s="2978"/>
      <c r="B15" s="2980" t="s">
        <v>986</v>
      </c>
      <c r="C15" s="2980"/>
      <c r="D15" s="1395"/>
      <c r="E15" s="1395">
        <f>SUM(E12:E14)</f>
        <v>0</v>
      </c>
      <c r="F15" s="1396"/>
      <c r="G15" s="1393"/>
      <c r="H15" s="1400"/>
      <c r="I15" s="1401">
        <f>SUM(I12:I14)</f>
        <v>0</v>
      </c>
    </row>
    <row r="16" spans="1:9" ht="24">
      <c r="A16" s="2978" t="s">
        <v>1025</v>
      </c>
      <c r="B16" s="2979" t="s">
        <v>995</v>
      </c>
      <c r="C16" s="2979"/>
      <c r="D16" s="1391" t="s">
        <v>973</v>
      </c>
      <c r="E16" s="1402" t="s">
        <v>996</v>
      </c>
      <c r="F16" s="1392" t="s">
        <v>997</v>
      </c>
      <c r="G16" s="1393" t="s">
        <v>977</v>
      </c>
      <c r="H16" s="1399" t="s">
        <v>991</v>
      </c>
      <c r="I16" s="1390" t="s">
        <v>978</v>
      </c>
    </row>
    <row r="17" spans="1:9" ht="14.25">
      <c r="A17" s="2978"/>
      <c r="B17" s="2979" t="s">
        <v>998</v>
      </c>
      <c r="C17" s="2979"/>
      <c r="D17" s="1391"/>
      <c r="E17" s="1391"/>
      <c r="F17" s="1392"/>
      <c r="G17" s="1393"/>
      <c r="H17" s="1403"/>
      <c r="I17" s="1404">
        <f>ROUND(D17*E17*F17*G17/10000,0)</f>
        <v>0</v>
      </c>
    </row>
    <row r="18" spans="1:9" ht="14.25">
      <c r="A18" s="2978"/>
      <c r="B18" s="2979" t="s">
        <v>999</v>
      </c>
      <c r="C18" s="2979"/>
      <c r="D18" s="1391"/>
      <c r="E18" s="1391"/>
      <c r="F18" s="1392"/>
      <c r="G18" s="1393"/>
      <c r="H18" s="1403"/>
      <c r="I18" s="1404">
        <f>ROUND(D18*E18*F18*G18/10000,0)</f>
        <v>0</v>
      </c>
    </row>
    <row r="19" spans="1:9" ht="14.25">
      <c r="A19" s="2978"/>
      <c r="B19" s="2979" t="s">
        <v>1000</v>
      </c>
      <c r="C19" s="2979"/>
      <c r="D19" s="1391"/>
      <c r="E19" s="1391"/>
      <c r="F19" s="1392"/>
      <c r="G19" s="1393"/>
      <c r="H19" s="1403"/>
      <c r="I19" s="1404">
        <f>ROUND(D19*E19*F19*G19/10000,0)</f>
        <v>0</v>
      </c>
    </row>
    <row r="20" spans="1:9">
      <c r="A20" s="2978"/>
      <c r="B20" s="2980" t="s">
        <v>986</v>
      </c>
      <c r="C20" s="2980"/>
      <c r="D20" s="1395">
        <f>SUM(D17:D19)</f>
        <v>0</v>
      </c>
      <c r="E20" s="1395"/>
      <c r="F20" s="1396"/>
      <c r="G20" s="1393"/>
      <c r="H20" s="1400"/>
      <c r="I20" s="1401">
        <f>SUM(I17:I19)</f>
        <v>0</v>
      </c>
    </row>
    <row r="21" spans="1:9">
      <c r="A21" s="2978"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75">
        <f>C27-C30-C31-C32</f>
        <v>0</v>
      </c>
      <c r="F26" s="2975"/>
      <c r="G26" s="2975"/>
      <c r="H26" s="1829" t="s">
        <v>1216</v>
      </c>
    </row>
    <row r="27" spans="1:9">
      <c r="A27" s="1413">
        <v>1</v>
      </c>
      <c r="B27" s="1414" t="s">
        <v>1005</v>
      </c>
      <c r="C27" s="1414">
        <f>C28+C29</f>
        <v>0</v>
      </c>
      <c r="D27" s="1414"/>
      <c r="E27" s="2976"/>
      <c r="F27" s="2976"/>
      <c r="G27" s="2976"/>
    </row>
    <row r="28" spans="1:9">
      <c r="A28" s="1415" t="s">
        <v>1006</v>
      </c>
      <c r="B28" s="1414" t="s">
        <v>1007</v>
      </c>
      <c r="C28" s="1414"/>
      <c r="D28" s="1414"/>
      <c r="E28" s="2976"/>
      <c r="F28" s="2976"/>
      <c r="G28" s="2976"/>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77"/>
      <c r="F32" s="2977"/>
      <c r="G32" s="2977"/>
    </row>
    <row r="33" spans="1:7" hidden="1">
      <c r="A33" s="2972" t="s">
        <v>1016</v>
      </c>
      <c r="B33" s="2973"/>
      <c r="C33" s="2973"/>
      <c r="D33" s="2974"/>
      <c r="E33" s="2975"/>
      <c r="F33" s="2975"/>
      <c r="G33" s="2975"/>
    </row>
    <row r="34" spans="1:7" hidden="1">
      <c r="A34" s="1417">
        <v>1</v>
      </c>
      <c r="B34" s="1414" t="s">
        <v>1017</v>
      </c>
      <c r="C34" s="1414"/>
      <c r="D34" s="1414"/>
      <c r="E34" s="2976"/>
      <c r="F34" s="2976"/>
      <c r="G34" s="2976"/>
    </row>
    <row r="35" spans="1:7" hidden="1">
      <c r="A35" s="1417">
        <v>2</v>
      </c>
      <c r="B35" s="1414" t="s">
        <v>1018</v>
      </c>
      <c r="C35" s="1414"/>
      <c r="D35" s="1414"/>
      <c r="E35" s="2976"/>
      <c r="F35" s="2976"/>
      <c r="G35" s="2976"/>
    </row>
    <row r="36" spans="1:7" hidden="1">
      <c r="A36" s="1417">
        <v>3</v>
      </c>
      <c r="B36" s="1414" t="s">
        <v>1019</v>
      </c>
      <c r="C36" s="1414"/>
      <c r="D36" s="1414"/>
      <c r="E36" s="2976"/>
      <c r="F36" s="2976"/>
      <c r="G36" s="2976"/>
    </row>
    <row r="37" spans="1:7" hidden="1">
      <c r="A37" s="1417">
        <v>4</v>
      </c>
      <c r="B37" s="1414" t="s">
        <v>1020</v>
      </c>
      <c r="C37" s="1414"/>
      <c r="D37" s="1414"/>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2996" t="s">
        <v>2305</v>
      </c>
      <c r="D4" s="2997"/>
      <c r="E4" s="2997"/>
      <c r="F4" s="2997"/>
      <c r="G4" s="2997"/>
      <c r="H4" s="2997"/>
      <c r="I4" s="2997"/>
      <c r="J4" s="2997"/>
      <c r="K4" s="2997"/>
      <c r="L4" s="2997"/>
      <c r="M4" s="2997"/>
      <c r="N4" s="2997"/>
      <c r="O4" s="2997"/>
      <c r="P4" s="2997"/>
      <c r="Q4" s="2997"/>
      <c r="R4" s="2997"/>
      <c r="S4" s="299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2314</v>
      </c>
      <c r="B20" s="2371"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6" t="s">
        <v>2321</v>
      </c>
      <c r="V24" s="1342"/>
      <c r="W24" s="2377" t="s">
        <v>2322</v>
      </c>
      <c r="X24" s="2376" t="s">
        <v>2323</v>
      </c>
      <c r="Y24" s="1342"/>
      <c r="Z24" s="2378" t="s">
        <v>2322</v>
      </c>
    </row>
    <row r="25" spans="1:45">
      <c r="A25" s="334" t="s">
        <v>2324</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80" t="s">
        <v>2331</v>
      </c>
      <c r="W26" s="2381" t="s">
        <v>2332</v>
      </c>
      <c r="X26" s="1883" t="s">
        <v>2330</v>
      </c>
      <c r="Y26" s="2380" t="s">
        <v>2331</v>
      </c>
      <c r="Z26" s="2381"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82"/>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2337</v>
      </c>
      <c r="D3" s="378">
        <f>IF(C1="仅计算典型户型",'数据-取费表'!E5,'数据-取费表'!B5)</f>
        <v>670.34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2338</v>
      </c>
      <c r="B4" s="381"/>
      <c r="C4" s="3032" t="s">
        <v>2339</v>
      </c>
      <c r="D4" s="3033"/>
      <c r="E4" s="3034" t="s">
        <v>2340</v>
      </c>
      <c r="F4" s="3035"/>
      <c r="G4" s="3032" t="s">
        <v>2341</v>
      </c>
      <c r="H4" s="3033"/>
      <c r="I4" s="3032" t="s">
        <v>2342</v>
      </c>
      <c r="J4" s="3033"/>
      <c r="K4" s="2396"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2397"/>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2397"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19" t="s">
        <v>2352</v>
      </c>
      <c r="Q7" s="3027"/>
      <c r="R7" s="749" t="s">
        <v>34</v>
      </c>
      <c r="S7" s="750">
        <f t="shared" ref="S7:S15" si="0">F7</f>
        <v>0</v>
      </c>
      <c r="T7" s="749" t="s">
        <v>34</v>
      </c>
      <c r="U7" s="750">
        <f t="shared" ref="U7:U15" si="1">H7</f>
        <v>0</v>
      </c>
      <c r="V7" s="749" t="s">
        <v>34</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19" t="s">
        <v>2355</v>
      </c>
      <c r="Q8" s="3020"/>
      <c r="R8" s="749" t="s">
        <v>34</v>
      </c>
      <c r="S8" s="750">
        <f t="shared" si="0"/>
        <v>0</v>
      </c>
      <c r="T8" s="749" t="s">
        <v>34</v>
      </c>
      <c r="U8" s="750">
        <f t="shared" si="1"/>
        <v>0</v>
      </c>
      <c r="V8" s="749" t="s">
        <v>34</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8"/>
      <c r="Q11" s="1887"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2362</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6" t="s">
        <v>2363</v>
      </c>
      <c r="Q15" s="1899" t="str">
        <f t="shared" si="6"/>
        <v>居住社区成熟度</v>
      </c>
      <c r="R15" s="753" t="s">
        <v>28</v>
      </c>
      <c r="S15" s="754">
        <f t="shared" si="0"/>
        <v>100</v>
      </c>
      <c r="T15" s="753" t="s">
        <v>28</v>
      </c>
      <c r="U15" s="754">
        <f t="shared" si="1"/>
        <v>100</v>
      </c>
      <c r="V15" s="753" t="s">
        <v>28</v>
      </c>
      <c r="W15" s="754">
        <f t="shared" si="2"/>
        <v>100</v>
      </c>
      <c r="X15" s="1900"/>
      <c r="Y15" s="3008" t="s">
        <v>2363</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2364</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2365</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07"/>
      <c r="Q26" s="1899" t="str">
        <f t="shared" si="11"/>
        <v>朝向</v>
      </c>
      <c r="R26" s="753" t="s">
        <v>28</v>
      </c>
      <c r="S26" s="754">
        <f>F26</f>
        <v>100</v>
      </c>
      <c r="T26" s="753" t="s">
        <v>28</v>
      </c>
      <c r="U26" s="754">
        <f>H26</f>
        <v>100</v>
      </c>
      <c r="V26" s="753" t="s">
        <v>28</v>
      </c>
      <c r="W26" s="754">
        <f>J26</f>
        <v>100</v>
      </c>
      <c r="X26" s="1900"/>
      <c r="Y26" s="3009"/>
      <c r="Z26" s="1902" t="str">
        <f>Q26</f>
        <v>朝向</v>
      </c>
      <c r="AA26" s="1903">
        <f t="shared" si="3"/>
        <v>1</v>
      </c>
      <c r="AB26" s="1903">
        <f t="shared" si="4"/>
        <v>1</v>
      </c>
      <c r="AC26" s="1903">
        <f t="shared" si="5"/>
        <v>1</v>
      </c>
    </row>
    <row r="27" spans="1:29" s="35" customFormat="1" ht="15">
      <c r="A27" s="411"/>
      <c r="B27" s="2400" t="s">
        <v>2366</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07"/>
      <c r="Q28" s="1899">
        <f t="shared" si="11"/>
        <v>111</v>
      </c>
      <c r="R28" s="753" t="s">
        <v>28</v>
      </c>
      <c r="S28" s="754">
        <f t="shared" ref="S28:S46" si="12">F28</f>
        <v>100</v>
      </c>
      <c r="T28" s="753" t="s">
        <v>28</v>
      </c>
      <c r="U28" s="754">
        <f t="shared" ref="U28:U46" si="13">H28</f>
        <v>100</v>
      </c>
      <c r="V28" s="753" t="s">
        <v>28</v>
      </c>
      <c r="W28" s="754">
        <f t="shared" ref="W28:W46" si="14">J28</f>
        <v>100</v>
      </c>
      <c r="X28" s="1900"/>
      <c r="Y28" s="300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2367</v>
      </c>
      <c r="B32" s="28" t="s">
        <v>2368</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0" t="s">
        <v>2369</v>
      </c>
      <c r="Q32" s="1899" t="str">
        <f t="shared" si="11"/>
        <v>建筑类型</v>
      </c>
      <c r="R32" s="753" t="s">
        <v>28</v>
      </c>
      <c r="S32" s="754">
        <f t="shared" si="12"/>
        <v>100</v>
      </c>
      <c r="T32" s="753" t="s">
        <v>28</v>
      </c>
      <c r="U32" s="754">
        <f t="shared" si="13"/>
        <v>100</v>
      </c>
      <c r="V32" s="753" t="s">
        <v>28</v>
      </c>
      <c r="W32" s="754">
        <f t="shared" si="14"/>
        <v>100</v>
      </c>
      <c r="X32" s="1900"/>
      <c r="Y32" s="3013" t="s">
        <v>2369</v>
      </c>
      <c r="Z32" s="1902" t="str">
        <f t="shared" si="15"/>
        <v>建筑类型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2372</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2373</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1"/>
      <c r="Q37" s="1887"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2375</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1" t="s">
        <v>2369</v>
      </c>
      <c r="Q38" s="1899" t="str">
        <f t="shared" si="11"/>
        <v>物业管理</v>
      </c>
      <c r="R38" s="753" t="s">
        <v>28</v>
      </c>
      <c r="S38" s="754">
        <f t="shared" si="12"/>
        <v>100</v>
      </c>
      <c r="T38" s="753" t="s">
        <v>28</v>
      </c>
      <c r="U38" s="754">
        <f t="shared" si="13"/>
        <v>100</v>
      </c>
      <c r="V38" s="753" t="s">
        <v>28</v>
      </c>
      <c r="W38" s="754">
        <f t="shared" si="14"/>
        <v>100</v>
      </c>
      <c r="X38" s="1900"/>
      <c r="Y38" s="3013" t="s">
        <v>2369</v>
      </c>
      <c r="Z38" s="1902" t="str">
        <f t="shared" si="15"/>
        <v>物业管理</v>
      </c>
      <c r="AA38" s="1903">
        <f t="shared" si="3"/>
        <v>1</v>
      </c>
      <c r="AB38" s="1903">
        <f t="shared" si="4"/>
        <v>1</v>
      </c>
      <c r="AC38" s="1903">
        <f t="shared" si="5"/>
        <v>1</v>
      </c>
    </row>
    <row r="39" spans="1:29" ht="15">
      <c r="A39" s="453"/>
      <c r="B39" s="402" t="s">
        <v>2376</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2377</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2379</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1"/>
      <c r="Q42" s="1899" t="str">
        <f t="shared" si="11"/>
        <v>内部装修</v>
      </c>
      <c r="R42" s="753" t="s">
        <v>28</v>
      </c>
      <c r="S42" s="754">
        <f t="shared" si="12"/>
        <v>100</v>
      </c>
      <c r="T42" s="753" t="s">
        <v>28</v>
      </c>
      <c r="U42" s="754">
        <f t="shared" si="13"/>
        <v>100</v>
      </c>
      <c r="V42" s="753" t="s">
        <v>28</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1"/>
      <c r="Q44" s="1887">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1"/>
      <c r="Q45" s="1899">
        <f t="shared" si="11"/>
        <v>111</v>
      </c>
      <c r="R45" s="753" t="s">
        <v>28</v>
      </c>
      <c r="S45" s="754">
        <f t="shared" si="12"/>
        <v>100</v>
      </c>
      <c r="T45" s="753" t="s">
        <v>28</v>
      </c>
      <c r="U45" s="754">
        <f t="shared" si="13"/>
        <v>100</v>
      </c>
      <c r="V45" s="753" t="s">
        <v>28</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2"/>
      <c r="Q46" s="1899">
        <f t="shared" si="11"/>
        <v>111</v>
      </c>
      <c r="R46" s="753" t="s">
        <v>27</v>
      </c>
      <c r="S46" s="754">
        <f t="shared" si="12"/>
        <v>100</v>
      </c>
      <c r="T46" s="753" t="s">
        <v>27</v>
      </c>
      <c r="U46" s="754">
        <f t="shared" si="13"/>
        <v>100</v>
      </c>
      <c r="V46" s="753" t="s">
        <v>27</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26</v>
      </c>
      <c r="D47" s="1503"/>
      <c r="E47" s="1504"/>
      <c r="F47" s="1505"/>
      <c r="G47" s="1506"/>
      <c r="H47" s="1507"/>
      <c r="I47" s="1504"/>
      <c r="J47" s="1507"/>
      <c r="K47" s="2418"/>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2382</v>
      </c>
      <c r="B48" s="468"/>
      <c r="C48" s="1508" t="e">
        <f>R49</f>
        <v>#DIV/0!</v>
      </c>
      <c r="D48" s="1509"/>
      <c r="E48" s="1510" t="e">
        <f>R48</f>
        <v>#DIV/0!</v>
      </c>
      <c r="F48" s="1510"/>
      <c r="G48" s="1508" t="e">
        <f>T48</f>
        <v>#DIV/0!</v>
      </c>
      <c r="H48" s="1509"/>
      <c r="I48" s="1510" t="e">
        <f>V48</f>
        <v>#DIV/0!</v>
      </c>
      <c r="J48" s="1509"/>
      <c r="K48" s="2419"/>
      <c r="L48" s="1256"/>
      <c r="M48" s="1257"/>
      <c r="N48" s="1257"/>
      <c r="O48" s="1257"/>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2383</v>
      </c>
      <c r="B49" s="474"/>
      <c r="C49" s="1511" t="e">
        <f>R49</f>
        <v>#DIV/0!</v>
      </c>
      <c r="D49" s="1512"/>
      <c r="E49" s="1512"/>
      <c r="F49" s="1512"/>
      <c r="G49" s="1512"/>
      <c r="H49" s="1512"/>
      <c r="I49" s="1512"/>
      <c r="J49" s="1512"/>
      <c r="K49" s="2420"/>
      <c r="L49" s="1256"/>
      <c r="M49" s="1257"/>
      <c r="N49" s="1257"/>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3"/>
      <c r="Q57" s="485"/>
    </row>
    <row r="58" spans="1:29" s="489" customFormat="1" ht="15">
      <c r="A58" s="486" t="s">
        <v>2388</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2390</v>
      </c>
      <c r="B61" s="491"/>
      <c r="C61" s="503" t="s">
        <v>2391</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1749</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2415</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2367</v>
      </c>
      <c r="B100" s="509" t="s">
        <v>2416</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2419</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2420</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2424</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2427</v>
      </c>
    </row>
    <row r="137" spans="1:17" ht="15">
      <c r="B137" s="2435" t="s">
        <v>2428</v>
      </c>
      <c r="C137" s="2436"/>
      <c r="D137" s="2436"/>
      <c r="E137" s="2436"/>
      <c r="F137" s="2436"/>
      <c r="G137" s="2437"/>
      <c r="H137" s="2438"/>
      <c r="I137" s="2439" t="s">
        <v>2429</v>
      </c>
      <c r="J137" s="2436"/>
      <c r="K137" s="2440"/>
    </row>
    <row r="138" spans="1:17" ht="15">
      <c r="B138" s="2441"/>
      <c r="C138" s="62" t="s">
        <v>2430</v>
      </c>
      <c r="D138" s="62" t="s">
        <v>2431</v>
      </c>
      <c r="E138" s="2442" t="s">
        <v>2432</v>
      </c>
      <c r="F138" s="2443" t="s">
        <v>2433</v>
      </c>
      <c r="G138" s="62" t="s">
        <v>2431</v>
      </c>
      <c r="H138" s="63" t="s">
        <v>2432</v>
      </c>
      <c r="I138" s="2444"/>
      <c r="J138" s="62" t="s">
        <v>2434</v>
      </c>
      <c r="K138" s="63" t="s">
        <v>2435</v>
      </c>
    </row>
    <row r="139" spans="1:17" ht="15">
      <c r="B139" s="1125">
        <v>6</v>
      </c>
      <c r="C139" s="1133">
        <v>96</v>
      </c>
      <c r="D139" s="2445" t="s">
        <v>2436</v>
      </c>
      <c r="E139" s="1134">
        <v>100</v>
      </c>
      <c r="F139" s="1135">
        <v>102.5</v>
      </c>
      <c r="G139" s="2445" t="s">
        <v>2436</v>
      </c>
      <c r="H139" s="1136">
        <v>105</v>
      </c>
      <c r="I139" s="2446" t="s">
        <v>2437</v>
      </c>
      <c r="J139" s="1133">
        <v>20</v>
      </c>
      <c r="K139" s="1127">
        <f>C145/(J139-2)</f>
        <v>4.0555555555555553E-3</v>
      </c>
    </row>
    <row r="140" spans="1:17" ht="15">
      <c r="B140" s="1126">
        <v>5</v>
      </c>
      <c r="C140" s="1137">
        <v>100</v>
      </c>
      <c r="D140" s="1137"/>
      <c r="E140" s="1138"/>
      <c r="F140" s="1139">
        <v>102</v>
      </c>
      <c r="G140" s="1137"/>
      <c r="H140" s="1140"/>
      <c r="I140" s="2447" t="s">
        <v>2438</v>
      </c>
      <c r="J140" s="217">
        <f>ROUNDUP((J139-1)/2,0)</f>
        <v>10</v>
      </c>
      <c r="K140" s="1128">
        <v>100</v>
      </c>
    </row>
    <row r="141" spans="1:17" ht="15">
      <c r="B141" s="1126">
        <v>4</v>
      </c>
      <c r="C141" s="1137">
        <v>102</v>
      </c>
      <c r="D141" s="1137"/>
      <c r="E141" s="1138"/>
      <c r="F141" s="1139">
        <v>101.5</v>
      </c>
      <c r="G141" s="1137"/>
      <c r="H141" s="1140"/>
      <c r="I141" s="2447" t="s">
        <v>2439</v>
      </c>
      <c r="J141" s="217">
        <v>1</v>
      </c>
      <c r="K141" s="1129">
        <f>ROUND(100+(J141-J140)*K139*100,1)</f>
        <v>96.4</v>
      </c>
    </row>
    <row r="142" spans="1:17" ht="15">
      <c r="B142" s="1126">
        <v>3</v>
      </c>
      <c r="C142" s="1137">
        <v>103</v>
      </c>
      <c r="D142" s="1137"/>
      <c r="E142" s="1138"/>
      <c r="F142" s="1139">
        <v>101</v>
      </c>
      <c r="G142" s="1137"/>
      <c r="H142" s="1140"/>
      <c r="I142" s="2447" t="s">
        <v>2440</v>
      </c>
      <c r="J142" s="217">
        <f>J139</f>
        <v>20</v>
      </c>
      <c r="K142" s="1142">
        <v>95</v>
      </c>
    </row>
    <row r="143" spans="1:17" ht="15">
      <c r="B143" s="1126">
        <v>2</v>
      </c>
      <c r="C143" s="1137">
        <v>100</v>
      </c>
      <c r="D143" s="1137"/>
      <c r="E143" s="1138"/>
      <c r="F143" s="1139">
        <v>100.5</v>
      </c>
      <c r="G143" s="1137"/>
      <c r="H143" s="1140"/>
      <c r="I143" s="2447" t="s">
        <v>2441</v>
      </c>
      <c r="J143" s="1137">
        <v>15</v>
      </c>
      <c r="K143" s="1129">
        <f>ROUND(100+(J143-J140)*K139*100,1)</f>
        <v>102</v>
      </c>
    </row>
    <row r="144" spans="1:17" ht="15">
      <c r="B144" s="1126">
        <v>1</v>
      </c>
      <c r="C144" s="1137">
        <v>98</v>
      </c>
      <c r="D144" s="2448" t="s">
        <v>2442</v>
      </c>
      <c r="E144" s="1138">
        <v>102</v>
      </c>
      <c r="F144" s="1141">
        <v>100</v>
      </c>
      <c r="G144" s="2448" t="s">
        <v>2442</v>
      </c>
      <c r="H144" s="1140">
        <v>105</v>
      </c>
      <c r="I144" s="2447" t="s">
        <v>2441</v>
      </c>
      <c r="J144" s="1137">
        <v>18</v>
      </c>
      <c r="K144" s="1129">
        <f>ROUND(100+(J144-J140)*K139*100,1)</f>
        <v>103.2</v>
      </c>
    </row>
    <row r="145" spans="2:11" ht="15.75" thickBot="1">
      <c r="B145" s="2449" t="s">
        <v>2443</v>
      </c>
      <c r="C145" s="1131">
        <f>ROUND(MAX(C139:C144)/MIN(C139:C144)-1,3)</f>
        <v>7.2999999999999995E-2</v>
      </c>
      <c r="D145" s="1132"/>
      <c r="E145" s="1132"/>
      <c r="F145" s="2450" t="s">
        <v>2444</v>
      </c>
      <c r="G145" s="2451"/>
      <c r="H145" s="2452"/>
      <c r="I145" s="2453" t="s">
        <v>2441</v>
      </c>
      <c r="J145" s="1143">
        <v>8</v>
      </c>
      <c r="K145" s="1130">
        <f>ROUND(100+(J145-J140)*K139*100,1)</f>
        <v>99.2</v>
      </c>
    </row>
    <row r="147" spans="2:11">
      <c r="B147" s="2434" t="s">
        <v>2445</v>
      </c>
    </row>
    <row r="148" spans="2:11">
      <c r="B148" s="2434"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4"/>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42"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26" t="s">
        <v>2448</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2363</v>
      </c>
      <c r="Q15" s="1899" t="str">
        <f t="shared" si="6"/>
        <v>商业繁华度</v>
      </c>
      <c r="R15" s="753" t="s">
        <v>25</v>
      </c>
      <c r="S15" s="754">
        <f t="shared" si="0"/>
        <v>100</v>
      </c>
      <c r="T15" s="753" t="s">
        <v>25</v>
      </c>
      <c r="U15" s="754">
        <f t="shared" si="1"/>
        <v>100</v>
      </c>
      <c r="V15" s="753" t="s">
        <v>25</v>
      </c>
      <c r="W15" s="754">
        <f t="shared" si="2"/>
        <v>100</v>
      </c>
      <c r="X15" s="1900"/>
      <c r="Y15" s="3008"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2449</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2450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3"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2453</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2367</v>
      </c>
      <c r="B32" s="28" t="s">
        <v>2455</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0" t="s">
        <v>2369</v>
      </c>
      <c r="Q32" s="1899" t="str">
        <f t="shared" si="11"/>
        <v>商业类型</v>
      </c>
      <c r="R32" s="753" t="s">
        <v>25</v>
      </c>
      <c r="S32" s="754">
        <f t="shared" si="12"/>
        <v>100</v>
      </c>
      <c r="T32" s="753" t="s">
        <v>25</v>
      </c>
      <c r="U32" s="754">
        <f t="shared" si="13"/>
        <v>100</v>
      </c>
      <c r="V32" s="753" t="s">
        <v>25</v>
      </c>
      <c r="W32" s="754">
        <f t="shared" si="14"/>
        <v>100</v>
      </c>
      <c r="X32" s="1900"/>
      <c r="Y32" s="3013"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2456</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2458</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2459</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1" t="s">
        <v>2369</v>
      </c>
      <c r="Q38" s="1899" t="str">
        <f t="shared" si="11"/>
        <v>业态</v>
      </c>
      <c r="R38" s="753" t="s">
        <v>25</v>
      </c>
      <c r="S38" s="754">
        <f t="shared" si="12"/>
        <v>100</v>
      </c>
      <c r="T38" s="753" t="s">
        <v>25</v>
      </c>
      <c r="U38" s="754">
        <f t="shared" si="13"/>
        <v>100</v>
      </c>
      <c r="V38" s="753" t="s">
        <v>25</v>
      </c>
      <c r="W38" s="754">
        <f t="shared" si="14"/>
        <v>100</v>
      </c>
      <c r="X38" s="1900"/>
      <c r="Y38" s="3013" t="s">
        <v>2369</v>
      </c>
      <c r="Z38" s="1902" t="str">
        <f t="shared" si="15"/>
        <v>业态</v>
      </c>
      <c r="AA38" s="1903">
        <f t="shared" si="3"/>
        <v>1</v>
      </c>
      <c r="AB38" s="1903">
        <f t="shared" si="4"/>
        <v>1</v>
      </c>
      <c r="AC38" s="1903">
        <f t="shared" si="5"/>
        <v>1</v>
      </c>
    </row>
    <row r="39" spans="1:29" ht="15">
      <c r="A39" s="453"/>
      <c r="B39" s="402" t="s">
        <v>2460</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2463</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2353</v>
      </c>
      <c r="B61" s="491"/>
      <c r="C61" s="503" t="s">
        <v>2354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2470</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2367</v>
      </c>
      <c r="B100" s="509" t="s">
        <v>2471</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2420</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2474</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c r="D1" s="1739"/>
      <c r="E1" s="2383"/>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2006</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2337</v>
      </c>
      <c r="D3" s="378">
        <f>IF(C1="仅计算典型户型",'数据-取费表'!E5,'数据-取费表'!B5)</f>
        <v>670.34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51"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52"/>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53"/>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7"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2355</v>
      </c>
      <c r="Q8" s="3020"/>
      <c r="R8" s="749" t="s">
        <v>25</v>
      </c>
      <c r="S8" s="750">
        <f t="shared" si="0"/>
        <v>0</v>
      </c>
      <c r="T8" s="749" t="s">
        <v>25</v>
      </c>
      <c r="U8" s="750">
        <f t="shared" si="1"/>
        <v>0</v>
      </c>
      <c r="V8" s="749" t="s">
        <v>25</v>
      </c>
      <c r="W8" s="750">
        <f t="shared" si="2"/>
        <v>0</v>
      </c>
      <c r="X8" s="751"/>
      <c r="Y8" s="3019" t="s">
        <v>2355</v>
      </c>
      <c r="Z8" s="3020"/>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613" t="s">
        <v>2477</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2363</v>
      </c>
      <c r="Q15" s="1899" t="str">
        <f t="shared" si="6"/>
        <v>办公集聚程度</v>
      </c>
      <c r="R15" s="753" t="s">
        <v>25</v>
      </c>
      <c r="S15" s="754">
        <f t="shared" si="0"/>
        <v>100</v>
      </c>
      <c r="T15" s="753" t="s">
        <v>25</v>
      </c>
      <c r="U15" s="754">
        <f t="shared" si="1"/>
        <v>100</v>
      </c>
      <c r="V15" s="753" t="s">
        <v>25</v>
      </c>
      <c r="W15" s="754">
        <f t="shared" si="2"/>
        <v>100</v>
      </c>
      <c r="X15" s="1900"/>
      <c r="Y15" s="3008"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42.75">
      <c r="A19" s="408"/>
      <c r="B19" s="615" t="s">
        <v>2478</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28.5">
      <c r="A21" s="408"/>
      <c r="B21" s="617" t="s">
        <v>2479</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9"/>
      <c r="Q22" s="1899"/>
      <c r="R22" s="753"/>
      <c r="S22" s="754"/>
      <c r="T22" s="753"/>
      <c r="U22" s="754"/>
      <c r="V22" s="753"/>
      <c r="W22" s="754"/>
      <c r="X22" s="1900"/>
      <c r="Y22" s="3009"/>
      <c r="Z22" s="1902"/>
      <c r="AA22" s="1903">
        <v>1</v>
      </c>
      <c r="AB22" s="1903">
        <v>1</v>
      </c>
      <c r="AC22" s="1903">
        <v>1</v>
      </c>
    </row>
    <row r="23" spans="1:29" ht="57">
      <c r="A23" s="408"/>
      <c r="B23" s="615" t="s">
        <v>2480</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2481</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2482</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2367</v>
      </c>
      <c r="B33" s="28" t="s">
        <v>2483</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8" t="s">
        <v>2369</v>
      </c>
      <c r="Q33" s="1899" t="str">
        <f t="shared" si="11"/>
        <v>建筑类型</v>
      </c>
      <c r="R33" s="753" t="s">
        <v>25</v>
      </c>
      <c r="S33" s="754">
        <f t="shared" si="12"/>
        <v>100</v>
      </c>
      <c r="T33" s="753" t="s">
        <v>25</v>
      </c>
      <c r="U33" s="754">
        <f t="shared" si="13"/>
        <v>100</v>
      </c>
      <c r="V33" s="753" t="s">
        <v>25</v>
      </c>
      <c r="W33" s="754">
        <f t="shared" si="14"/>
        <v>100</v>
      </c>
      <c r="X33" s="1900"/>
      <c r="Y33" s="3013"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2369</v>
      </c>
      <c r="Q39" s="1899" t="str">
        <f t="shared" si="11"/>
        <v>物业管理</v>
      </c>
      <c r="R39" s="753" t="s">
        <v>25</v>
      </c>
      <c r="S39" s="754">
        <f t="shared" si="12"/>
        <v>100</v>
      </c>
      <c r="T39" s="753" t="s">
        <v>25</v>
      </c>
      <c r="U39" s="754">
        <f t="shared" si="13"/>
        <v>100</v>
      </c>
      <c r="V39" s="753" t="s">
        <v>25</v>
      </c>
      <c r="W39" s="754">
        <f t="shared" si="14"/>
        <v>100</v>
      </c>
      <c r="X39" s="1900"/>
      <c r="Y39" s="3013"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2380</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2017-2</v>
      </c>
      <c r="D59" s="1679">
        <f>EDATE(C59,-1)</f>
        <v>42736</v>
      </c>
      <c r="E59" s="1679">
        <f t="shared" ref="E59:O59" si="16">EDATE(D59,-1)</f>
        <v>42705</v>
      </c>
      <c r="F59" s="1679">
        <f t="shared" si="16"/>
        <v>42675</v>
      </c>
      <c r="G59" s="1679">
        <f t="shared" si="16"/>
        <v>42644</v>
      </c>
      <c r="H59" s="1679">
        <f t="shared" si="16"/>
        <v>42614</v>
      </c>
      <c r="I59" s="1679">
        <f t="shared" si="16"/>
        <v>42583</v>
      </c>
      <c r="J59" s="1679">
        <f t="shared" si="16"/>
        <v>42552</v>
      </c>
      <c r="K59" s="1679">
        <f t="shared" si="16"/>
        <v>42522</v>
      </c>
      <c r="L59" s="1679">
        <f t="shared" si="16"/>
        <v>42491</v>
      </c>
      <c r="M59" s="1679">
        <f t="shared" si="16"/>
        <v>42461</v>
      </c>
      <c r="N59" s="1679">
        <f t="shared" si="16"/>
        <v>42430</v>
      </c>
      <c r="O59" s="1679">
        <f t="shared" si="16"/>
        <v>42401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2355</v>
      </c>
      <c r="Q8" s="3020"/>
      <c r="R8" s="749" t="s">
        <v>25</v>
      </c>
      <c r="S8" s="750">
        <f t="shared" si="0"/>
        <v>100</v>
      </c>
      <c r="T8" s="749" t="s">
        <v>25</v>
      </c>
      <c r="U8" s="750">
        <f t="shared" si="1"/>
        <v>100</v>
      </c>
      <c r="V8" s="749" t="s">
        <v>25</v>
      </c>
      <c r="W8" s="750">
        <f t="shared" si="2"/>
        <v>100</v>
      </c>
      <c r="X8" s="751"/>
      <c r="Y8" s="3019" t="s">
        <v>2355</v>
      </c>
      <c r="Z8" s="302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26" t="s">
        <v>2494</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2478</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2479</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2480</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28.5">
      <c r="A29" s="447" t="s">
        <v>2367</v>
      </c>
      <c r="B29" s="28" t="s">
        <v>2483</v>
      </c>
      <c r="C29" s="2474" t="s">
        <v>2495</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2369</v>
      </c>
      <c r="Q29" s="1899" t="str">
        <f t="shared" si="11"/>
        <v>建筑类型</v>
      </c>
      <c r="R29" s="753" t="s">
        <v>25</v>
      </c>
      <c r="S29" s="754">
        <f t="shared" si="12"/>
        <v>100</v>
      </c>
      <c r="T29" s="753" t="s">
        <v>25</v>
      </c>
      <c r="U29" s="754">
        <f t="shared" si="13"/>
        <v>100</v>
      </c>
      <c r="V29" s="753" t="s">
        <v>25</v>
      </c>
      <c r="W29" s="754">
        <f t="shared" si="14"/>
        <v>100</v>
      </c>
      <c r="X29" s="1900"/>
      <c r="Y29" s="3013"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2369</v>
      </c>
      <c r="Q35" s="1899" t="str">
        <f t="shared" si="11"/>
        <v>市政基础设施</v>
      </c>
      <c r="R35" s="753" t="s">
        <v>25</v>
      </c>
      <c r="S35" s="754">
        <f t="shared" si="12"/>
        <v>100</v>
      </c>
      <c r="T35" s="753" t="s">
        <v>25</v>
      </c>
      <c r="U35" s="754">
        <f t="shared" si="13"/>
        <v>100</v>
      </c>
      <c r="V35" s="753" t="s">
        <v>25</v>
      </c>
      <c r="W35" s="754">
        <f t="shared" si="14"/>
        <v>100</v>
      </c>
      <c r="X35" s="1900"/>
      <c r="Y35" s="3013"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2017-2</v>
      </c>
      <c r="D52" s="1679">
        <f>EDATE(C52,-1)</f>
        <v>42736</v>
      </c>
      <c r="E52" s="1680">
        <f t="shared" ref="E52:O52" si="16">EDATE(D52,-1)</f>
        <v>42705</v>
      </c>
      <c r="F52" s="1680">
        <f t="shared" si="16"/>
        <v>42675</v>
      </c>
      <c r="G52" s="1680">
        <f t="shared" si="16"/>
        <v>42644</v>
      </c>
      <c r="H52" s="1680">
        <f t="shared" si="16"/>
        <v>42614</v>
      </c>
      <c r="I52" s="1680">
        <f t="shared" si="16"/>
        <v>42583</v>
      </c>
      <c r="J52" s="1680">
        <f t="shared" si="16"/>
        <v>42552</v>
      </c>
      <c r="K52" s="1680">
        <f t="shared" si="16"/>
        <v>42522</v>
      </c>
      <c r="L52" s="1680">
        <f t="shared" si="16"/>
        <v>42491</v>
      </c>
      <c r="M52" s="1680">
        <f t="shared" si="16"/>
        <v>42461</v>
      </c>
      <c r="N52" s="1680">
        <f t="shared" si="16"/>
        <v>42430</v>
      </c>
      <c r="O52" s="1680">
        <f t="shared" si="16"/>
        <v>42401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0"/>
      <c r="E1" s="2383"/>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670.34</v>
      </c>
      <c r="E3" s="1092" t="s">
        <v>2505</v>
      </c>
      <c r="F3" s="379">
        <f>'数据-取费表'!B41</f>
        <v>670.34</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514"/>
      <c r="M4" s="425"/>
      <c r="N4" s="425"/>
      <c r="O4" s="425"/>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514"/>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514"/>
      <c r="M6" s="425"/>
      <c r="N6" s="425"/>
      <c r="O6" s="425"/>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9" t="s">
        <v>2355</v>
      </c>
      <c r="Q8" s="3020"/>
      <c r="R8" s="749" t="s">
        <v>25</v>
      </c>
      <c r="S8" s="750">
        <f t="shared" si="0"/>
        <v>0</v>
      </c>
      <c r="T8" s="749" t="s">
        <v>25</v>
      </c>
      <c r="U8" s="750">
        <f t="shared" si="1"/>
        <v>0</v>
      </c>
      <c r="V8" s="749" t="s">
        <v>25</v>
      </c>
      <c r="W8" s="750">
        <f t="shared" si="2"/>
        <v>0</v>
      </c>
      <c r="X8" s="751"/>
      <c r="Y8" s="3019" t="s">
        <v>2355</v>
      </c>
      <c r="Z8" s="302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2362</v>
      </c>
      <c r="B14" s="613" t="s">
        <v>2506</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9"/>
      <c r="Q15" s="1899"/>
      <c r="R15" s="753"/>
      <c r="S15" s="754"/>
      <c r="T15" s="753"/>
      <c r="U15" s="754"/>
      <c r="V15" s="753"/>
      <c r="W15" s="754"/>
      <c r="X15" s="1900"/>
      <c r="Y15" s="3009"/>
      <c r="Z15" s="1902"/>
      <c r="AA15" s="1903">
        <v>1</v>
      </c>
      <c r="AB15" s="1903">
        <v>1</v>
      </c>
      <c r="AC15" s="1903">
        <v>1</v>
      </c>
    </row>
    <row r="16" spans="1:29" ht="42.75">
      <c r="A16" s="383"/>
      <c r="B16" s="615" t="s">
        <v>2478</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9"/>
      <c r="Q17" s="1899"/>
      <c r="R17" s="753"/>
      <c r="S17" s="754"/>
      <c r="T17" s="753"/>
      <c r="U17" s="754"/>
      <c r="V17" s="753"/>
      <c r="W17" s="754"/>
      <c r="X17" s="1900"/>
      <c r="Y17" s="3009"/>
      <c r="Z17" s="1902"/>
      <c r="AA17" s="1903">
        <v>1</v>
      </c>
      <c r="AB17" s="1903">
        <v>1</v>
      </c>
      <c r="AC17" s="1903">
        <v>1</v>
      </c>
    </row>
    <row r="18" spans="1:29" ht="28.5">
      <c r="A18" s="383"/>
      <c r="B18" s="617" t="s">
        <v>2479</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9"/>
      <c r="Q19" s="1899"/>
      <c r="R19" s="753"/>
      <c r="S19" s="754"/>
      <c r="T19" s="753"/>
      <c r="U19" s="754"/>
      <c r="V19" s="753"/>
      <c r="W19" s="754"/>
      <c r="X19" s="1900"/>
      <c r="Y19" s="3009"/>
      <c r="Z19" s="1902"/>
      <c r="AA19" s="1903">
        <v>1</v>
      </c>
      <c r="AB19" s="1903">
        <v>1</v>
      </c>
      <c r="AC19" s="1903">
        <v>1</v>
      </c>
    </row>
    <row r="20" spans="1:29" ht="57">
      <c r="A20" s="383"/>
      <c r="B20" s="615" t="s">
        <v>2507</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635" t="s">
        <v>2367</v>
      </c>
      <c r="B26" s="27" t="s">
        <v>2509</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3" t="s">
        <v>2369</v>
      </c>
      <c r="Q32" s="1899" t="str">
        <f t="shared" si="11"/>
        <v>车位类型</v>
      </c>
      <c r="R32" s="753" t="s">
        <v>25</v>
      </c>
      <c r="S32" s="754">
        <f t="shared" si="12"/>
        <v>100</v>
      </c>
      <c r="T32" s="753" t="s">
        <v>25</v>
      </c>
      <c r="U32" s="754">
        <f t="shared" si="13"/>
        <v>100</v>
      </c>
      <c r="V32" s="753" t="s">
        <v>25</v>
      </c>
      <c r="W32" s="754">
        <f t="shared" si="14"/>
        <v>100</v>
      </c>
      <c r="X32" s="1900"/>
      <c r="Y32" s="3013"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2017-2</v>
      </c>
      <c r="D48" s="1679">
        <f>EDATE(C48,-1)</f>
        <v>42736</v>
      </c>
      <c r="E48" s="1679">
        <f t="shared" ref="E48:O48" si="16">EDATE(D48,-1)</f>
        <v>42705</v>
      </c>
      <c r="F48" s="1679">
        <f t="shared" si="16"/>
        <v>42675</v>
      </c>
      <c r="G48" s="1679">
        <f t="shared" si="16"/>
        <v>42644</v>
      </c>
      <c r="H48" s="1679">
        <f t="shared" si="16"/>
        <v>42614</v>
      </c>
      <c r="I48" s="1679">
        <f t="shared" si="16"/>
        <v>42583</v>
      </c>
      <c r="J48" s="1679">
        <f t="shared" si="16"/>
        <v>42552</v>
      </c>
      <c r="K48" s="1679">
        <f t="shared" si="16"/>
        <v>42522</v>
      </c>
      <c r="L48" s="1679">
        <f t="shared" si="16"/>
        <v>42491</v>
      </c>
      <c r="M48" s="1679">
        <f t="shared" si="16"/>
        <v>42461</v>
      </c>
      <c r="N48" s="1679">
        <f t="shared" si="16"/>
        <v>42430</v>
      </c>
      <c r="O48" s="1679">
        <f t="shared" si="16"/>
        <v>42401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2362</v>
      </c>
      <c r="B14" s="26" t="s">
        <v>2506</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42.75">
      <c r="A16" s="408"/>
      <c r="B16" s="615" t="s">
        <v>2478</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28.5">
      <c r="A18" s="408"/>
      <c r="B18" s="617" t="s">
        <v>2479</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9"/>
      <c r="Q19" s="1899"/>
      <c r="R19" s="753"/>
      <c r="S19" s="754"/>
      <c r="T19" s="753"/>
      <c r="U19" s="754"/>
      <c r="V19" s="753"/>
      <c r="W19" s="754"/>
      <c r="X19" s="1900"/>
      <c r="Y19" s="3009"/>
      <c r="Z19" s="1902"/>
      <c r="AA19" s="1903">
        <v>1</v>
      </c>
      <c r="AB19" s="1903">
        <v>1</v>
      </c>
      <c r="AC19" s="1903">
        <v>1</v>
      </c>
    </row>
    <row r="20" spans="1:29" ht="57">
      <c r="A20" s="408"/>
      <c r="B20" s="431" t="s">
        <v>2507</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447" t="s">
        <v>2367</v>
      </c>
      <c r="B26" s="28" t="s">
        <v>2511</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2369</v>
      </c>
      <c r="Q32" s="1899">
        <f t="shared" si="11"/>
        <v>111</v>
      </c>
      <c r="R32" s="753" t="s">
        <v>25</v>
      </c>
      <c r="S32" s="754">
        <f t="shared" si="12"/>
        <v>100</v>
      </c>
      <c r="T32" s="753" t="s">
        <v>25</v>
      </c>
      <c r="U32" s="754">
        <f t="shared" si="13"/>
        <v>100</v>
      </c>
      <c r="V32" s="753" t="s">
        <v>25</v>
      </c>
      <c r="W32" s="754">
        <f t="shared" si="14"/>
        <v>100</v>
      </c>
      <c r="X32" s="1900"/>
      <c r="Y32" s="3013" t="s">
        <v>2369</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2017-2</v>
      </c>
      <c r="D46" s="1679">
        <f>EDATE(C46,-1)</f>
        <v>42736</v>
      </c>
      <c r="E46" s="1679">
        <f t="shared" ref="E46:O46" si="16">EDATE(D46,-1)</f>
        <v>42705</v>
      </c>
      <c r="F46" s="1679">
        <f t="shared" si="16"/>
        <v>42675</v>
      </c>
      <c r="G46" s="1679">
        <f t="shared" si="16"/>
        <v>42644</v>
      </c>
      <c r="H46" s="1679">
        <f t="shared" si="16"/>
        <v>42614</v>
      </c>
      <c r="I46" s="1679">
        <f t="shared" si="16"/>
        <v>42583</v>
      </c>
      <c r="J46" s="1679">
        <f t="shared" si="16"/>
        <v>42552</v>
      </c>
      <c r="K46" s="1679">
        <f t="shared" si="16"/>
        <v>42522</v>
      </c>
      <c r="L46" s="1679">
        <f t="shared" si="16"/>
        <v>42491</v>
      </c>
      <c r="M46" s="1679">
        <f t="shared" si="16"/>
        <v>42461</v>
      </c>
      <c r="N46" s="1679">
        <f t="shared" si="16"/>
        <v>42430</v>
      </c>
      <c r="O46" s="1679">
        <f t="shared" si="16"/>
        <v>42401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30"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2351</v>
      </c>
      <c r="B7" s="388"/>
      <c r="C7" s="389">
        <f>'数据-取费表'!B2</f>
        <v>42775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5" si="3">D8/F8</f>
        <v>#DIV/0!</v>
      </c>
      <c r="AB8" s="752" t="e">
        <f t="shared" ref="AB8:AB45" si="4">D8/H8</f>
        <v>#DIV/0!</v>
      </c>
      <c r="AC8" s="752" t="e">
        <f t="shared" ref="AC8:AC45" si="5">D8/J8</f>
        <v>#DIV/0!</v>
      </c>
    </row>
    <row r="9" spans="1:30" s="35" customFormat="1">
      <c r="A9" s="395" t="s">
        <v>2356</v>
      </c>
      <c r="B9" s="28" t="s">
        <v>2357</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400"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2362</v>
      </c>
      <c r="B15" s="1487"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2363</v>
      </c>
      <c r="Q15" s="1899" t="str">
        <f t="shared" si="6"/>
        <v>居住社区成熟度</v>
      </c>
      <c r="R15" s="753" t="s">
        <v>25</v>
      </c>
      <c r="S15" s="754">
        <f t="shared" si="0"/>
        <v>100</v>
      </c>
      <c r="T15" s="753" t="s">
        <v>25</v>
      </c>
      <c r="U15" s="754">
        <f t="shared" si="1"/>
        <v>100</v>
      </c>
      <c r="V15" s="753" t="s">
        <v>25</v>
      </c>
      <c r="W15" s="754">
        <f t="shared" si="2"/>
        <v>100</v>
      </c>
      <c r="X15" s="1900"/>
      <c r="Y15" s="3008"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71.25">
      <c r="A17" s="383"/>
      <c r="B17" s="1489" t="s">
        <v>2448</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71.25">
      <c r="A19" s="383"/>
      <c r="B19" s="1489" t="s">
        <v>2477</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85.5">
      <c r="A21" s="383"/>
      <c r="B21" s="1489" t="s">
        <v>2506</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2" t="s">
        <v>2546</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9"/>
      <c r="Q24" s="1899"/>
      <c r="R24" s="753"/>
      <c r="S24" s="754"/>
      <c r="T24" s="753"/>
      <c r="U24" s="754"/>
      <c r="V24" s="753"/>
      <c r="W24" s="754"/>
      <c r="X24" s="1900"/>
      <c r="Y24" s="3009"/>
      <c r="Z24" s="1902"/>
      <c r="AA24" s="1903"/>
      <c r="AB24" s="1903"/>
      <c r="AC24" s="1903"/>
    </row>
    <row r="25" spans="1:29" ht="57">
      <c r="A25" s="383"/>
      <c r="B25" s="1491" t="s">
        <v>2547</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42.75">
      <c r="A27" s="383"/>
      <c r="B27" s="1491" t="s">
        <v>2449</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28.5">
      <c r="A29" s="633"/>
      <c r="B29" s="1491" t="s">
        <v>2450</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2369</v>
      </c>
      <c r="Q36" s="1899">
        <f t="shared" si="8"/>
        <v>111</v>
      </c>
      <c r="R36" s="753" t="s">
        <v>25</v>
      </c>
      <c r="S36" s="754">
        <f t="shared" si="10"/>
        <v>100</v>
      </c>
      <c r="T36" s="753" t="s">
        <v>25</v>
      </c>
      <c r="U36" s="754">
        <f t="shared" si="11"/>
        <v>100</v>
      </c>
      <c r="V36" s="753" t="s">
        <v>25</v>
      </c>
      <c r="W36" s="754">
        <f t="shared" si="12"/>
        <v>100</v>
      </c>
      <c r="X36" s="1900"/>
      <c r="Y36" s="3013"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2550</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2551</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2552</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2553</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3" t="s">
        <v>2369</v>
      </c>
      <c r="Q42" s="1899" t="str">
        <f t="shared" si="14"/>
        <v>工程地质条件</v>
      </c>
      <c r="R42" s="753" t="s">
        <v>25</v>
      </c>
      <c r="S42" s="754">
        <f t="shared" si="10"/>
        <v>100</v>
      </c>
      <c r="T42" s="753" t="s">
        <v>25</v>
      </c>
      <c r="U42" s="754">
        <f t="shared" si="11"/>
        <v>100</v>
      </c>
      <c r="V42" s="753" t="s">
        <v>25</v>
      </c>
      <c r="W42" s="754">
        <f t="shared" si="12"/>
        <v>100</v>
      </c>
      <c r="X42" s="1900"/>
      <c r="Y42" s="3013" t="s">
        <v>2369</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2517</v>
      </c>
      <c r="B46" s="2493" t="s">
        <v>2554</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4" t="s">
        <v>2557</v>
      </c>
      <c r="D55" s="2495" t="s">
        <v>2558</v>
      </c>
      <c r="E55" s="669" t="s">
        <v>2559</v>
      </c>
      <c r="F55" s="670" t="s">
        <v>2560</v>
      </c>
      <c r="G55" s="62" t="s">
        <v>2561</v>
      </c>
      <c r="H55" s="62">
        <f>项目基本情况!G8</f>
        <v>0</v>
      </c>
      <c r="I55" s="2496"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2017-2-1</v>
      </c>
      <c r="D68" s="1670">
        <f>EDATE(C68,-3)</f>
        <v>42675</v>
      </c>
      <c r="E68" s="1670">
        <f t="shared" ref="E68:O68" si="18">EDATE(D68,-3)</f>
        <v>42583</v>
      </c>
      <c r="F68" s="1670">
        <f t="shared" si="18"/>
        <v>42491</v>
      </c>
      <c r="G68" s="1670">
        <f t="shared" si="18"/>
        <v>42401</v>
      </c>
      <c r="H68" s="1670">
        <f t="shared" si="18"/>
        <v>42309</v>
      </c>
      <c r="I68" s="1670">
        <f t="shared" si="18"/>
        <v>42217</v>
      </c>
      <c r="J68" s="1670">
        <f t="shared" si="18"/>
        <v>42125</v>
      </c>
      <c r="K68" s="1670">
        <f t="shared" si="18"/>
        <v>42036</v>
      </c>
      <c r="L68" s="1670">
        <f t="shared" si="18"/>
        <v>41944</v>
      </c>
      <c r="M68" s="1670">
        <f t="shared" si="18"/>
        <v>41852</v>
      </c>
      <c r="N68" s="1670">
        <f t="shared" si="18"/>
        <v>41760</v>
      </c>
      <c r="O68" s="1670">
        <f t="shared" si="18"/>
        <v>41671</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7" t="s">
        <v>2574</v>
      </c>
      <c r="B70" s="1456"/>
      <c r="C70" s="1671" t="str">
        <f>YEAR(C68)&amp;"-"&amp;ROUNDUP(MONTH(C68)/3,0)</f>
        <v>2017-1</v>
      </c>
      <c r="D70" s="1671" t="str">
        <f>YEAR(D68)&amp;"-"&amp;ROUNDUP(MONTH(D68)/3,0)</f>
        <v>2016-4</v>
      </c>
      <c r="E70" s="1671" t="str">
        <f t="shared" ref="E70:O70" si="19">YEAR(E68)&amp;"-"&amp;ROUNDUP(MONTH(E68)/3,0)</f>
        <v>2016-3</v>
      </c>
      <c r="F70" s="1671" t="str">
        <f t="shared" si="19"/>
        <v>2016-2</v>
      </c>
      <c r="G70" s="1671" t="str">
        <f t="shared" si="19"/>
        <v>2016-1</v>
      </c>
      <c r="H70" s="1671" t="str">
        <f t="shared" si="19"/>
        <v>2015-4</v>
      </c>
      <c r="I70" s="1671" t="str">
        <f t="shared" si="19"/>
        <v>2015-3</v>
      </c>
      <c r="J70" s="1671" t="str">
        <f t="shared" si="19"/>
        <v>2015-2</v>
      </c>
      <c r="K70" s="1671" t="str">
        <f t="shared" si="19"/>
        <v>2015-1</v>
      </c>
      <c r="L70" s="1671" t="str">
        <f t="shared" si="19"/>
        <v>2014-4</v>
      </c>
      <c r="M70" s="1671" t="str">
        <f t="shared" si="19"/>
        <v>2014-3</v>
      </c>
      <c r="N70" s="1671" t="str">
        <f t="shared" si="19"/>
        <v>2014-2</v>
      </c>
      <c r="O70" s="1671" t="str">
        <f t="shared" si="19"/>
        <v>2014-1</v>
      </c>
      <c r="P70" s="1673"/>
    </row>
    <row r="71" spans="1:17" s="35" customFormat="1" ht="29.25" customHeight="1">
      <c r="A71" s="2498"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0" si="3">D8/F8</f>
        <v>#DIV/0!</v>
      </c>
      <c r="AB8" s="752" t="e">
        <f t="shared" ref="AB8:AB40" si="4">D8/H8</f>
        <v>#DIV/0!</v>
      </c>
      <c r="AC8" s="752" t="e">
        <f t="shared" ref="AC8:AC40" si="5">D8/J8</f>
        <v>#DIV/0!</v>
      </c>
    </row>
    <row r="9" spans="1:29" s="35" customFormat="1">
      <c r="A9" s="395" t="s">
        <v>2356</v>
      </c>
      <c r="B9" s="28" t="s">
        <v>2357</v>
      </c>
      <c r="C9" s="2485" t="s">
        <v>2589</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613" t="s">
        <v>2590</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2506</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2546</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2591</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2449</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2450</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2481</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2369</v>
      </c>
      <c r="Q32" s="1899">
        <f t="shared" si="8"/>
        <v>111</v>
      </c>
      <c r="R32" s="753" t="s">
        <v>25</v>
      </c>
      <c r="S32" s="754">
        <f t="shared" si="10"/>
        <v>100</v>
      </c>
      <c r="T32" s="753" t="s">
        <v>25</v>
      </c>
      <c r="U32" s="754">
        <f t="shared" si="11"/>
        <v>100</v>
      </c>
      <c r="V32" s="753" t="s">
        <v>25</v>
      </c>
      <c r="W32" s="754">
        <f t="shared" si="12"/>
        <v>100</v>
      </c>
      <c r="X32" s="1900"/>
      <c r="Y32" s="3013" t="s">
        <v>2369</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2550</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2552</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2553</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3" t="s">
        <v>2369</v>
      </c>
      <c r="Q37" s="1899" t="str">
        <f t="shared" si="14"/>
        <v>工程地质条件</v>
      </c>
      <c r="R37" s="753" t="s">
        <v>25</v>
      </c>
      <c r="S37" s="754">
        <f t="shared" si="10"/>
        <v>100</v>
      </c>
      <c r="T37" s="753" t="s">
        <v>25</v>
      </c>
      <c r="U37" s="754">
        <f t="shared" si="11"/>
        <v>100</v>
      </c>
      <c r="V37" s="753" t="s">
        <v>25</v>
      </c>
      <c r="W37" s="754">
        <f t="shared" si="12"/>
        <v>100</v>
      </c>
      <c r="X37" s="1900"/>
      <c r="Y37" s="3013" t="s">
        <v>2369</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2517</v>
      </c>
      <c r="B41" s="2493" t="s">
        <v>2592</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4" t="s">
        <v>2557</v>
      </c>
      <c r="D50" s="2495"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2017-2-1</v>
      </c>
      <c r="D63" s="1670">
        <f>EDATE(C63,-3)</f>
        <v>42675</v>
      </c>
      <c r="E63" s="1670">
        <f t="shared" ref="E63:O63" si="18">EDATE(D63,-3)</f>
        <v>42583</v>
      </c>
      <c r="F63" s="1670">
        <f t="shared" si="18"/>
        <v>42491</v>
      </c>
      <c r="G63" s="1670">
        <f t="shared" si="18"/>
        <v>42401</v>
      </c>
      <c r="H63" s="1670">
        <f t="shared" si="18"/>
        <v>42309</v>
      </c>
      <c r="I63" s="1670">
        <f t="shared" si="18"/>
        <v>42217</v>
      </c>
      <c r="J63" s="1670">
        <f t="shared" si="18"/>
        <v>42125</v>
      </c>
      <c r="K63" s="1670">
        <f t="shared" si="18"/>
        <v>42036</v>
      </c>
      <c r="L63" s="1670">
        <f t="shared" si="18"/>
        <v>41944</v>
      </c>
      <c r="M63" s="1670">
        <f t="shared" si="18"/>
        <v>41852</v>
      </c>
      <c r="N63" s="1670">
        <f t="shared" si="18"/>
        <v>41760</v>
      </c>
      <c r="O63" s="1670">
        <f t="shared" si="18"/>
        <v>41671</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7" t="s">
        <v>2574</v>
      </c>
      <c r="B65" s="1456"/>
      <c r="C65" s="1671" t="str">
        <f>YEAR(C63)&amp;"-"&amp;ROUNDUP(MONTH(C63)/3,0)</f>
        <v>2017-1</v>
      </c>
      <c r="D65" s="1671" t="str">
        <f t="shared" ref="D65:O65" si="19">YEAR(D63)&amp;"-"&amp;ROUNDUP(MONTH(D63)/3,0)</f>
        <v>2016-4</v>
      </c>
      <c r="E65" s="1671" t="str">
        <f t="shared" si="19"/>
        <v>2016-3</v>
      </c>
      <c r="F65" s="1671" t="str">
        <f t="shared" si="19"/>
        <v>2016-2</v>
      </c>
      <c r="G65" s="1671" t="str">
        <f t="shared" si="19"/>
        <v>2016-1</v>
      </c>
      <c r="H65" s="1671" t="str">
        <f t="shared" si="19"/>
        <v>2015-4</v>
      </c>
      <c r="I65" s="1671" t="str">
        <f t="shared" si="19"/>
        <v>2015-3</v>
      </c>
      <c r="J65" s="1671" t="str">
        <f t="shared" si="19"/>
        <v>2015-2</v>
      </c>
      <c r="K65" s="1671" t="str">
        <f t="shared" si="19"/>
        <v>2015-1</v>
      </c>
      <c r="L65" s="1671" t="str">
        <f t="shared" si="19"/>
        <v>2014-4</v>
      </c>
      <c r="M65" s="1671" t="str">
        <f t="shared" si="19"/>
        <v>2014-3</v>
      </c>
      <c r="N65" s="1671" t="str">
        <f t="shared" si="19"/>
        <v>2014-2</v>
      </c>
      <c r="O65" s="1671" t="str">
        <f t="shared" si="19"/>
        <v>2014-1</v>
      </c>
      <c r="P65" s="488"/>
    </row>
    <row r="66" spans="1:17" s="35" customFormat="1" ht="33.75" customHeight="1">
      <c r="A66" s="2503" t="s">
        <v>2594</v>
      </c>
      <c r="B66" s="284" t="str">
        <f>"北京市平均增长率"&amp;TEXT(基准地价修正!P24,"0.00%")</f>
        <v>北京市平均增长率1.34%</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估价对象为房地产，为所有。根据《不动产权证书》[]，估价对象建筑面积为670.34平方米，（分摊）出让国有建设用地使用权面积为平方米。估价对象用途为。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2017年2月9日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9" zoomScale="90" zoomScaleNormal="90" zoomScaleSheetLayoutView="90" workbookViewId="0">
      <selection activeCell="L27" sqref="L27"/>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2595</v>
      </c>
      <c r="B1" s="2505"/>
      <c r="C1" s="162" t="s">
        <v>2596</v>
      </c>
      <c r="D1" s="2506">
        <f>SUM(D29:D30,D33:D39)</f>
        <v>670.34</v>
      </c>
      <c r="E1" s="2506"/>
      <c r="F1" s="2506"/>
      <c r="G1" s="2506"/>
      <c r="H1" s="2506"/>
      <c r="I1" s="2506"/>
      <c r="J1" s="2506"/>
      <c r="L1" s="2507"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9085788</v>
      </c>
      <c r="C2" s="2509" t="s">
        <v>2604</v>
      </c>
      <c r="D2" s="2510" t="s">
        <v>2605</v>
      </c>
      <c r="E2" s="2511" t="s">
        <v>2824</v>
      </c>
      <c r="F2" s="2510" t="s">
        <v>2606</v>
      </c>
      <c r="G2" s="2512" t="str">
        <f>项目基本情况!F9</f>
        <v>三级</v>
      </c>
      <c r="H2" s="2513" t="s">
        <v>2607</v>
      </c>
      <c r="I2" s="2512" t="str">
        <f>项目基本情况!F10</f>
        <v>Ⅲ—11</v>
      </c>
      <c r="J2" s="2514"/>
      <c r="L2" s="2515"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38954</v>
      </c>
      <c r="U2" s="1710"/>
      <c r="V2" s="1709">
        <f ca="1">ROUND(T2*U2/10000,0)</f>
        <v>0</v>
      </c>
      <c r="W2" s="1713"/>
      <c r="X2" s="1713"/>
      <c r="Y2" s="1713"/>
      <c r="Z2" s="1713"/>
      <c r="AA2" s="1713"/>
      <c r="AB2" s="1713"/>
      <c r="AC2" s="1714"/>
      <c r="AD2" s="1715"/>
      <c r="AE2" s="1715"/>
      <c r="AF2" s="1715"/>
      <c r="AG2" s="1715"/>
      <c r="AH2" s="1715"/>
      <c r="AI2" s="1715"/>
      <c r="AJ2" s="1716"/>
    </row>
    <row r="3" spans="1:36" ht="15.75">
      <c r="A3" s="167" t="s">
        <v>2609</v>
      </c>
      <c r="B3" s="168">
        <f ca="1">ROUND(B2/D1,0)</f>
        <v>13554</v>
      </c>
      <c r="C3" s="2509" t="s">
        <v>2610</v>
      </c>
      <c r="D3" s="2510" t="s">
        <v>2611</v>
      </c>
      <c r="E3" s="2516" t="s">
        <v>2827</v>
      </c>
      <c r="F3" s="2517" t="s">
        <v>2612</v>
      </c>
      <c r="G3" s="941">
        <f>项目基本情况!C15</f>
        <v>2.5</v>
      </c>
      <c r="H3" s="115" t="s">
        <v>2613</v>
      </c>
      <c r="I3" s="974">
        <v>6</v>
      </c>
      <c r="J3" s="2514" t="s">
        <v>2614</v>
      </c>
      <c r="L3" s="2515" t="s">
        <v>2615</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27961</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0"/>
      <c r="B4" s="3061"/>
      <c r="C4" s="3061"/>
      <c r="D4" s="3062"/>
      <c r="E4" s="3062"/>
      <c r="F4" s="3062"/>
      <c r="G4" s="3062"/>
      <c r="H4" s="3062"/>
      <c r="I4" s="3062"/>
      <c r="J4" s="3063"/>
      <c r="L4" s="2515"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22558</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2617</v>
      </c>
      <c r="B5" s="2519" t="s">
        <v>2618</v>
      </c>
      <c r="C5" s="942">
        <f>ROUND(IF(E2="商业",IF(F16="增加",C6*C7+C16,C6*C7-C16),IF(E2="住宅",IF(F16="增加",C6*C12+C16,C6*C12-C16),IF(F16="增加",C6+C16,C6-C16))),0)</f>
        <v>19264</v>
      </c>
      <c r="D5" s="1877">
        <f>ROUND(IF(E2="商业",IF(F16="增加",C6+C16,C6-C16)),0)</f>
        <v>19264</v>
      </c>
      <c r="E5" s="1877">
        <f>ROUND(IF(E2="住宅",IF(F16="增加",C6+C16,C6-C16)),0)</f>
        <v>0</v>
      </c>
      <c r="F5" s="2520"/>
      <c r="G5" s="2521"/>
      <c r="H5" s="2521"/>
      <c r="I5" s="2521"/>
      <c r="J5" s="2522"/>
      <c r="K5" s="2523"/>
      <c r="L5" s="2515" t="s">
        <v>2619</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18100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2620</v>
      </c>
      <c r="C6" s="943">
        <f>SUMIF(L1:L12,G2,M1:M12)</f>
        <v>19300</v>
      </c>
      <c r="D6" s="2530" t="s">
        <v>2621</v>
      </c>
      <c r="E6" s="2531"/>
      <c r="F6" s="2531"/>
      <c r="G6" s="2532"/>
      <c r="H6" s="2532"/>
      <c r="I6" s="2532"/>
      <c r="J6" s="2533"/>
      <c r="K6" s="2534"/>
      <c r="L6" s="2515"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15413</v>
      </c>
      <c r="U6" s="1710"/>
      <c r="V6" s="1709">
        <f t="shared" ca="1" si="1"/>
        <v>0</v>
      </c>
      <c r="W6" s="1713"/>
      <c r="X6" s="1713"/>
      <c r="Y6" s="1713"/>
      <c r="Z6" s="1713"/>
      <c r="AA6" s="1713"/>
      <c r="AB6" s="1713"/>
      <c r="AC6" s="2524"/>
      <c r="AD6" s="2525"/>
      <c r="AE6" s="2525"/>
      <c r="AF6" s="2525"/>
      <c r="AG6" s="2525"/>
      <c r="AH6" s="2525"/>
      <c r="AI6" s="2525"/>
      <c r="AJ6" s="2526"/>
    </row>
    <row r="7" spans="1:36" ht="24">
      <c r="A7" s="3064">
        <f>IF(E2="商业",IF(C8="不临58条商业街","",2),"")</f>
        <v>2</v>
      </c>
      <c r="B7" s="2535" t="s">
        <v>2623</v>
      </c>
      <c r="C7" s="944">
        <f>IF(C8="不临58条商业街",1,ROUND(1+(1.6*E8+1.2*E9+0.8*E10+0.4*E11)*C9,4))</f>
        <v>1</v>
      </c>
      <c r="D7" s="2536" t="s">
        <v>2624</v>
      </c>
      <c r="E7" s="975">
        <v>60</v>
      </c>
      <c r="F7" s="2537"/>
      <c r="G7" s="2538"/>
      <c r="H7" s="2538"/>
      <c r="I7" s="2538"/>
      <c r="J7" s="2539"/>
      <c r="K7" s="2534"/>
      <c r="L7" s="2515"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13554</v>
      </c>
      <c r="U7" s="1710"/>
      <c r="V7" s="1709">
        <f t="shared" ca="1" si="1"/>
        <v>0</v>
      </c>
      <c r="W7" s="1905" t="s">
        <v>2626</v>
      </c>
      <c r="X7" s="1711" t="str">
        <f>G2</f>
        <v>三级</v>
      </c>
      <c r="Y7" s="1711" t="s">
        <v>2627</v>
      </c>
      <c r="Z7" s="1712">
        <f>G3</f>
        <v>2.5</v>
      </c>
      <c r="AA7" s="1713"/>
      <c r="AB7" s="1713"/>
      <c r="AC7" s="1714"/>
      <c r="AD7" s="1715"/>
      <c r="AE7" s="1715"/>
      <c r="AF7" s="1715"/>
      <c r="AG7" s="1715"/>
      <c r="AH7" s="1715"/>
      <c r="AI7" s="1715"/>
      <c r="AJ7" s="1716"/>
    </row>
    <row r="8" spans="1:36" ht="15">
      <c r="A8" s="3065"/>
      <c r="B8" s="115" t="s">
        <v>2628</v>
      </c>
      <c r="C8" s="2540"/>
      <c r="D8" s="945" t="s">
        <v>89</v>
      </c>
      <c r="E8" s="946">
        <f>ROUND(C11/E7,4)</f>
        <v>0</v>
      </c>
      <c r="F8" s="2541" t="s">
        <v>2629</v>
      </c>
      <c r="G8" s="2542"/>
      <c r="H8" s="2542"/>
      <c r="I8" s="2542"/>
      <c r="J8" s="2543"/>
      <c r="L8" s="2515"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7" t="s">
        <v>2631</v>
      </c>
      <c r="X8" s="3058"/>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65"/>
      <c r="B9" s="115" t="s">
        <v>2644</v>
      </c>
      <c r="C9" s="947">
        <f>SUMIF(修正!C59:C119,C8,修正!E59:E119)</f>
        <v>0</v>
      </c>
      <c r="D9" s="117" t="s">
        <v>90</v>
      </c>
      <c r="E9" s="117">
        <f>ROUND(C11/E7,4)</f>
        <v>0</v>
      </c>
      <c r="F9" s="2541" t="s">
        <v>2645</v>
      </c>
      <c r="G9" s="2542"/>
      <c r="H9" s="2542"/>
      <c r="I9" s="2542"/>
      <c r="J9" s="2543"/>
      <c r="L9" s="2515"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9"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2649</v>
      </c>
      <c r="C10" s="117">
        <f>SUMIF(修正!C59:C119,C8,修正!F59:F119)</f>
        <v>0</v>
      </c>
      <c r="D10" s="117" t="s">
        <v>91</v>
      </c>
      <c r="E10" s="117">
        <f>ROUND(C11/E7,4)</f>
        <v>0</v>
      </c>
      <c r="F10" s="2541" t="s">
        <v>2650</v>
      </c>
      <c r="G10" s="2542"/>
      <c r="H10" s="2542"/>
      <c r="I10" s="2542"/>
      <c r="J10" s="2543"/>
      <c r="L10" s="2515"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4" t="s">
        <v>2652</v>
      </c>
      <c r="C11" s="948">
        <f>C10/4</f>
        <v>0</v>
      </c>
      <c r="D11" s="948" t="s">
        <v>92</v>
      </c>
      <c r="E11" s="948">
        <f>ROUND(C11/E7,4)</f>
        <v>0</v>
      </c>
      <c r="F11" s="2545" t="s">
        <v>2653</v>
      </c>
      <c r="G11" s="2546"/>
      <c r="H11" s="2546"/>
      <c r="I11" s="2546"/>
      <c r="J11" s="2547"/>
      <c r="L11" s="2515"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9" t="s">
        <v>2655</v>
      </c>
      <c r="X11" s="1722" t="s">
        <v>2656</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4" t="str">
        <f>IF(E2="住宅",2,"")</f>
        <v/>
      </c>
      <c r="B12" s="2548" t="s">
        <v>2657</v>
      </c>
      <c r="C12" s="944">
        <f>ROUND(C15*D15*E15*F15*G15*H15*I15*J15,4)</f>
        <v>1.32</v>
      </c>
      <c r="D12" s="2549" t="s">
        <v>2658</v>
      </c>
      <c r="E12" s="2550"/>
      <c r="F12" s="2550"/>
      <c r="G12" s="2551"/>
      <c r="H12" s="2551"/>
      <c r="I12" s="2551"/>
      <c r="J12" s="2552"/>
      <c r="L12" s="2553"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9"/>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6"/>
      <c r="B13" s="2554" t="s">
        <v>2661</v>
      </c>
      <c r="C13" s="2555" t="s">
        <v>2662</v>
      </c>
      <c r="D13" s="2556" t="s">
        <v>2663</v>
      </c>
      <c r="E13" s="2556" t="s">
        <v>2664</v>
      </c>
      <c r="F13" s="20" t="s">
        <v>2665</v>
      </c>
      <c r="G13" s="2557" t="s">
        <v>2666</v>
      </c>
      <c r="H13" s="2557" t="s">
        <v>2666</v>
      </c>
      <c r="I13" s="2557" t="s">
        <v>2666</v>
      </c>
      <c r="J13" s="2558" t="s">
        <v>2666</v>
      </c>
      <c r="L13" s="1462"/>
      <c r="M13" s="1462"/>
      <c r="N13" s="1462"/>
      <c r="O13" s="1462"/>
      <c r="P13" s="1462"/>
      <c r="Q13" s="1462"/>
      <c r="R13" s="1709">
        <v>12</v>
      </c>
      <c r="S13" s="1710"/>
      <c r="T13" s="1709">
        <f t="shared" ca="1" si="0"/>
        <v>0</v>
      </c>
      <c r="U13" s="1710"/>
      <c r="V13" s="1709">
        <f t="shared" ca="1" si="1"/>
        <v>0</v>
      </c>
      <c r="W13" s="305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6"/>
      <c r="B14" s="2559"/>
      <c r="C14" s="2560" t="s">
        <v>2667</v>
      </c>
      <c r="D14" s="2561" t="s">
        <v>2668</v>
      </c>
      <c r="E14" s="2561" t="s">
        <v>2668</v>
      </c>
      <c r="F14" s="2562" t="s">
        <v>2669</v>
      </c>
      <c r="G14" s="2563" t="s">
        <v>2670</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7"/>
      <c r="B15" s="2567" t="s">
        <v>2671</v>
      </c>
      <c r="C15" s="150">
        <f>IF(C14="有",1.1,1)</f>
        <v>1.1000000000000001</v>
      </c>
      <c r="D15" s="150">
        <f>IF(D14="有",1.1,1)</f>
        <v>1</v>
      </c>
      <c r="E15" s="150">
        <f>IF(E14="有",1.1,1)</f>
        <v>1</v>
      </c>
      <c r="F15" s="150">
        <f>IF(F14="500米范围内",1.2,IF(F14="500-1000米",1.1,1))</f>
        <v>1.2</v>
      </c>
      <c r="G15" s="976">
        <v>1</v>
      </c>
      <c r="H15" s="976">
        <v>1</v>
      </c>
      <c r="I15" s="976">
        <v>1</v>
      </c>
      <c r="J15" s="977">
        <v>1</v>
      </c>
      <c r="L15" s="2568" t="s">
        <v>2672</v>
      </c>
      <c r="M15" s="945" t="s">
        <v>2673</v>
      </c>
      <c r="N15" s="945" t="s">
        <v>2674</v>
      </c>
      <c r="O15" s="945" t="s">
        <v>2675</v>
      </c>
      <c r="P15" s="2569" t="s">
        <v>2676</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4">
        <f>IF(E2="办公",2,IF(E2="工业",2,IF(E2="住宅",3,IF(E2="商业",IF(C8="不临58条商业街",2,3)))))</f>
        <v>3</v>
      </c>
      <c r="B16" s="2535" t="s">
        <v>2677</v>
      </c>
      <c r="C16" s="1885">
        <f>ROUND(SUM(G17:J17)/C17,0)</f>
        <v>36</v>
      </c>
      <c r="D16" s="2570" t="s">
        <v>2678</v>
      </c>
      <c r="E16" s="2737" t="s">
        <v>2843</v>
      </c>
      <c r="F16" s="2738" t="s">
        <v>2829</v>
      </c>
      <c r="G16" s="2739" t="s">
        <v>2828</v>
      </c>
      <c r="H16" s="2571" t="s">
        <v>2844</v>
      </c>
      <c r="I16" s="2571"/>
      <c r="J16" s="2572"/>
      <c r="L16" s="1460" t="s">
        <v>2679</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5"/>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2686</v>
      </c>
      <c r="B19" s="2576" t="s">
        <v>2687</v>
      </c>
      <c r="C19" s="952">
        <f>ROUND(IF(H19="按公示增长率计算",SUMPRODUCT((地价!A3:A24=YEAR(G19)&amp;"-"&amp;ROUNDUP(MONTH(G19)/3,0))*(地价!X2:AB2=E2)*(地价!X3:AB24)),IF(H19="地价指数",M20/M19,(1+I19)^O19)),4)</f>
        <v>1.1966000000000001</v>
      </c>
      <c r="D19" s="2584" t="s">
        <v>2688</v>
      </c>
      <c r="E19" s="953">
        <v>41640</v>
      </c>
      <c r="F19" s="2584" t="s">
        <v>2689</v>
      </c>
      <c r="G19" s="954">
        <f>'数据-取费表'!B2</f>
        <v>42775</v>
      </c>
      <c r="H19" s="2585" t="s">
        <v>2830</v>
      </c>
      <c r="I19" s="955" t="str">
        <f>IF(H19="季度增幅（自定义）",SUMIF(N21:N24,E2,O21:O24),"")</f>
        <v/>
      </c>
      <c r="J19" s="2581"/>
      <c r="K19" s="2582"/>
      <c r="L19" s="2586" t="s">
        <v>2690</v>
      </c>
      <c r="M19" s="1826">
        <f>ROUND(SUMIF(地价!B2:F2,E2,地价!B24:F24),0)</f>
        <v>258</v>
      </c>
      <c r="N19" s="1466" t="s">
        <v>2691</v>
      </c>
      <c r="O19" s="956">
        <f>ROUNDDOWN(DATEDIF(E19,G19,"M")/3,0)</f>
        <v>12</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2692</v>
      </c>
      <c r="B20" s="2591" t="s">
        <v>2693</v>
      </c>
      <c r="C20" s="957">
        <f ca="1">ROUND(POWER(1+G20,J20-I20)*(POWER(1+G20,I20)-1)/(POWER(1+G20,J20)-1),4)</f>
        <v>0.87139999999999995</v>
      </c>
      <c r="D20" s="2592" t="s">
        <v>2694</v>
      </c>
      <c r="E20" s="1856">
        <f ca="1">存贷款利率!D4/100</f>
        <v>4.3499999999999997E-2</v>
      </c>
      <c r="F20" s="2592" t="s">
        <v>2683</v>
      </c>
      <c r="G20" s="963">
        <f ca="1">SUMIF(M15:P15,E2,M17:P17)</f>
        <v>5.3999999999999999E-2</v>
      </c>
      <c r="H20" s="2592" t="s">
        <v>2695</v>
      </c>
      <c r="I20" s="964">
        <f>'数据-取费表'!B13</f>
        <v>27.54</v>
      </c>
      <c r="J20" s="965">
        <f>IF(E2="住宅",70,IF(E2="商业",40,50))</f>
        <v>40</v>
      </c>
      <c r="K20" s="2582"/>
      <c r="L20" s="2593" t="s">
        <v>2696</v>
      </c>
      <c r="M20" s="1827">
        <f>ROUND(SUMPRODUCT((地价!A4:A24=YEAR(G19)&amp;"-"&amp;ROUNDUP(MONTH(G19)/3,0))*(地价!B2:F2=E2)*(地价!B4:F24)),0)</f>
        <v>308</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7" customFormat="1" ht="15">
      <c r="A21" s="2597" t="s">
        <v>2700</v>
      </c>
      <c r="B21" s="2598" t="s">
        <v>2831</v>
      </c>
      <c r="C21" s="966">
        <f>IF(B21="容积率修正",IF(G3&lt;=10,D22,J22),C23)</f>
        <v>0.6482</v>
      </c>
      <c r="D21" s="2599"/>
      <c r="E21" s="2599"/>
      <c r="F21" s="2599"/>
      <c r="G21" s="2599"/>
      <c r="H21" s="2599"/>
      <c r="I21" s="2599"/>
      <c r="J21" s="2600"/>
      <c r="K21" s="2582"/>
      <c r="N21" s="2601" t="s">
        <v>2701</v>
      </c>
      <c r="O21" s="1664"/>
      <c r="P21" s="1665">
        <f>SUMPRODUCT((地价!A3:A24=YEAR(G19)&amp;"-"&amp;ROUNDUP(MONTH(G19)/3,0))*(地价!AD2:AH2=N21)*(地价!AD3:AH24))</f>
        <v>1.5699999999999999E-2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2702</v>
      </c>
      <c r="C22" s="1899" t="s">
        <v>2703</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2704</v>
      </c>
      <c r="O22" s="1664"/>
      <c r="P22" s="1665">
        <f>SUMPRODUCT((地价!A3:A24=YEAR(G19)&amp;"-"&amp;ROUNDUP(MONTH(G19)/3,0))*(地价!AD2:AH2=N22)*(地价!AD3:AH24))</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2705</v>
      </c>
      <c r="C23" s="958">
        <f>ROUND(IF(G3&gt;1,IF(I3&lt;7,SUMPRODUCT((B93:B98=I3)*(C92:N92=G2)*(C93:N98)),SUMIF(C92:N92,G2,C100:N100)),IF(I3&lt;7,SUMPRODUCT((B102:B107=I3)*(C92:N92=G2)*(C102:N107)),SUMIF(C92:N92,G2,C109:N109))),4)</f>
        <v>0.6482</v>
      </c>
      <c r="D23" s="2564"/>
      <c r="E23" s="2564"/>
      <c r="F23" s="2604"/>
      <c r="G23" s="2605"/>
      <c r="H23" s="2606"/>
      <c r="I23" s="2607"/>
      <c r="J23" s="2608"/>
      <c r="N23" s="2601" t="s">
        <v>2706</v>
      </c>
      <c r="O23" s="1664"/>
      <c r="P23" s="1665">
        <f>SUMPRODUCT((地价!A3:A24=YEAR(G19)&amp;"-"&amp;ROUNDUP(MONTH(G19)/3,0))*(地价!AD2:AH2=N23)*(地价!AD3:AH24))</f>
        <v>2.6599999999999999E-2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2707</v>
      </c>
      <c r="B24" s="2610" t="s">
        <v>2708</v>
      </c>
      <c r="C24" s="968">
        <f>SUMIF(A46:A88,E2,B46:B88)</f>
        <v>1.0409999999999999</v>
      </c>
      <c r="D24" s="2611"/>
      <c r="E24" s="2612"/>
      <c r="F24" s="2612"/>
      <c r="G24" s="2612"/>
      <c r="H24" s="2612"/>
      <c r="I24" s="2612"/>
      <c r="J24" s="2613"/>
      <c r="K24" s="2582"/>
      <c r="N24" s="2614" t="s">
        <v>2709</v>
      </c>
      <c r="O24" s="1666"/>
      <c r="P24" s="1667">
        <f>SUMPRODUCT((地价!A3:A24=YEAR(G19)&amp;"-"&amp;ROUNDUP(MONTH(G19)/3,0))*(地价!AD2:AH2=N24)*(地价!AD3:AH24))</f>
        <v>1.34E-2</v>
      </c>
      <c r="R24" s="1462"/>
      <c r="S24" s="1462"/>
      <c r="T24" s="1462"/>
      <c r="U24" s="1462"/>
      <c r="V24" s="1462"/>
      <c r="W24" s="1462"/>
      <c r="X24" s="1462"/>
      <c r="Y24" s="1462"/>
      <c r="Z24" s="1462"/>
      <c r="AA24" s="1462"/>
      <c r="AB24" s="1462"/>
      <c r="AC24" s="1462"/>
      <c r="AD24" s="1462"/>
      <c r="AE24" s="2582"/>
      <c r="AF24" s="2582"/>
    </row>
    <row r="25" spans="1:37" ht="15" thickBot="1">
      <c r="A25" s="2590" t="s">
        <v>2710</v>
      </c>
      <c r="B25" s="2615" t="s">
        <v>2711</v>
      </c>
      <c r="C25" s="959"/>
      <c r="D25" s="2538"/>
      <c r="E25" s="2538"/>
      <c r="F25" s="2616"/>
      <c r="G25" s="2538"/>
      <c r="H25" s="2538"/>
      <c r="I25" s="2538"/>
      <c r="J25" s="2539"/>
      <c r="L25" s="1462"/>
      <c r="M25" s="1462"/>
      <c r="N25" s="2617" t="s">
        <v>2712</v>
      </c>
      <c r="O25" s="1668"/>
      <c r="P25" s="1667">
        <f>SUMPRODUCT((地价!A3:A24=YEAR(G19)&amp;"-"&amp;ROUNDUP(MONTH(G19)/3,0))*(地价!AD2:AH2=N25)*(地价!AD3:AH24))</f>
        <v>2.3900000000000001E-2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2713</v>
      </c>
      <c r="C26" s="123">
        <f ca="1">E29+SUM(E33:E39)</f>
        <v>9085788</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2714</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2715</v>
      </c>
      <c r="C28" s="2628" t="s">
        <v>2716</v>
      </c>
      <c r="D28" s="2628" t="s">
        <v>2717</v>
      </c>
      <c r="E28" s="2629" t="s">
        <v>2718</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2719</v>
      </c>
      <c r="C29" s="123">
        <f ca="1">ROUND(C5*C18*C19*C20*C21*C24,0)</f>
        <v>13554</v>
      </c>
      <c r="D29" s="2633">
        <f>项目基本情况!C12</f>
        <v>670.34</v>
      </c>
      <c r="E29" s="972">
        <f ca="1">ROUND(C29*D29,0)</f>
        <v>9085788</v>
      </c>
      <c r="F29" s="2634" t="s">
        <v>2720</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2721</v>
      </c>
      <c r="C30" s="150">
        <f ca="1">ROUND(IF(E2="工业",C29*M39,C29*M38),0)</f>
        <v>3389</v>
      </c>
      <c r="D30" s="2639"/>
      <c r="E30" s="972">
        <f ca="1">ROUND(C30*D30,0)</f>
        <v>0</v>
      </c>
      <c r="F30" s="2640" t="s">
        <v>2722</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2723</v>
      </c>
      <c r="C31" s="2645" t="s">
        <v>2724</v>
      </c>
      <c r="D31" s="2551"/>
      <c r="E31" s="2645"/>
      <c r="F31" s="2645"/>
      <c r="G31" s="2549" t="s">
        <v>2725</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6" t="s">
        <v>2727</v>
      </c>
      <c r="B33" s="2648" t="s">
        <v>2728</v>
      </c>
      <c r="C33" s="123">
        <f ca="1">ROUND(D5*C19*C20*C24*F33,0)</f>
        <v>14637</v>
      </c>
      <c r="D33" s="2633"/>
      <c r="E33" s="117">
        <f t="shared" ref="E33:E39" ca="1" si="6">ROUND(C33*D33,0)</f>
        <v>0</v>
      </c>
      <c r="F33" s="117">
        <f>SUMIF(修正!A45:A56,G2,修正!B45:B56)</f>
        <v>0.7</v>
      </c>
      <c r="G33" s="117">
        <f t="shared" ref="G33" ca="1" si="7">ROUND(IF(E2="工业",C33*$M$39,C33*$M$38),0)</f>
        <v>3659</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5" t="s">
        <v>2729</v>
      </c>
      <c r="C34" s="123">
        <f ca="1">ROUND(D5*C19*C20*C24*F34,0)</f>
        <v>8364</v>
      </c>
      <c r="D34" s="2633"/>
      <c r="E34" s="117">
        <f t="shared" ca="1" si="6"/>
        <v>0</v>
      </c>
      <c r="F34" s="117">
        <f>SUMIF(修正!A45:A56,G2,修正!C45:C56)</f>
        <v>0.4</v>
      </c>
      <c r="G34" s="117">
        <f ca="1">ROUND(IF(E2="工业",C34*$M$39,C34*$M$38),0)</f>
        <v>2091</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5" t="s">
        <v>2730</v>
      </c>
      <c r="C35" s="123">
        <f ca="1">ROUND(D5*C19*C20*C24*F35,0)</f>
        <v>5855</v>
      </c>
      <c r="D35" s="2633"/>
      <c r="E35" s="117">
        <f t="shared" ca="1" si="6"/>
        <v>0</v>
      </c>
      <c r="F35" s="117">
        <f>SUMIF(修正!A45:A56,G2,修正!D45:D56)</f>
        <v>0.28000000000000003</v>
      </c>
      <c r="G35" s="117">
        <f ca="1">ROUND(IF(E2="工业",C35*$M$39,C35*$M$38),0)</f>
        <v>1464</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5" t="s">
        <v>2731</v>
      </c>
      <c r="C36" s="123">
        <f ca="1">ROUND(D5*C19*C20*C24*F36,0)</f>
        <v>5228</v>
      </c>
      <c r="D36" s="2633"/>
      <c r="E36" s="117">
        <f t="shared" ca="1" si="6"/>
        <v>0</v>
      </c>
      <c r="F36" s="117">
        <f>SUMIF(修正!A45:A56,G2,修正!E45:E56)</f>
        <v>0.25</v>
      </c>
      <c r="G36" s="117">
        <f ca="1">ROUND(IF(E2="工业",C36*$M$39,C36*$M$38),0)</f>
        <v>1307</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2732</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2733</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2734</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2735</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2736</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2818</v>
      </c>
      <c r="C41" s="367">
        <f ca="1">ROUND(POWER(1+E41,H41-G41)*(POWER(1+E41,G41)-1)/(POWER(1+E41,H41)-1),4)</f>
        <v>0</v>
      </c>
      <c r="D41" s="117" t="s">
        <v>2819</v>
      </c>
      <c r="E41" s="827">
        <f ca="1">G20</f>
        <v>5.3999999999999999E-2</v>
      </c>
      <c r="F41" s="117" t="s">
        <v>2820</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2737</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2738</v>
      </c>
      <c r="B46" s="2665">
        <f>1+E48</f>
        <v>1.0409999999999999</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2739</v>
      </c>
      <c r="B47" s="823" t="s">
        <v>2740</v>
      </c>
      <c r="C47" s="823" t="s">
        <v>2741</v>
      </c>
      <c r="D47" s="823" t="s">
        <v>2742</v>
      </c>
      <c r="E47" s="824" t="s">
        <v>2743</v>
      </c>
      <c r="F47" s="2670" t="s">
        <v>2744</v>
      </c>
      <c r="G47" s="823" t="s">
        <v>2745</v>
      </c>
      <c r="H47" s="2671"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2753</v>
      </c>
      <c r="B48" s="2672" t="str">
        <f>估价对象房地状况!C16</f>
        <v>估价对象位于XX商圈，周边商业氛围成熟，人流量大，商业繁华度好</v>
      </c>
      <c r="C48" s="2561" t="s">
        <v>30</v>
      </c>
      <c r="D48" s="1376">
        <f t="shared" ref="D48:D56" si="10">SUMIF($J$47:$N$47,C48,J48:N48)</f>
        <v>1.6500000000000001E-2</v>
      </c>
      <c r="E48" s="829">
        <f>ROUND(SUM(D48:D56),4)</f>
        <v>4.1000000000000002E-2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2754</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2755</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2756</v>
      </c>
      <c r="B51" s="2674" t="s">
        <v>2757</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2758</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2759</v>
      </c>
      <c r="B53" s="2675" t="s">
        <v>2760</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2761</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2762</v>
      </c>
      <c r="B55" s="2673" t="str">
        <f>估价对象房地状况!C22</f>
        <v>估价对象所在区域基础设施水平</v>
      </c>
      <c r="C55" s="2561" t="s">
        <v>31</v>
      </c>
      <c r="D55" s="1376">
        <f t="shared" si="10"/>
        <v>0</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2763</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2764</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2739</v>
      </c>
      <c r="B58" s="2673"/>
      <c r="C58" s="823" t="s">
        <v>2741</v>
      </c>
      <c r="D58" s="823" t="s">
        <v>2742</v>
      </c>
      <c r="E58" s="824" t="s">
        <v>2743</v>
      </c>
      <c r="F58" s="2670" t="s">
        <v>2744</v>
      </c>
      <c r="G58" s="823" t="s">
        <v>2765</v>
      </c>
      <c r="H58" s="2671" t="s">
        <v>2766</v>
      </c>
      <c r="I58" s="823" t="s">
        <v>2767</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2768</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2754</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2755</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2756</v>
      </c>
      <c r="B62" s="2674" t="s">
        <v>2757</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2758</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2759</v>
      </c>
      <c r="B64" s="2675" t="s">
        <v>2760</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2761</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2762</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2763</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2769</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2739</v>
      </c>
      <c r="B69" s="2673"/>
      <c r="C69" s="823" t="s">
        <v>2741</v>
      </c>
      <c r="D69" s="823" t="s">
        <v>2742</v>
      </c>
      <c r="E69" s="824" t="s">
        <v>2743</v>
      </c>
      <c r="F69" s="2670" t="s">
        <v>2744</v>
      </c>
      <c r="G69" s="823" t="s">
        <v>2765</v>
      </c>
      <c r="H69" s="2671" t="s">
        <v>2766</v>
      </c>
      <c r="I69" s="823" t="s">
        <v>2767</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2770</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2754</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2755</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2771</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2761</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2762</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2759</v>
      </c>
      <c r="B76" s="2675" t="s">
        <v>2760</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2763</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2772</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2773</v>
      </c>
      <c r="B79" s="2680">
        <f>1+E81</f>
        <v>1</v>
      </c>
      <c r="C79" s="817"/>
      <c r="D79" s="817"/>
      <c r="E79" s="818"/>
      <c r="F79" s="2667"/>
      <c r="G79" s="7"/>
      <c r="H79" s="7"/>
      <c r="I79" s="7"/>
      <c r="J79" s="9"/>
      <c r="K79" s="9"/>
      <c r="L79" s="9"/>
      <c r="M79" s="9"/>
      <c r="N79" s="9"/>
      <c r="Z79" s="2508"/>
      <c r="AA79" s="2583"/>
      <c r="AG79" s="2659"/>
      <c r="AK79" s="2583"/>
    </row>
    <row r="80" spans="1:37" ht="24.75">
      <c r="A80" s="2669" t="s">
        <v>2739</v>
      </c>
      <c r="B80" s="2673"/>
      <c r="C80" s="823" t="s">
        <v>2741</v>
      </c>
      <c r="D80" s="823" t="s">
        <v>2742</v>
      </c>
      <c r="E80" s="824" t="s">
        <v>2743</v>
      </c>
      <c r="F80" s="2670" t="s">
        <v>2744</v>
      </c>
      <c r="G80" s="823" t="s">
        <v>2765</v>
      </c>
      <c r="H80" s="2671" t="s">
        <v>2766</v>
      </c>
      <c r="I80" s="823" t="s">
        <v>2767</v>
      </c>
      <c r="J80" s="587" t="s">
        <v>2401</v>
      </c>
      <c r="K80" s="587" t="s">
        <v>2402</v>
      </c>
      <c r="L80" s="587" t="s">
        <v>2403</v>
      </c>
      <c r="M80" s="587" t="s">
        <v>2404</v>
      </c>
      <c r="N80" s="587" t="s">
        <v>2405</v>
      </c>
      <c r="Z80" s="2508"/>
      <c r="AA80" s="2583"/>
      <c r="AG80" s="2659"/>
      <c r="AK80" s="2583"/>
    </row>
    <row r="81" spans="1:37" ht="38.25">
      <c r="A81" s="2669" t="s">
        <v>2774</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2754</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2755</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2771</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2761</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2762</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2759</v>
      </c>
      <c r="B87" s="2675" t="s">
        <v>2760</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2775</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68" t="s">
        <v>2776</v>
      </c>
      <c r="B90" s="3068"/>
      <c r="C90" s="3068"/>
      <c r="D90" s="3068"/>
      <c r="E90" s="3068"/>
      <c r="F90" s="3068"/>
      <c r="G90" s="3068"/>
      <c r="H90" s="3068"/>
      <c r="I90" s="3068"/>
      <c r="J90" s="3068"/>
      <c r="K90" s="2686"/>
      <c r="L90" s="2686"/>
      <c r="M90" s="2686"/>
      <c r="N90" s="2686"/>
    </row>
    <row r="91" spans="1:37">
      <c r="A91" s="3070" t="s">
        <v>2777</v>
      </c>
      <c r="B91" s="3070" t="s">
        <v>2778</v>
      </c>
      <c r="C91" s="2634" t="s">
        <v>2779</v>
      </c>
      <c r="D91" s="2635"/>
      <c r="E91" s="2635"/>
      <c r="F91" s="2635"/>
      <c r="G91" s="2635"/>
      <c r="H91" s="2635"/>
      <c r="I91" s="2635"/>
      <c r="J91" s="2687"/>
      <c r="K91" s="2688"/>
      <c r="L91" s="2688"/>
      <c r="M91" s="2688"/>
      <c r="N91" s="2688"/>
    </row>
    <row r="92" spans="1:37">
      <c r="A92" s="3070"/>
      <c r="B92" s="3070"/>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71" t="s">
        <v>2780</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2648</v>
      </c>
      <c r="C99" s="2691">
        <f>$I$3</f>
        <v>6</v>
      </c>
      <c r="D99" s="2691">
        <f t="shared" ref="D99:M99" si="30">$I$3</f>
        <v>6</v>
      </c>
      <c r="E99" s="2691">
        <f t="shared" si="30"/>
        <v>6</v>
      </c>
      <c r="F99" s="2691">
        <f t="shared" si="30"/>
        <v>6</v>
      </c>
      <c r="G99" s="2691">
        <f t="shared" si="30"/>
        <v>6</v>
      </c>
      <c r="H99" s="2691">
        <f t="shared" si="30"/>
        <v>6</v>
      </c>
      <c r="I99" s="2691">
        <f t="shared" si="30"/>
        <v>6</v>
      </c>
      <c r="J99" s="2691">
        <f t="shared" si="30"/>
        <v>6</v>
      </c>
      <c r="K99" s="2691">
        <f t="shared" si="30"/>
        <v>6</v>
      </c>
      <c r="L99" s="2691">
        <f t="shared" si="30"/>
        <v>6</v>
      </c>
      <c r="M99" s="2691">
        <f t="shared" si="30"/>
        <v>6</v>
      </c>
      <c r="N99" s="2691">
        <f>$I$3</f>
        <v>6</v>
      </c>
    </row>
    <row r="100" spans="1:14">
      <c r="A100" s="3073"/>
      <c r="B100" s="2689">
        <v>7</v>
      </c>
      <c r="C100" s="2692">
        <f>(-0.163*(C99^2)-0.59*C99+7617)*(10^(-4))</f>
        <v>0.76075919999999997</v>
      </c>
      <c r="D100" s="2692">
        <f>(-0.163*(D99^2)-0.59*D99+7617)*(10^(-4))</f>
        <v>0.76075919999999997</v>
      </c>
      <c r="E100" s="2692">
        <f>(-0.161*(E99^2)-7.509*E99+6533)*(10^(-4))</f>
        <v>0.64821499999999999</v>
      </c>
      <c r="F100" s="2692">
        <f>(-0.161*(F99^2)-7.509*F99+6533)*(10^(-4))</f>
        <v>0.64821499999999999</v>
      </c>
      <c r="G100" s="2692">
        <f>(-0.161*(G99^2)-7.509*G99+6533)*(10^(-4))</f>
        <v>0.64821499999999999</v>
      </c>
      <c r="H100" s="2692">
        <f>(-0.161*(H99^2)-7.509*H99+6533)*(10^(-4))</f>
        <v>0.64821499999999999</v>
      </c>
      <c r="I100" s="2692">
        <f>(-0.161*(I99^2)-7.509*I99+6533)*(10^(-4))</f>
        <v>0.64821499999999999</v>
      </c>
      <c r="J100" s="2692">
        <f>(-0.214*(J99^2)-21.991*J99+4665)*(10^(-4))</f>
        <v>0.45253500000000008</v>
      </c>
      <c r="K100" s="2692">
        <f>(-0.214*(K99^2)-21.991*K99+4665)*(10^(-4))</f>
        <v>0.45253500000000008</v>
      </c>
      <c r="L100" s="2692">
        <f>(-0.214*(L99^2)-21.991*L99+4665)*(10^(-4))</f>
        <v>0.45253500000000008</v>
      </c>
      <c r="M100" s="2692">
        <f>(-0.214*(M99^2)-21.991*M99+4665)*(10^(-4))</f>
        <v>0.45253500000000008</v>
      </c>
      <c r="N100" s="2692">
        <f>(-0.214*(N99^2)-21.991*N99+4665)*(10^(-4))</f>
        <v>0.45253500000000008</v>
      </c>
    </row>
    <row r="101" spans="1:14">
      <c r="A101" s="3071" t="s">
        <v>2781</v>
      </c>
      <c r="B101" s="2693" t="s">
        <v>2782</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7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7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7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7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7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7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72"/>
      <c r="B108" s="3074" t="s">
        <v>2783</v>
      </c>
      <c r="C108" s="2691">
        <f>C99</f>
        <v>6</v>
      </c>
      <c r="D108" s="2691">
        <f t="shared" ref="D108:N108" si="32">D99</f>
        <v>6</v>
      </c>
      <c r="E108" s="2691">
        <f t="shared" si="32"/>
        <v>6</v>
      </c>
      <c r="F108" s="2691">
        <f t="shared" si="32"/>
        <v>6</v>
      </c>
      <c r="G108" s="2691">
        <f t="shared" si="32"/>
        <v>6</v>
      </c>
      <c r="H108" s="2691">
        <f t="shared" si="32"/>
        <v>6</v>
      </c>
      <c r="I108" s="2691">
        <f t="shared" si="32"/>
        <v>6</v>
      </c>
      <c r="J108" s="2691">
        <f t="shared" si="32"/>
        <v>6</v>
      </c>
      <c r="K108" s="2691">
        <f t="shared" si="32"/>
        <v>6</v>
      </c>
      <c r="L108" s="2691">
        <f t="shared" si="32"/>
        <v>6</v>
      </c>
      <c r="M108" s="2691">
        <f t="shared" si="32"/>
        <v>6</v>
      </c>
      <c r="N108" s="2691">
        <f t="shared" si="32"/>
        <v>6</v>
      </c>
    </row>
    <row r="109" spans="1:14">
      <c r="A109" s="3073"/>
      <c r="B109" s="3075"/>
      <c r="C109" s="2692">
        <f>(-0.163*(C108^2)-0.59*C108+7617)*(10^(-4))/C101</f>
        <v>0.30430367999999997</v>
      </c>
      <c r="D109" s="2692">
        <f>(-0.163*(D108^2)-0.59*D108+7617)*(10^(-4))/D101</f>
        <v>0.30430367999999997</v>
      </c>
      <c r="E109" s="2692">
        <f>(-0.161*(E108^2)-7.509*E108+6533)*(10^(-4))/E101</f>
        <v>0.25928600000000002</v>
      </c>
      <c r="F109" s="2692">
        <f>(-0.161*(F108^2)-7.509*F108+6533)*(10^(-4))/F101</f>
        <v>0.25928600000000002</v>
      </c>
      <c r="G109" s="2692">
        <f>(-0.161*(G108^2)-7.509*G108+6533)*(10^(-4))/G101</f>
        <v>0.25928600000000002</v>
      </c>
      <c r="H109" s="2692">
        <f>(-0.161*(H108^2)-7.509*H108+6533)*(10^(-4))/H101</f>
        <v>0.25928600000000002</v>
      </c>
      <c r="I109" s="2692">
        <f>(-0.161*(I108^2)-7.509*I108+6533)*(10^(-4))/I101</f>
        <v>0.25928600000000002</v>
      </c>
      <c r="J109" s="2692">
        <f>(-0.214*(J108^2)-21.991*J108+4665)*(10^(-4))/J101</f>
        <v>0.18101400000000004</v>
      </c>
      <c r="K109" s="2692">
        <f>(-0.214*(K108^2)-21.991*K108+4665)*(10^(-4))/K101</f>
        <v>0.18101400000000004</v>
      </c>
      <c r="L109" s="2692">
        <f>(-0.214*(L108^2)-21.991*L108+4665)*(10^(-4))/L101</f>
        <v>0.18101400000000004</v>
      </c>
      <c r="M109" s="2692">
        <f>(-0.214*(M108^2)-21.991*M108+4665)*(10^(-4))/M101</f>
        <v>0.18101400000000004</v>
      </c>
      <c r="N109" s="2692">
        <f>(-0.214*(N108^2)-21.991*N108+4665)*(10^(-4))/N101</f>
        <v>0.18101400000000004</v>
      </c>
    </row>
    <row r="110" spans="1:14">
      <c r="A110" s="3069" t="s">
        <v>2784</v>
      </c>
      <c r="B110" s="3069"/>
      <c r="C110" s="3069"/>
      <c r="D110" s="3069"/>
      <c r="E110" s="3069"/>
      <c r="F110" s="3069"/>
      <c r="G110" s="3069"/>
      <c r="H110" s="3069"/>
      <c r="I110" s="3069"/>
      <c r="J110" s="3069"/>
      <c r="K110" s="2695"/>
      <c r="L110" s="2695"/>
      <c r="M110" s="2695"/>
      <c r="N110" s="2695"/>
    </row>
    <row r="112" spans="1:14" ht="13.5" thickBot="1"/>
    <row r="113" spans="1:13" ht="25.5" thickBot="1">
      <c r="A113" s="928" t="s">
        <v>2785</v>
      </c>
      <c r="B113" s="1379">
        <f>G3</f>
        <v>2.5</v>
      </c>
      <c r="C113" s="929" t="s">
        <v>2786</v>
      </c>
      <c r="D113" s="930">
        <f>SUMPRODUCT((A115:A118=F113)*(B114:M114=H113)*B115:M118)</f>
        <v>0.80589999999999995</v>
      </c>
      <c r="E113" s="2697" t="s">
        <v>2672</v>
      </c>
      <c r="F113" s="2698" t="str">
        <f>E2</f>
        <v>商业</v>
      </c>
      <c r="G113" s="2697" t="s">
        <v>2606</v>
      </c>
      <c r="H113" s="2698" t="str">
        <f>G2</f>
        <v>三级</v>
      </c>
      <c r="I113" s="2697"/>
      <c r="J113" s="2699"/>
      <c r="K113" s="2699"/>
      <c r="L113" s="2699"/>
      <c r="M113" s="2699"/>
    </row>
    <row r="114" spans="1:13">
      <c r="A114" s="933"/>
      <c r="B114" s="2700" t="s">
        <v>2787</v>
      </c>
      <c r="C114" s="2700" t="s">
        <v>2788</v>
      </c>
      <c r="D114" s="2700" t="s">
        <v>2789</v>
      </c>
      <c r="E114" s="2701" t="s">
        <v>2790</v>
      </c>
      <c r="F114" s="2701" t="s">
        <v>2791</v>
      </c>
      <c r="G114" s="2701" t="s">
        <v>2792</v>
      </c>
      <c r="H114" s="2702" t="s">
        <v>2793</v>
      </c>
      <c r="I114" s="2702" t="s">
        <v>2794</v>
      </c>
      <c r="J114" s="2703" t="s">
        <v>2795</v>
      </c>
      <c r="K114" s="2703" t="s">
        <v>2796</v>
      </c>
      <c r="L114" s="2703" t="s">
        <v>2797</v>
      </c>
      <c r="M114" s="2704" t="s">
        <v>2798</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5" t="s">
        <v>1031</v>
      </c>
      <c r="H1" s="3085"/>
      <c r="I1" s="3085"/>
      <c r="J1" s="3085"/>
      <c r="K1" s="3085"/>
      <c r="L1" s="3085"/>
      <c r="N1" s="3085" t="s">
        <v>1032</v>
      </c>
      <c r="O1" s="3085"/>
      <c r="P1" s="3085"/>
      <c r="Q1" s="3085"/>
      <c r="R1" s="1548"/>
      <c r="S1" s="3085" t="s">
        <v>1033</v>
      </c>
      <c r="T1" s="3085"/>
      <c r="U1" s="3085"/>
      <c r="V1" s="3085"/>
      <c r="X1" s="3084" t="s">
        <v>1034</v>
      </c>
      <c r="Y1" s="3085"/>
      <c r="Z1" s="3085"/>
      <c r="AA1" s="3085"/>
      <c r="AB1" s="3085"/>
      <c r="AD1" s="3084" t="s">
        <v>1035</v>
      </c>
      <c r="AE1" s="3085"/>
      <c r="AF1" s="3085"/>
      <c r="AG1" s="3085"/>
      <c r="AH1" s="3085"/>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2806</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2814</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2812</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6">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7">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7">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8">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6">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7">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7">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42775</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54" sqref="N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781</v>
      </c>
      <c r="D5" s="2760"/>
      <c r="E5" s="1927"/>
    </row>
    <row r="6" spans="1:5" ht="14.25">
      <c r="A6" s="1927"/>
      <c r="B6" s="1932" t="str">
        <f>项目基本情况!I1</f>
        <v>房地产</v>
      </c>
      <c r="C6" s="2761">
        <f>项目基本情况!C12</f>
        <v>670.34</v>
      </c>
      <c r="D6" s="2761"/>
      <c r="E6" s="1927"/>
    </row>
    <row r="7" spans="1:5" ht="14.25">
      <c r="A7" s="1927"/>
      <c r="B7" s="2755" t="s">
        <v>782</v>
      </c>
      <c r="C7" s="1933" t="str">
        <f>IF('数据-取费表'!B3="万元","总价（万元）","总价（元）")</f>
        <v>总价（元）</v>
      </c>
      <c r="D7" s="1934">
        <f ca="1">IF('数据-取费表'!E3="否",结果表!I102,'结果表 (1修多)'!I103)</f>
        <v>15328205</v>
      </c>
      <c r="E7" s="1927"/>
    </row>
    <row r="8" spans="1:5" ht="28.5">
      <c r="A8" s="1927"/>
      <c r="B8" s="2755"/>
      <c r="C8" s="1935" t="s">
        <v>1172</v>
      </c>
      <c r="D8" s="1936" t="str">
        <f ca="1">IF('数据-取费表'!B3="万元",NUMBERSTRING(INT(D7*10000),2)&amp;"元整",NUMBERSTRING(INT(D7),2)&amp;"元整")</f>
        <v>壹仟伍佰叁拾贰万捌仟贰佰零伍元整</v>
      </c>
      <c r="E8" s="1927"/>
    </row>
    <row r="9" spans="1:5" ht="14.25">
      <c r="A9" s="1927"/>
      <c r="B9" s="2755"/>
      <c r="C9" s="1937" t="s">
        <v>1270</v>
      </c>
      <c r="D9" s="1934">
        <f ca="1">IF('数据-取费表'!E3="否",结果表!I103,'结果表 (1修多)'!I104)</f>
        <v>22866</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15328205</v>
      </c>
      <c r="E15" s="1927"/>
    </row>
    <row r="16" spans="1:5" ht="28.5">
      <c r="A16" s="1927"/>
      <c r="B16" s="2762"/>
      <c r="C16" s="1935" t="s">
        <v>1172</v>
      </c>
      <c r="D16" s="1934" t="str">
        <f ca="1">IF('数据-取费表'!B3="万元",NUMBERSTRING(INT(D15*10000),2)&amp;"元整",NUMBERSTRING(INT(D15),2)&amp;"元整")</f>
        <v>壹仟伍佰叁拾贰万捌仟贰佰零伍元整</v>
      </c>
      <c r="E16" s="1927"/>
    </row>
    <row r="17" spans="1:5" ht="14.25">
      <c r="A17" s="1927"/>
      <c r="B17" s="2762"/>
      <c r="C17" s="1937" t="s">
        <v>1270</v>
      </c>
      <c r="D17" s="1934">
        <f ca="1">IF('数据-取费表'!E3="否",结果表!I111,'结果表 (1修多)'!I112)</f>
        <v>22866</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1172</v>
      </c>
      <c r="D19" s="1934" t="e">
        <f>IF('数据-取费表'!B3="万元",NUMBERSTRING(INT(D18*10000),2)&amp;"元整",NUMBERSTRING(INT(D18),2)&amp;"元整")</f>
        <v>#VALUE!</v>
      </c>
      <c r="E19" s="1927"/>
    </row>
    <row r="20" spans="1:5" ht="14.25">
      <c r="A20" s="1927"/>
      <c r="B20" s="2762"/>
      <c r="C20" s="1937" t="s">
        <v>1270</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1172</v>
      </c>
      <c r="D22" s="1936" t="e">
        <f>IF('数据-取费表'!B3="万元",NUMBERSTRING(INT(D21*10000),2)&amp;"元整",NUMBERSTRING(INT(D21),2)&amp;"元整")</f>
        <v>#VALUE!</v>
      </c>
      <c r="E22" s="1927"/>
    </row>
    <row r="23" spans="1:5" ht="15" thickBot="1">
      <c r="A23" s="1927"/>
      <c r="B23" s="2756"/>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1271</v>
      </c>
      <c r="C25" s="2747"/>
      <c r="D25" s="2747"/>
      <c r="E25" s="1927"/>
    </row>
    <row r="26" spans="1:5" ht="18.75" customHeight="1" thickTop="1">
      <c r="A26" s="1927"/>
      <c r="B26" s="2750" t="s">
        <v>1171</v>
      </c>
      <c r="C26" s="2751"/>
      <c r="D26" s="2748" t="s">
        <v>1170</v>
      </c>
      <c r="E26" s="1927"/>
    </row>
    <row r="27" spans="1:5" ht="18.75" customHeight="1">
      <c r="A27" s="1927"/>
      <c r="B27" s="2752"/>
      <c r="C27" s="2753"/>
      <c r="D27" s="2749"/>
      <c r="E27" s="1927"/>
    </row>
    <row r="28" spans="1:5" ht="14.25">
      <c r="A28" s="1927"/>
      <c r="B28" s="2740" t="s">
        <v>782</v>
      </c>
      <c r="C28" s="1944" t="s">
        <v>1173</v>
      </c>
      <c r="D28" s="1945">
        <f ca="1">IF('数据-取费表'!E3="否",结果表!I102,'结果表 (1修多)'!I103)</f>
        <v>15328205</v>
      </c>
      <c r="E28" s="1927"/>
    </row>
    <row r="29" spans="1:5" ht="28.5">
      <c r="A29" s="1927"/>
      <c r="B29" s="2741"/>
      <c r="C29" s="1946" t="s">
        <v>1172</v>
      </c>
      <c r="D29" s="1947" t="str">
        <f ca="1">IF('数据-取费表'!B3="万元",NUMBERSTRING(INT(D28*10000),2)&amp;"元整",NUMBERSTRING(INT(D28),2)&amp;"元整")</f>
        <v>壹仟伍佰叁拾贰万捌仟贰佰零伍元整</v>
      </c>
      <c r="E29" s="1927"/>
    </row>
    <row r="30" spans="1:5" ht="14.25">
      <c r="A30" s="1927"/>
      <c r="B30" s="2742"/>
      <c r="C30" s="1937" t="s">
        <v>1175</v>
      </c>
      <c r="D30" s="1948">
        <f ca="1">IF('数据-取费表'!E3="否",结果表!I103,'结果表 (1修多)'!I104)</f>
        <v>22866</v>
      </c>
      <c r="E30" s="1927"/>
    </row>
    <row r="31" spans="1:5" ht="14.25">
      <c r="A31" s="1927"/>
      <c r="B31" s="2745" t="str">
        <f>B10</f>
        <v>2.估价师所知悉的法定优先受偿款</v>
      </c>
      <c r="C31" s="1949" t="s">
        <v>1174</v>
      </c>
      <c r="D31" s="1950">
        <f>IF('数据-取费表'!E3="否",结果表!I105,'结果表 (1修多)'!I106)</f>
        <v>0</v>
      </c>
      <c r="E31" s="1927"/>
    </row>
    <row r="32" spans="1:5" ht="14.25">
      <c r="A32" s="1927"/>
      <c r="B32" s="2754"/>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15328205</v>
      </c>
      <c r="E36" s="1927"/>
    </row>
    <row r="37" spans="1:5" ht="28.5">
      <c r="A37" s="1927"/>
      <c r="B37" s="2743"/>
      <c r="C37" s="1946" t="s">
        <v>1172</v>
      </c>
      <c r="D37" s="1951" t="str">
        <f ca="1">IF('数据-取费表'!B3="万元",NUMBERSTRING(INT(D36*10000),2)&amp;"元整",NUMBERSTRING(INT(D36),2)&amp;"元整")</f>
        <v>壹仟伍佰叁拾贰万捌仟贰佰零伍元整</v>
      </c>
      <c r="E37" s="1927"/>
    </row>
    <row r="38" spans="1:5" ht="14.25">
      <c r="A38" s="1927"/>
      <c r="B38" s="2743"/>
      <c r="C38" s="1937" t="s">
        <v>1176</v>
      </c>
      <c r="D38" s="1948">
        <f ca="1">IF('数据-取费表'!E3="否",结果表!D113,'结果表 (1修多)'!D116)</f>
        <v>22866</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1172</v>
      </c>
      <c r="D40" s="1951" t="e">
        <f>IF('数据-取费表'!B3="万元",NUMBERSTRING(INT(D39*10000),2)&amp;"元整",NUMBERSTRING(INT(D39),2)&amp;"元整")</f>
        <v>#VALUE!</v>
      </c>
      <c r="E40" s="1927"/>
    </row>
    <row r="41" spans="1:5" ht="14.25">
      <c r="A41" s="1927"/>
      <c r="B41" s="2744"/>
      <c r="C41" s="1937" t="s">
        <v>1176</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1172</v>
      </c>
      <c r="D43" s="1952" t="e">
        <f>IF('数据-取费表'!B3="万元",NUMBERSTRING(INT(D42*10000),2)&amp;"元整",NUMBERSTRING(INT(D42),2)&amp;"元整")</f>
        <v>#VALUE!</v>
      </c>
      <c r="E43" s="1927"/>
    </row>
    <row r="44" spans="1:5" ht="15" thickBot="1">
      <c r="A44" s="1927"/>
      <c r="B44" s="2746"/>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9" t="s">
        <v>1277</v>
      </c>
      <c r="E3" s="1049" t="s">
        <v>1278</v>
      </c>
      <c r="F3" s="1049" t="s">
        <v>1277</v>
      </c>
      <c r="G3" s="1049" t="s">
        <v>1279</v>
      </c>
      <c r="H3" s="1049" t="s">
        <v>1277</v>
      </c>
      <c r="I3" s="1049" t="s">
        <v>1279</v>
      </c>
    </row>
    <row r="4" spans="1:9" ht="46.5" customHeight="1">
      <c r="A4" s="1049" t="str">
        <f>项目基本情况!I1</f>
        <v>房地产</v>
      </c>
      <c r="B4" s="1049">
        <f>结果表!B121</f>
        <v>670.34</v>
      </c>
      <c r="C4" s="1049">
        <f>结果表!C121</f>
        <v>0</v>
      </c>
      <c r="D4" s="1049">
        <f ca="1">IF('数据-取费表'!E3="否",结果表!D121,'结果表 (1修多)'!D124)</f>
        <v>12645769</v>
      </c>
      <c r="E4" s="1049">
        <f ca="1">IF('数据-取费表'!E3="否",结果表!E121,'结果表 (1修多)'!E124)</f>
        <v>18865</v>
      </c>
      <c r="F4" s="1049">
        <f ca="1">IF('数据-取费表'!E3="否",结果表!F121,'结果表 (1修多)'!F124)</f>
        <v>2682436</v>
      </c>
      <c r="G4" s="1049">
        <f ca="1">IF('数据-取费表'!E3="否",结果表!G121,'结果表 (1修多)'!G124)</f>
        <v>4002</v>
      </c>
      <c r="H4" s="1049">
        <f ca="1">IF('数据-取费表'!E3="否",结果表!H121,'结果表 (1修多)'!H124)</f>
        <v>15328205</v>
      </c>
      <c r="I4" s="1049">
        <f ca="1">IF('数据-取费表'!E3="否",结果表!I121,'结果表 (1修多)'!I124)</f>
        <v>22866</v>
      </c>
    </row>
    <row r="5" spans="1:9" ht="15">
      <c r="A5" s="2763" t="s">
        <v>1280</v>
      </c>
      <c r="B5" s="2763"/>
      <c r="C5" s="2763"/>
      <c r="D5" s="2764" t="str">
        <f ca="1">IF('数据-取费表'!E3="否",结果表!D122,'结果表 (1修多)'!D125)</f>
        <v>壹仟贰佰陆拾肆万伍仟柒佰陆拾玖元整</v>
      </c>
      <c r="E5" s="2764"/>
      <c r="F5" s="2764" t="str">
        <f ca="1">IF('数据-取费表'!E3="否",结果表!F122,'结果表 (1修多)'!F125)</f>
        <v>贰佰陆拾捌万贰仟肆佰叁拾陆元整</v>
      </c>
      <c r="G5" s="2764"/>
      <c r="H5" s="2764" t="str">
        <f ca="1">IF('数据-取费表'!E3="否",结果表!H122,'结果表 (1修多)'!H125)</f>
        <v>壹仟伍佰叁拾贰万捌仟贰佰零伍元整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15328205</v>
      </c>
      <c r="E8" s="2765"/>
      <c r="F8" s="2765"/>
      <c r="G8" s="2765"/>
      <c r="H8" s="2765"/>
      <c r="I8" s="2765"/>
    </row>
    <row r="9" spans="1:9" ht="15">
      <c r="A9" s="2763" t="s">
        <v>1280</v>
      </c>
      <c r="B9" s="2763"/>
      <c r="C9" s="2763"/>
      <c r="D9" s="2764">
        <f ca="1">IF('数据-取费表'!E3="否",结果表!D126,'结果表 (1修多)'!D129)</f>
        <v>22866</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1294</v>
      </c>
      <c r="B1" s="2775"/>
      <c r="C1" s="2775"/>
      <c r="D1" s="2775"/>
    </row>
    <row r="2" spans="1:4" ht="18">
      <c r="A2" s="2774" t="s">
        <v>1282</v>
      </c>
      <c r="B2" s="2774"/>
      <c r="C2" s="2774"/>
      <c r="D2" s="2774"/>
    </row>
    <row r="3" spans="1:4" ht="18.75">
      <c r="A3" s="1956" t="s">
        <v>1283</v>
      </c>
      <c r="B3" s="1956" t="s">
        <v>1284</v>
      </c>
      <c r="C3" s="1956" t="s">
        <v>1285</v>
      </c>
      <c r="D3" s="1956" t="s">
        <v>1286</v>
      </c>
    </row>
    <row r="4" spans="1:4" ht="56.25" customHeight="1">
      <c r="A4" s="1957" t="str">
        <f>项目基本情况!B3</f>
        <v>叶凌</v>
      </c>
      <c r="B4" s="1958">
        <f ca="1">项目基本情况!C3</f>
        <v>1119970111</v>
      </c>
      <c r="C4" s="1959"/>
      <c r="D4" s="1960" t="s">
        <v>1295</v>
      </c>
    </row>
    <row r="5" spans="1:4" ht="56.25" customHeight="1">
      <c r="A5" s="1957" t="str">
        <f>项目基本情况!D3</f>
        <v>杨红英</v>
      </c>
      <c r="B5" s="1958">
        <f ca="1">项目基本情况!E3</f>
        <v>1120070085</v>
      </c>
      <c r="C5" s="1961"/>
      <c r="D5" s="1960" t="s">
        <v>1295</v>
      </c>
    </row>
    <row r="6" spans="1:4" ht="12" customHeight="1">
      <c r="A6" s="1957"/>
      <c r="B6" s="1958"/>
      <c r="C6" s="1962"/>
      <c r="D6" s="1960"/>
    </row>
    <row r="7" spans="1:4" ht="18">
      <c r="A7" s="2774" t="s">
        <v>1287</v>
      </c>
      <c r="B7" s="2774"/>
      <c r="C7" s="2774"/>
      <c r="D7" s="2774"/>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43580</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2815</v>
      </c>
      <c r="B14" s="1031">
        <f ca="1">IF(C14&lt;B2,"已过期",1120040230)</f>
        <v>1120040230</v>
      </c>
      <c r="C14" s="2733">
        <v>43835</v>
      </c>
      <c r="D14" s="1812" t="str">
        <f t="shared" ca="1" si="0"/>
        <v>苏海（注册号：1120040230）</v>
      </c>
      <c r="E14" s="2734" t="s">
        <v>2815</v>
      </c>
      <c r="F14" s="1031">
        <f ca="1">IF(G14&lt;B2,"已过期",98030020)</f>
        <v>98030020</v>
      </c>
      <c r="G14" s="1039">
        <v>47118</v>
      </c>
      <c r="H14" s="1813" t="str">
        <f t="shared" ca="1" si="1"/>
        <v>苏海（注册号：98030020）</v>
      </c>
    </row>
    <row r="15" spans="1:8" ht="24" customHeight="1">
      <c r="A15" s="1814" t="s">
        <v>2817</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2816</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2019-04-25T06:04:24Z</dcterms:modified>
</cp:coreProperties>
</file>