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17" i="1"/>
  <c r="N6" i="1"/>
  <c r="C66" i="9" l="1"/>
  <c r="E26" i="9" l="1"/>
  <c r="C75" i="9"/>
  <c r="D2" i="78" l="1"/>
  <c r="D1" i="78"/>
  <c r="D3" i="78" s="1"/>
  <c r="C2" i="78"/>
  <c r="AD17" i="1"/>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F13" i="15"/>
  <c r="M24" i="67"/>
  <c r="AO7" i="1"/>
  <c r="M8" i="15"/>
  <c r="F8" i="15"/>
  <c r="F40" i="15"/>
  <c r="E10" i="76"/>
  <c r="F36" i="67"/>
  <c r="F37" i="67"/>
  <c r="C76" i="67"/>
  <c r="F43" i="15"/>
  <c r="F26" i="15"/>
  <c r="M8" i="67"/>
  <c r="F43" i="67"/>
  <c r="M26" i="67"/>
  <c r="AO10" i="1"/>
  <c r="D4" i="73"/>
  <c r="F16" i="67"/>
  <c r="M22" i="15"/>
  <c r="F7" i="15"/>
  <c r="D2" i="35"/>
  <c r="AO11" i="1"/>
  <c r="F6" i="73"/>
  <c r="M21" i="67"/>
  <c r="B11" i="76"/>
  <c r="D2" i="33"/>
  <c r="F6" i="67"/>
  <c r="F42" i="15"/>
  <c r="D2" i="37"/>
  <c r="M6" i="15"/>
  <c r="F26" i="67"/>
  <c r="M23" i="15"/>
  <c r="B13" i="76"/>
  <c r="B10" i="76"/>
  <c r="F36" i="15"/>
  <c r="F5" i="73"/>
  <c r="F3" i="73"/>
  <c r="M24" i="15"/>
  <c r="F8" i="67"/>
  <c r="M9" i="67"/>
  <c r="M28" i="67"/>
  <c r="F13" i="67"/>
  <c r="M9" i="15"/>
  <c r="F6" i="15"/>
  <c r="B8" i="76"/>
  <c r="J15" i="67"/>
  <c r="L47" i="15"/>
  <c r="F16" i="15"/>
  <c r="E11" i="76"/>
  <c r="AO13" i="1"/>
  <c r="F7" i="73"/>
  <c r="F37" i="15"/>
  <c r="M6" i="67"/>
  <c r="L48" i="67"/>
  <c r="D3" i="73"/>
  <c r="D2" i="36"/>
  <c r="M26" i="15"/>
  <c r="F42" i="67"/>
  <c r="M23" i="67"/>
  <c r="E13" i="76"/>
  <c r="D2" i="34"/>
  <c r="M29" i="67"/>
  <c r="E7" i="76"/>
  <c r="F35" i="67"/>
  <c r="C76" i="15"/>
  <c r="F7" i="67"/>
  <c r="F9" i="67"/>
  <c r="E8" i="76"/>
  <c r="M29" i="15"/>
  <c r="AO9" i="1"/>
  <c r="D5" i="73"/>
  <c r="B9" i="76"/>
  <c r="F9" i="15"/>
  <c r="D6" i="73"/>
  <c r="F38" i="15"/>
  <c r="L47" i="67"/>
  <c r="E9" i="76"/>
  <c r="E2" i="68"/>
  <c r="AO12" i="1"/>
  <c r="J15" i="15"/>
  <c r="L48" i="15"/>
  <c r="M28" i="15"/>
  <c r="F41" i="67"/>
  <c r="D7" i="73"/>
  <c r="F38" i="67"/>
  <c r="E12" i="76"/>
  <c r="M22" i="67"/>
  <c r="B7" i="76"/>
  <c r="E2" i="69"/>
  <c r="B12" i="76"/>
  <c r="AO8" i="1"/>
  <c r="F4" i="73"/>
  <c r="F20" i="31"/>
  <c r="M27" i="67"/>
  <c r="F40" i="67"/>
  <c r="D2" i="21"/>
  <c r="C18" i="9" l="1"/>
  <c r="D18" i="9" s="1"/>
  <c r="D19" i="12"/>
  <c r="C19" i="12" s="1"/>
  <c r="D70" i="39"/>
  <c r="E68" i="39"/>
  <c r="F68" i="39" s="1"/>
  <c r="C21" i="68"/>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4" i="15"/>
  <c r="G1" i="73"/>
  <c r="C16" i="67"/>
  <c r="C14" i="67"/>
  <c r="C17" i="15"/>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M27" i="15"/>
  <c r="F69" i="15" l="1"/>
  <c r="E39" i="43"/>
  <c r="G39" i="43"/>
  <c r="I39" i="43" s="1"/>
  <c r="G34" i="43"/>
  <c r="I34" i="43" s="1"/>
  <c r="E34" i="43"/>
  <c r="E35" i="43"/>
  <c r="G35" i="43"/>
  <c r="I35" i="43" s="1"/>
  <c r="E38" i="43"/>
  <c r="G38" i="43"/>
  <c r="I38" i="43" s="1"/>
  <c r="E37" i="43"/>
  <c r="G37" i="43"/>
  <c r="I37" i="43" s="1"/>
  <c r="G33" i="43"/>
  <c r="I33" i="43" s="1"/>
  <c r="E33" i="43"/>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26" i="43" l="1"/>
  <c r="B2" i="43" s="1"/>
  <c r="C27" i="43"/>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M21" i="15"/>
  <c r="F35" i="15"/>
  <c r="E6" i="76"/>
  <c r="B2" i="76" l="1"/>
  <c r="C7" i="68"/>
  <c r="E2" i="76"/>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D19" i="9"/>
  <c r="AO6" i="1"/>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C20" i="9"/>
  <c r="D34" i="9"/>
  <c r="D35" i="9"/>
  <c r="D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<sst xmlns="http://schemas.openxmlformats.org/spreadsheetml/2006/main" count="7444" uniqueCount="3186">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</sst>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7491;&#19996;&#22269;&#38469;-&#29579;&#32043;&#29020;20220817-1335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15631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2022年8月10日</v>
      </c>
    </row>
    <row r="13" spans="1:2" s="1337" customFormat="1">
      <c r="A13" s="1335" t="s">
        <v>1135</v>
      </c>
      <c r="B13" s="1336"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24485</v>
      </c>
    </row>
    <row r="21" spans="1:2" s="1337" customFormat="1">
      <c r="A21" s="1335" t="s">
        <v>1143</v>
      </c>
      <c r="B21" s="1336">
        <f ca="1">'预评函-2'!D7</f>
        <v>39358</v>
      </c>
    </row>
    <row r="22" spans="1:2" s="1337" customFormat="1">
      <c r="A22" s="1335" t="s">
        <v>1144</v>
      </c>
      <c r="B22" s="1336" t="str">
        <f ca="1">'预评函-2'!D6</f>
        <v>贰亿肆仟肆佰捌拾伍万元整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24485</v>
      </c>
    </row>
    <row r="31" spans="1:2" s="1337" customFormat="1">
      <c r="A31" s="1335" t="s">
        <v>1182</v>
      </c>
      <c r="B31" s="1336">
        <f ca="1">'预评函-2'!D15</f>
        <v>39358</v>
      </c>
    </row>
    <row r="32" spans="1:2" s="1337" customFormat="1">
      <c r="A32" s="1335" t="s">
        <v>1149</v>
      </c>
      <c r="B32" s="1336" t="str">
        <f ca="1">'预评函-2'!D14</f>
        <v>贰亿肆仟肆佰捌拾伍万元整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24473</v>
      </c>
    </row>
    <row r="39" spans="1:2" s="1337" customFormat="1">
      <c r="A39" s="1335" t="s">
        <v>1151</v>
      </c>
      <c r="B39" s="1336">
        <f ca="1">'预评函-2'!D21</f>
        <v>39338</v>
      </c>
    </row>
    <row r="40" spans="1:2" s="1337" customFormat="1">
      <c r="A40" s="1335" t="s">
        <v>1152</v>
      </c>
      <c r="B40" s="1336" t="str">
        <f ca="1">'预评函-2'!D20</f>
        <v>贰亿肆仟肆佰柒拾叁万元整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21669</v>
      </c>
    </row>
    <row r="48" spans="1:2" s="1337" customFormat="1">
      <c r="A48" s="1335" t="s">
        <v>1155</v>
      </c>
      <c r="B48" s="1336">
        <f ca="1">'预评函-3'!E4</f>
        <v>34832</v>
      </c>
    </row>
    <row r="49" spans="1:2" s="1337" customFormat="1">
      <c r="A49" s="1335" t="s">
        <v>1156</v>
      </c>
      <c r="B49" s="1336" t="str">
        <f ca="1">'预评函-3'!D5</f>
        <v>贰亿壹仟陆佰陆拾玖万元整</v>
      </c>
    </row>
    <row r="50" spans="1:2" s="1337" customFormat="1">
      <c r="A50" s="1335" t="s">
        <v>1180</v>
      </c>
      <c r="B50" s="1336" t="str">
        <f>'预评函-3'!F2</f>
        <v>在建建筑物价值</v>
      </c>
    </row>
    <row r="51" spans="1:2" s="1337" customFormat="1">
      <c r="A51" s="1335" t="s">
        <v>1157</v>
      </c>
      <c r="B51" s="1336">
        <f ca="1">'预评函-3'!F4</f>
        <v>2816</v>
      </c>
    </row>
    <row r="52" spans="1:2" s="1337" customFormat="1">
      <c r="A52" s="1335" t="s">
        <v>1158</v>
      </c>
      <c r="B52" s="1336">
        <f ca="1">'预评函-3'!G4</f>
        <v>4526</v>
      </c>
    </row>
    <row r="53" spans="1:2" s="1337" customFormat="1">
      <c r="A53" s="1335" t="s">
        <v>1186</v>
      </c>
      <c r="B53" s="1336" t="str">
        <f ca="1">'预评函-3'!F5</f>
        <v>贰仟捌佰壹拾陆万元整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44783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59"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0"/>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19.91</v>
      </c>
      <c r="F15" s="2606">
        <f>IF(B12="出让",IF(F13="","",ROUNDDOWN(MIN((F13-$D$3)/365,F14),2)),F14)</f>
        <v>29.92</v>
      </c>
      <c r="G15" s="2606" t="str">
        <f>IF(B12="出让",IF(G13="","",ROUNDDOWN(MIN((G13-$D$3)/365,G14),2)),G14)</f>
        <v/>
      </c>
      <c r="H15" s="2606" t="str">
        <f>IF(B12="出让",IF(H13="","",ROUNDDOWN(MIN((H13-$D$3)/365,H14),2)),H14)</f>
        <v/>
      </c>
      <c r="I15" s="2606">
        <f>IF(B12="出让",IF(I13="","",ROUNDDOWN(MIN((I13-$D$3)/365,I14),2)),I14)</f>
        <v>4.1100000000000003</v>
      </c>
      <c r="J15" s="2635"/>
      <c r="K15" s="2814"/>
      <c r="L15" s="2647"/>
      <c r="M15" s="2647"/>
      <c r="N15" s="2705"/>
      <c r="O15" s="2647"/>
      <c r="P15" s="2705"/>
      <c r="Q15" s="2635"/>
      <c r="R15" s="2635"/>
    </row>
    <row r="16" spans="1:28">
      <c r="A16" s="2594" t="s">
        <v>2877</v>
      </c>
      <c r="B16" s="3266"/>
      <c r="C16" s="3267"/>
      <c r="D16" s="3268"/>
      <c r="E16" s="2609" t="s">
        <v>2878</v>
      </c>
      <c r="F16" s="3269"/>
      <c r="G16" s="3270"/>
      <c r="H16" s="3270"/>
      <c r="I16" s="3271"/>
      <c r="J16" s="2635"/>
      <c r="K16" s="2814"/>
      <c r="L16" s="2647"/>
      <c r="M16" s="2647"/>
      <c r="N16" s="2705"/>
      <c r="O16" s="2647"/>
      <c r="P16" s="2705"/>
      <c r="Q16" s="2635"/>
      <c r="R16" s="2635"/>
    </row>
    <row r="17" spans="1:28">
      <c r="A17" s="319" t="s">
        <v>2879</v>
      </c>
      <c r="B17" s="308" t="s">
        <v>2880</v>
      </c>
      <c r="C17" s="11">
        <f>'数据-汇总表'!E3</f>
        <v>6221.16</v>
      </c>
      <c r="D17" s="2515" t="s">
        <v>2881</v>
      </c>
      <c r="E17" s="3272" t="s">
        <v>2882</v>
      </c>
      <c r="F17" s="3273"/>
      <c r="G17" s="3273"/>
      <c r="H17" s="3273"/>
      <c r="I17" s="3274"/>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75" t="s">
        <v>2886</v>
      </c>
      <c r="F18" s="3276"/>
      <c r="G18" s="3276"/>
      <c r="H18" s="3276"/>
      <c r="I18" s="3277"/>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62" t="s">
        <v>2890</v>
      </c>
      <c r="C20" s="3263"/>
      <c r="D20" s="3264" t="s">
        <v>2891</v>
      </c>
      <c r="E20" s="3265"/>
      <c r="F20" s="2844" t="s">
        <v>1681</v>
      </c>
      <c r="G20" s="2861"/>
      <c r="H20" s="2861"/>
      <c r="I20" s="2861"/>
      <c r="J20" s="2635"/>
      <c r="K20" s="326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9"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9"/>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9"/>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0"/>
      <c r="B30" s="308" t="s">
        <v>2902</v>
      </c>
      <c r="C30" s="3281"/>
      <c r="D30" s="3282"/>
      <c r="E30" s="2861"/>
      <c r="F30" s="2861"/>
      <c r="G30" s="2861"/>
      <c r="H30" s="2861"/>
      <c r="I30" s="2861"/>
      <c r="J30" s="2635"/>
      <c r="K30" s="2812"/>
      <c r="L30" s="2809"/>
      <c r="M30" s="2809"/>
      <c r="N30" s="2635"/>
      <c r="O30" s="2646"/>
      <c r="P30" s="2635"/>
      <c r="Q30" s="2635"/>
      <c r="R30" s="2635"/>
      <c r="S30" s="2635"/>
      <c r="T30" s="2635"/>
      <c r="U30" s="2635"/>
      <c r="V30" s="2635"/>
    </row>
    <row r="31" spans="1:28">
      <c r="A31" s="3283"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78" t="s">
        <v>2912</v>
      </c>
      <c r="T34" s="2624" t="str">
        <f>NUMBERSTRING(7-K34,1)&amp;"通"</f>
        <v>七通</v>
      </c>
      <c r="U34" s="2635"/>
      <c r="V34" s="2635"/>
    </row>
    <row r="35" spans="1:30">
      <c r="A35" s="2625"/>
      <c r="B35" s="3285" t="s">
        <v>2913</v>
      </c>
      <c r="C35" s="3285"/>
      <c r="D35" s="3285"/>
      <c r="E35" s="3285"/>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78"/>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363</v>
      </c>
      <c r="C38" s="2628" t="s">
        <v>363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44783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29.92</v>
      </c>
      <c r="G6" s="69">
        <f>IF(ISERROR(ROUND(POWER(1+H6,D6-F6)*(POWER(1+H6,F6)-1)/(POWER(1+H6,D6)-1),3)),0,ROUND(POWER(1+H6,D6-F6)*(POWER(1+H6,F6)-1)/(POWER(1+H6,D6)-1),3))</f>
        <v>0.84099999999999997</v>
      </c>
      <c r="H6" s="741">
        <v>0.05</v>
      </c>
      <c r="I6" s="741">
        <v>5.5E-2</v>
      </c>
      <c r="J6" s="70">
        <v>8.5000000000000006E-2</v>
      </c>
      <c r="K6" s="1161">
        <f>SUMIF('数据-汇总表'!C$19:C$33,A6,'数据-汇总表'!E$19:E$33)</f>
        <v>6221.16</v>
      </c>
      <c r="L6" s="742">
        <v>4000</v>
      </c>
      <c r="M6" s="71">
        <f t="shared" ref="M6:M14" si="0">ROUND(K6*L6/10000,0)</f>
        <v>2488</v>
      </c>
      <c r="N6" s="740">
        <f>ROUND(N17*0.5+N18*0.5,2)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6">
        <f>ROUND($L$14*S6/10000,0)</f>
        <v>0</v>
      </c>
      <c r="U6" s="74">
        <v>7</v>
      </c>
      <c r="V6" s="75">
        <v>0.03</v>
      </c>
      <c r="W6" s="75">
        <v>0.1</v>
      </c>
      <c r="X6" s="1171"/>
      <c r="Y6" s="76">
        <f>N6</f>
        <v>0.8</v>
      </c>
      <c r="Z6" s="77"/>
      <c r="AA6" s="70"/>
      <c r="AB6" s="70"/>
      <c r="AC6" s="1171"/>
      <c r="AD6" s="78"/>
      <c r="AE6" s="1172">
        <f ca="1">IF(AN6="",0,SUMIF(INDIRECT("'"&amp;AN6&amp;"'"&amp;"!E:E"),$AE$5,INDIRECT("'"&amp;AN6&amp;"'"&amp;"!F:F")))</f>
        <v>29.92</v>
      </c>
      <c r="AF6" s="1502"/>
      <c r="AG6" s="143">
        <f>IF(AF6="",0,AE6-AF6)</f>
        <v>0</v>
      </c>
      <c r="AH6" s="79"/>
      <c r="AI6" s="81">
        <v>365</v>
      </c>
      <c r="AJ6" s="82"/>
      <c r="AK6" s="83">
        <v>1.4999999999999999E-2</v>
      </c>
      <c r="AL6" s="84">
        <v>1.5E-3</v>
      </c>
      <c r="AM6" s="85">
        <v>0.01</v>
      </c>
      <c r="AN6" s="1871" t="s">
        <v>3166</v>
      </c>
      <c r="AO6" s="55">
        <f ca="1">SUMIF(INDIRECT("'"&amp;AN6&amp;"'"&amp;"!A:A"),"总价",INDIRECT("'"&amp;AN6&amp;"'"&amp;"!B:B"))</f>
        <v>22899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0.84099999999999997</v>
      </c>
      <c r="H16" s="95">
        <f>ROUND(SUMPRODUCT(H6:H13,K6:K13)/SUMPRODUCT((H6:H13&gt;0)*(K6:K13)),3)</f>
        <v>0.05</v>
      </c>
      <c r="I16" s="96"/>
      <c r="J16" s="96"/>
      <c r="K16" s="97">
        <f>SUM(K6:K15)</f>
        <v>6221.16</v>
      </c>
      <c r="L16" s="98">
        <f>ROUND(M16*10000/SUM(K6:K14),0)</f>
        <v>3999</v>
      </c>
      <c r="M16" s="98">
        <f>SUM(M6:M14)</f>
        <v>2488</v>
      </c>
      <c r="N16" s="99">
        <f>ROUND(SUMPRODUCT(M6:M14,N6:N14)/M16,3)</f>
        <v>0.8</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44783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24485</v>
      </c>
      <c r="C5" s="2708">
        <f ca="1">ROUND(B5*10000/$B$1,0)</f>
        <v>39358</v>
      </c>
      <c r="D5" s="2708" t="e">
        <f ca="1">ROUND(B5*10000/$B$2,0)</f>
        <v>#DIV/0!</v>
      </c>
      <c r="E5" s="2885"/>
      <c r="F5" s="2886"/>
      <c r="G5" s="2886"/>
      <c r="H5" s="2887"/>
      <c r="I5" s="2887"/>
      <c r="J5" s="2887"/>
      <c r="K5" s="2887"/>
    </row>
    <row r="6" spans="1:11" ht="16.5">
      <c r="A6" s="2708" t="s">
        <v>1262</v>
      </c>
      <c r="B6" s="2708">
        <f ca="1">SUM(G14:G23)</f>
        <v>24485</v>
      </c>
      <c r="C6" s="2708">
        <f ca="1">ROUND(B6*10000/$B$1,0)</f>
        <v>39358</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24473</v>
      </c>
      <c r="C8" s="2708">
        <f ca="1">ROUND(B8*10000/$B$1,0)</f>
        <v>39338</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24485</v>
      </c>
      <c r="E14" s="2714">
        <f ca="1">ROUND(D14*10000/B14,0)</f>
        <v>39358</v>
      </c>
      <c r="F14" s="2714" t="e">
        <f ca="1">ROUND(D14*10000/C14,0)</f>
        <v>#DIV/0!</v>
      </c>
      <c r="G14" s="2714">
        <f ca="1">结果表!D122</f>
        <v>24485</v>
      </c>
      <c r="H14" s="2714" t="str">
        <f>结果表!D124</f>
        <v>——</v>
      </c>
      <c r="I14" s="2714">
        <f ca="1">结果表!D126</f>
        <v>24473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1" zoomScale="115" zoomScaleNormal="100" zoomScaleSheetLayoutView="115" zoomScalePageLayoutView="80" workbookViewId="0">
      <selection activeCell="A71" sqref="A71:H8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5" t="str">
        <f>项目基本情况!S2</f>
        <v>北京市房地产</v>
      </c>
      <c r="B2" s="3376"/>
      <c r="C2" s="3376"/>
      <c r="D2" s="3376"/>
      <c r="E2" s="3376"/>
      <c r="F2" s="3376"/>
      <c r="G2" s="3376"/>
      <c r="H2" s="3376"/>
      <c r="I2" s="3377"/>
    </row>
    <row r="3" spans="1:12" ht="12.75">
      <c r="A3" s="3379" t="s">
        <v>1889</v>
      </c>
      <c r="B3" s="3380"/>
      <c r="C3" s="3380"/>
      <c r="D3" s="3380"/>
      <c r="E3" s="3380"/>
      <c r="F3" s="3380"/>
      <c r="G3" s="3380"/>
      <c r="H3" s="3380"/>
      <c r="I3" s="3380"/>
    </row>
    <row r="4" spans="1:12" ht="14.25">
      <c r="A4" s="1910" t="s">
        <v>1890</v>
      </c>
      <c r="B4" s="1911" t="s">
        <v>1891</v>
      </c>
      <c r="C4" s="1912" t="s">
        <v>3171</v>
      </c>
      <c r="D4" s="1912" t="s">
        <v>3166</v>
      </c>
      <c r="E4" s="3384" t="s">
        <v>1892</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78">
        <v>25</v>
      </c>
      <c r="C5" s="3381"/>
      <c r="D5" s="3369"/>
      <c r="E5" s="136" t="s">
        <v>1894</v>
      </c>
      <c r="F5" s="1913"/>
      <c r="G5" s="1913"/>
      <c r="H5" s="1913"/>
      <c r="I5" s="1527"/>
    </row>
    <row r="6" spans="1:12" ht="12.75">
      <c r="A6" s="3320"/>
      <c r="B6" s="3378"/>
      <c r="C6" s="3383"/>
      <c r="D6" s="3369"/>
      <c r="E6" s="136" t="s">
        <v>1895</v>
      </c>
      <c r="F6" s="1913"/>
      <c r="G6" s="1913"/>
      <c r="H6" s="1913"/>
      <c r="I6" s="1527"/>
    </row>
    <row r="7" spans="1:12" ht="12.75">
      <c r="A7" s="3320"/>
      <c r="B7" s="3378"/>
      <c r="C7" s="3382"/>
      <c r="D7" s="3369"/>
      <c r="E7" s="136" t="s">
        <v>1896</v>
      </c>
      <c r="F7" s="1913"/>
      <c r="G7" s="1913"/>
      <c r="H7" s="1913"/>
      <c r="I7" s="1527"/>
    </row>
    <row r="8" spans="1:12" ht="12.75">
      <c r="A8" s="3320" t="s">
        <v>1897</v>
      </c>
      <c r="B8" s="3378">
        <v>15</v>
      </c>
      <c r="C8" s="3381"/>
      <c r="D8" s="3369"/>
      <c r="E8" s="136" t="s">
        <v>1898</v>
      </c>
      <c r="F8" s="1913"/>
      <c r="G8" s="1913"/>
      <c r="H8" s="1913"/>
      <c r="I8" s="1527"/>
    </row>
    <row r="9" spans="1:12" ht="12.75">
      <c r="A9" s="3320"/>
      <c r="B9" s="3378"/>
      <c r="C9" s="3382"/>
      <c r="D9" s="3369"/>
      <c r="E9" s="136" t="s">
        <v>1899</v>
      </c>
      <c r="F9" s="1913"/>
      <c r="G9" s="1913"/>
      <c r="H9" s="1913"/>
      <c r="I9" s="1527"/>
    </row>
    <row r="10" spans="1:12" ht="12.75">
      <c r="A10" s="3320" t="s">
        <v>1900</v>
      </c>
      <c r="B10" s="3378">
        <v>15</v>
      </c>
      <c r="C10" s="3381"/>
      <c r="D10" s="3369"/>
      <c r="E10" s="136" t="s">
        <v>1901</v>
      </c>
      <c r="F10" s="1913"/>
      <c r="G10" s="1913"/>
      <c r="H10" s="1913"/>
      <c r="I10" s="1527"/>
    </row>
    <row r="11" spans="1:12" ht="12.75">
      <c r="A11" s="3320"/>
      <c r="B11" s="3378"/>
      <c r="C11" s="3382"/>
      <c r="D11" s="3369"/>
      <c r="E11" s="136" t="s">
        <v>1902</v>
      </c>
      <c r="F11" s="1913"/>
      <c r="G11" s="1913"/>
      <c r="H11" s="1913"/>
      <c r="I11" s="1527"/>
    </row>
    <row r="12" spans="1:12" ht="12.75">
      <c r="A12" s="3320" t="s">
        <v>1903</v>
      </c>
      <c r="B12" s="3378">
        <v>15</v>
      </c>
      <c r="C12" s="3381"/>
      <c r="D12" s="3369"/>
      <c r="E12" s="136" t="s">
        <v>1904</v>
      </c>
      <c r="F12" s="1913"/>
      <c r="G12" s="1913"/>
      <c r="H12" s="1913"/>
      <c r="I12" s="1527"/>
    </row>
    <row r="13" spans="1:12" ht="12.75">
      <c r="A13" s="3320"/>
      <c r="B13" s="3378"/>
      <c r="C13" s="3382"/>
      <c r="D13" s="3369"/>
      <c r="E13" s="136" t="s">
        <v>1905</v>
      </c>
      <c r="F13" s="1913"/>
      <c r="G13" s="1913"/>
      <c r="H13" s="1913"/>
      <c r="I13" s="1527"/>
    </row>
    <row r="14" spans="1:12" ht="12.75">
      <c r="A14" s="3320" t="s">
        <v>1906</v>
      </c>
      <c r="B14" s="3378">
        <v>30</v>
      </c>
      <c r="C14" s="3381">
        <v>5</v>
      </c>
      <c r="D14" s="3369">
        <v>5</v>
      </c>
      <c r="E14" s="136" t="s">
        <v>1907</v>
      </c>
      <c r="F14" s="1913"/>
      <c r="G14" s="1913"/>
      <c r="H14" s="1913"/>
      <c r="I14" s="1527"/>
    </row>
    <row r="15" spans="1:12" ht="12.75">
      <c r="A15" s="3320"/>
      <c r="B15" s="3378"/>
      <c r="C15" s="3383"/>
      <c r="D15" s="3369"/>
      <c r="E15" s="136" t="s">
        <v>1908</v>
      </c>
      <c r="F15" s="1913"/>
      <c r="G15" s="1913"/>
      <c r="H15" s="1913"/>
      <c r="I15" s="1527"/>
    </row>
    <row r="16" spans="1:12" ht="12.75">
      <c r="A16" s="3320"/>
      <c r="B16" s="3378"/>
      <c r="C16" s="3382"/>
      <c r="D16" s="3369"/>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00" t="s">
        <v>2811</v>
      </c>
      <c r="F18" s="3401"/>
      <c r="G18" s="3401"/>
      <c r="H18" s="3401"/>
      <c r="I18" s="3401"/>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26070</v>
      </c>
      <c r="D19" s="140">
        <f ca="1">SUMIF(INDIRECT("'"&amp;D4&amp;"'"&amp;"!A:A"),结果表!B19,INDIRECT("'"&amp;D4&amp;"'"&amp;"!B:B"))</f>
        <v>22899</v>
      </c>
      <c r="E19" s="1917" t="s">
        <v>1917</v>
      </c>
      <c r="F19" s="1918" t="s">
        <v>1916</v>
      </c>
      <c r="G19" s="141">
        <f ca="1">ROUND(C19*$C$18+D19*$D$18,0)</f>
        <v>24485</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41905</v>
      </c>
      <c r="D20" s="143">
        <f ca="1">SUMIF(INDIRECT("'"&amp;D4&amp;"'"&amp;"!A:A"),结果表!B20,INDIRECT("'"&amp;D4&amp;"'"&amp;"!B:B"))</f>
        <v>36808</v>
      </c>
      <c r="E20" s="1920"/>
      <c r="F20" s="1157" t="s">
        <v>1920</v>
      </c>
      <c r="G20" s="144">
        <f ca="1">ROUND(C20*$C$18+D20*$D$18,0)</f>
        <v>39357</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0.13847766278003415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93" t="s">
        <v>1924</v>
      </c>
      <c r="B24" s="1918" t="s">
        <v>1916</v>
      </c>
      <c r="C24" s="141">
        <f>IF(B30=0,0,D30)</f>
        <v>0</v>
      </c>
      <c r="D24" s="1925"/>
      <c r="E24" s="134"/>
      <c r="F24" s="3212" t="s">
        <v>3174</v>
      </c>
      <c r="G24" s="3212">
        <v>39334</v>
      </c>
      <c r="H24" s="3212" t="s">
        <v>3175</v>
      </c>
      <c r="I24" s="134"/>
    </row>
    <row r="25" spans="1:36" ht="14.25">
      <c r="A25" s="339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24485</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21669</v>
      </c>
      <c r="D34" s="970">
        <f ca="1">IF(C33="自定义",ROUND(C34/C32,3),IF(C33="收益比率",SUMIF(INDIRECT("'"&amp;D33&amp;"'"&amp;"!b:b"),"土地收益比率",INDIRECT("'"&amp;D33&amp;"'"&amp;"!c:c")),SUMIF(INDIRECT("'"&amp;D33&amp;"'"&amp;"!b:b"),"土地成本比率",INDIRECT("'"&amp;D33&amp;"'"&amp;"!c:c"))))</f>
        <v>0.88500000000000001</v>
      </c>
      <c r="E34" s="1939" t="s">
        <v>1934</v>
      </c>
      <c r="F34" s="1470"/>
      <c r="G34" s="134"/>
      <c r="H34" s="134"/>
      <c r="I34" s="134"/>
    </row>
    <row r="35" spans="1:15" ht="15.75" thickBot="1">
      <c r="A35" s="1940"/>
      <c r="B35" s="1941" t="s">
        <v>1935</v>
      </c>
      <c r="C35" s="1304">
        <f ca="1">IF(C33="自定义",F35,ROUND(C32*D35,0))</f>
        <v>2816</v>
      </c>
      <c r="D35" s="1305">
        <f ca="1">IF(C33="自定义",ROUND(C35/C32,3),IF(C33="收益比率",SUMIF(INDIRECT("'"&amp;D33&amp;"'"&amp;"!b:b"),"建筑物收益比率",INDIRECT("'"&amp;D33&amp;"'"&amp;"!c:c")),SUMIF(INDIRECT("'"&amp;D33&amp;"'"&amp;"!b:b"),"建筑物成本比率",INDIRECT("'"&amp;D33&amp;"'"&amp;"!c:c"))))</f>
        <v>0.115</v>
      </c>
      <c r="E35" s="1942" t="s">
        <v>1936</v>
      </c>
      <c r="F35" s="159"/>
      <c r="G35" s="134"/>
      <c r="H35" s="134"/>
      <c r="I35" s="134"/>
    </row>
    <row r="36" spans="1:15" ht="15.75" thickBot="1">
      <c r="A36" s="3370" t="s">
        <v>1937</v>
      </c>
      <c r="B36" s="1943" t="s">
        <v>1938</v>
      </c>
      <c r="C36" s="150"/>
      <c r="D36" s="1944"/>
      <c r="E36" s="1945"/>
      <c r="F36" s="1946"/>
      <c r="G36" s="134"/>
      <c r="H36" s="134"/>
      <c r="I36" s="134"/>
    </row>
    <row r="37" spans="1:15" ht="15.75" thickBot="1">
      <c r="A37" s="3371"/>
      <c r="B37" s="1830" t="s">
        <v>1939</v>
      </c>
      <c r="C37" s="152"/>
      <c r="D37" s="1273"/>
      <c r="E37" s="1273"/>
      <c r="F37" s="1946"/>
      <c r="G37" s="134"/>
      <c r="H37" s="134"/>
      <c r="I37" s="134"/>
    </row>
    <row r="38" spans="1:15" ht="15.75" thickBot="1">
      <c r="A38" s="337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0" t="s">
        <v>1951</v>
      </c>
      <c r="B45" s="3391"/>
      <c r="C45" s="3392"/>
      <c r="D45" s="160">
        <f ca="1">ROUND(H101*F45,0)</f>
        <v>24485</v>
      </c>
      <c r="E45" s="161" t="s">
        <v>1952</v>
      </c>
      <c r="F45" s="162">
        <v>1</v>
      </c>
      <c r="G45" s="163" t="s">
        <v>1953</v>
      </c>
      <c r="H45" s="134"/>
      <c r="I45" s="134"/>
      <c r="J45" s="3307" t="s">
        <v>1954</v>
      </c>
      <c r="K45" s="3307"/>
      <c r="L45" s="3307"/>
      <c r="M45" s="3307"/>
      <c r="N45" s="3307"/>
      <c r="O45" s="3307"/>
    </row>
    <row r="46" spans="1:15" ht="14.25" customHeight="1">
      <c r="A46" s="3387" t="s">
        <v>1955</v>
      </c>
      <c r="B46" s="3388"/>
      <c r="C46" s="3388"/>
      <c r="D46" s="3388"/>
      <c r="E46" s="3388"/>
      <c r="F46" s="3388"/>
      <c r="G46" s="3389"/>
      <c r="H46" s="1962"/>
      <c r="I46" s="164"/>
      <c r="J46" s="2719">
        <v>1</v>
      </c>
      <c r="K46" s="3308" t="s">
        <v>1956</v>
      </c>
      <c r="L46" s="3308"/>
      <c r="M46" s="3309"/>
      <c r="N46" s="3309"/>
      <c r="O46" s="3309"/>
    </row>
    <row r="47" spans="1:15" ht="12" customHeight="1">
      <c r="A47" s="165" t="s">
        <v>1957</v>
      </c>
      <c r="B47" s="166"/>
      <c r="C47" s="167"/>
      <c r="D47" s="1219" t="s">
        <v>1958</v>
      </c>
      <c r="E47" s="308" t="s">
        <v>1959</v>
      </c>
      <c r="F47" s="168" t="s">
        <v>1960</v>
      </c>
      <c r="G47" s="2742" t="s">
        <v>1961</v>
      </c>
      <c r="H47" s="2743"/>
      <c r="I47" s="164"/>
      <c r="J47" s="2719">
        <v>2</v>
      </c>
      <c r="K47" s="3308" t="s">
        <v>1962</v>
      </c>
      <c r="L47" s="3308"/>
      <c r="M47" s="3310">
        <f>'数据-取费表'!B2</f>
        <v>44783</v>
      </c>
      <c r="N47" s="3310"/>
      <c r="O47" s="3310"/>
    </row>
    <row r="48" spans="1:15" ht="25.5">
      <c r="A48" s="3373" t="s">
        <v>1963</v>
      </c>
      <c r="B48" s="3374"/>
      <c r="C48" s="3374"/>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08" t="s">
        <v>1965</v>
      </c>
      <c r="L48" s="3308"/>
      <c r="M48" s="3311">
        <f ca="1">H101</f>
        <v>24485</v>
      </c>
      <c r="N48" s="3311"/>
      <c r="O48" s="3311"/>
    </row>
    <row r="49" spans="1:35" ht="25.5" customHeight="1">
      <c r="A49" s="2526" t="s">
        <v>1966</v>
      </c>
      <c r="B49" s="3356" t="s">
        <v>1967</v>
      </c>
      <c r="C49" s="3356"/>
      <c r="D49" s="1745">
        <v>0</v>
      </c>
      <c r="E49" s="330" t="s">
        <v>1968</v>
      </c>
      <c r="F49" s="2620" t="s">
        <v>34</v>
      </c>
      <c r="G49" s="3339"/>
      <c r="H49" s="2498" t="s">
        <v>2814</v>
      </c>
      <c r="I49" s="2499"/>
      <c r="J49" s="2719">
        <v>4</v>
      </c>
      <c r="K49" s="3308" t="str">
        <f>IF(项目基本情况!E8="房地产抵押价值","房地产抵押价值","抵押担保权已注销时的房地产抵押价值")</f>
        <v>房地产抵押价值</v>
      </c>
      <c r="L49" s="3308"/>
      <c r="M49" s="3311">
        <f ca="1">IF(项目基本情况!E8="房地产抵押价值",H107,H109)</f>
        <v>24485</v>
      </c>
      <c r="N49" s="3311"/>
      <c r="O49" s="3311"/>
    </row>
    <row r="50" spans="1:35" ht="25.5" customHeight="1">
      <c r="A50" s="2747"/>
      <c r="B50" s="3356" t="s">
        <v>1969</v>
      </c>
      <c r="C50" s="3356"/>
      <c r="D50" s="2748"/>
      <c r="E50" s="338"/>
      <c r="F50" s="2620"/>
      <c r="G50" s="3340"/>
      <c r="H50" s="2500" t="s">
        <v>2815</v>
      </c>
      <c r="I50" s="2499"/>
      <c r="J50" s="3307" t="s">
        <v>1970</v>
      </c>
      <c r="K50" s="3307"/>
      <c r="L50" s="3307"/>
      <c r="M50" s="3307"/>
      <c r="N50" s="3307"/>
      <c r="O50" s="3307"/>
    </row>
    <row r="51" spans="1:35" ht="20.45" customHeight="1">
      <c r="A51" s="2749"/>
      <c r="B51" s="3356" t="s">
        <v>1971</v>
      </c>
      <c r="C51" s="3356"/>
      <c r="D51" s="1219"/>
      <c r="E51" s="333"/>
      <c r="F51" s="2620"/>
      <c r="G51" s="3341"/>
      <c r="H51" s="2500" t="s">
        <v>2816</v>
      </c>
      <c r="I51" s="2499"/>
      <c r="J51" s="2720" t="s">
        <v>1972</v>
      </c>
      <c r="K51" s="3308" t="s">
        <v>1973</v>
      </c>
      <c r="L51" s="3308"/>
      <c r="M51" s="2720" t="s">
        <v>1974</v>
      </c>
      <c r="N51" s="2720" t="s">
        <v>1975</v>
      </c>
      <c r="O51" s="2720" t="s">
        <v>1976</v>
      </c>
    </row>
    <row r="52" spans="1:35" ht="24" customHeight="1">
      <c r="A52" s="2528" t="s">
        <v>1977</v>
      </c>
      <c r="B52" s="3356" t="s">
        <v>1978</v>
      </c>
      <c r="C52" s="3356"/>
      <c r="D52" s="1219">
        <f ca="1">ROUND(D45*'数据-取费表'!B41/(1+'数据-取费表'!C42),0)</f>
        <v>1306</v>
      </c>
      <c r="E52" s="2527" t="s">
        <v>1979</v>
      </c>
      <c r="F52" s="2750">
        <f>'数据-取费表'!B41</f>
        <v>5.6000000000000001E-2</v>
      </c>
      <c r="G52" s="2751"/>
      <c r="H52" s="2740"/>
      <c r="I52" s="1963"/>
      <c r="J52" s="2719">
        <v>1</v>
      </c>
      <c r="K52" s="3333" t="s">
        <v>1980</v>
      </c>
      <c r="L52" s="3333"/>
      <c r="M52" s="2721">
        <f ca="1">D48</f>
        <v>0</v>
      </c>
      <c r="N52" s="2719" t="str">
        <f>E48</f>
        <v>(销售额-原购置价)×税（费）率</v>
      </c>
      <c r="O52" s="2722">
        <f>F48</f>
        <v>5.6000000000000001E-2</v>
      </c>
    </row>
    <row r="53" spans="1:35" ht="12" customHeight="1">
      <c r="A53" s="2528" t="s">
        <v>1981</v>
      </c>
      <c r="B53" s="3357" t="s">
        <v>2975</v>
      </c>
      <c r="C53" s="3358"/>
      <c r="D53" s="1219">
        <f ca="1">ROUND(D45*'数据-取费表'!B41/(1+'数据-取费表'!C42),0)</f>
        <v>1306</v>
      </c>
      <c r="E53" s="2527" t="s">
        <v>1979</v>
      </c>
      <c r="F53" s="2750">
        <f>'数据-取费表'!B41</f>
        <v>5.6000000000000001E-2</v>
      </c>
      <c r="G53" s="2751"/>
      <c r="H53" s="2740"/>
      <c r="I53" s="1963"/>
      <c r="J53" s="2719">
        <v>2</v>
      </c>
      <c r="K53" s="3333" t="s">
        <v>1982</v>
      </c>
      <c r="L53" s="3333"/>
      <c r="M53" s="2721">
        <f t="shared" ref="M53:O54" ca="1" si="0">D55</f>
        <v>12</v>
      </c>
      <c r="N53" s="2719" t="str">
        <f t="shared" si="0"/>
        <v>销售额×税（费）率</v>
      </c>
      <c r="O53" s="2722">
        <f t="shared" si="0"/>
        <v>5.0000000000000001E-4</v>
      </c>
    </row>
    <row r="54" spans="1:35" ht="12" customHeight="1">
      <c r="A54" s="2528" t="s">
        <v>1983</v>
      </c>
      <c r="B54" s="3357" t="s">
        <v>2976</v>
      </c>
      <c r="C54" s="3358"/>
      <c r="D54" s="1219">
        <f ca="1">C68</f>
        <v>0</v>
      </c>
      <c r="E54" s="333" t="s">
        <v>1984</v>
      </c>
      <c r="F54" s="2750">
        <f>'数据-取费表'!B41</f>
        <v>5.6000000000000001E-2</v>
      </c>
      <c r="G54" s="2751"/>
      <c r="H54" s="2752"/>
      <c r="I54" s="1963"/>
      <c r="J54" s="2719">
        <v>3</v>
      </c>
      <c r="K54" s="3333" t="s">
        <v>1985</v>
      </c>
      <c r="L54" s="3333"/>
      <c r="M54" s="2721">
        <f t="shared" ca="1" si="0"/>
        <v>0</v>
      </c>
      <c r="N54" s="2719" t="str">
        <f t="shared" si="0"/>
        <v>增值额×税（费）率</v>
      </c>
      <c r="O54" s="2723" t="str">
        <f t="shared" si="0"/>
        <v>——</v>
      </c>
    </row>
    <row r="55" spans="1:35" ht="24" customHeight="1">
      <c r="A55" s="3396" t="s">
        <v>1986</v>
      </c>
      <c r="B55" s="3374"/>
      <c r="C55" s="3374"/>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33" t="str">
        <f>IF(H59="非个人房产","——","个人所得税")</f>
        <v>——</v>
      </c>
      <c r="L55" s="3333"/>
      <c r="M55" s="2724" t="str">
        <f>D59</f>
        <v>——</v>
      </c>
      <c r="N55" s="2198" t="str">
        <f>E59</f>
        <v>——</v>
      </c>
      <c r="O55" s="2725" t="str">
        <f>F59</f>
        <v>——</v>
      </c>
    </row>
    <row r="56" spans="1:35" ht="24.75">
      <c r="A56" s="3396" t="s">
        <v>1988</v>
      </c>
      <c r="B56" s="3374"/>
      <c r="C56" s="3374"/>
      <c r="D56" s="2517">
        <f ca="1">IF(H56="个人住宅",D57,D58)</f>
        <v>0</v>
      </c>
      <c r="E56" s="2527" t="s">
        <v>1989</v>
      </c>
      <c r="F56" s="2750" t="str">
        <f>IF(H56="正常",F58,"免征")</f>
        <v>——</v>
      </c>
      <c r="G56" s="2753" t="s">
        <v>1990</v>
      </c>
      <c r="H56" s="2754" t="s">
        <v>3180</v>
      </c>
      <c r="I56" s="1964"/>
      <c r="J56" s="2719" t="str">
        <f>IF(项目基本情况!K6="上海银行",IF(J55="",4,J55+1),"")</f>
        <v/>
      </c>
      <c r="K56" s="3314" t="str">
        <f>IF(项目基本情况!K6="上海银行","其他处置费用","")</f>
        <v/>
      </c>
      <c r="L56" s="3315"/>
      <c r="M56" s="2721" t="str">
        <f>IF(项目基本情况!K6="上海银行",M69,"")</f>
        <v/>
      </c>
      <c r="N56" s="3314" t="str">
        <f>IF(项目基本情况!K6="上海银行","包含处置中涉及的律师、诉讼、拍卖、评估等费用","")</f>
        <v/>
      </c>
      <c r="O56" s="3317"/>
    </row>
    <row r="57" spans="1:35" ht="12.75">
      <c r="A57" s="2528" t="s">
        <v>1966</v>
      </c>
      <c r="B57" s="3357" t="s">
        <v>1991</v>
      </c>
      <c r="C57" s="3358"/>
      <c r="D57" s="1745">
        <v>0</v>
      </c>
      <c r="E57" s="330" t="s">
        <v>1968</v>
      </c>
      <c r="F57" s="308"/>
      <c r="G57" s="2751"/>
      <c r="H57" s="2755"/>
      <c r="I57" s="1964"/>
      <c r="J57" s="3333">
        <f>IF(AND(J55="",J56=""),4,IF(项目基本情况!K6="上海银行",结果表!J56+1,结果表!J55+1))</f>
        <v>4</v>
      </c>
      <c r="K57" s="3333" t="s">
        <v>1992</v>
      </c>
      <c r="L57" s="2726" t="s">
        <v>1993</v>
      </c>
      <c r="M57" s="2727"/>
      <c r="N57" s="2728">
        <f ca="1">SUMIF(M52:M56,"&lt;9e307")</f>
        <v>12</v>
      </c>
      <c r="O57" s="2729"/>
      <c r="P57" s="2889">
        <f ca="1">N57/M49</f>
        <v>4.9009597712885435E-4</v>
      </c>
    </row>
    <row r="58" spans="1:35" ht="24.75">
      <c r="A58" s="2528" t="s">
        <v>1977</v>
      </c>
      <c r="B58" s="3357" t="s">
        <v>1994</v>
      </c>
      <c r="C58" s="3356"/>
      <c r="D58" s="2517">
        <f ca="1">IF(H58="转让取得",C81,C97)</f>
        <v>0</v>
      </c>
      <c r="E58" s="2527" t="s">
        <v>1989</v>
      </c>
      <c r="F58" s="308" t="s">
        <v>34</v>
      </c>
      <c r="G58" s="2751"/>
      <c r="H58" s="2754" t="s">
        <v>3181</v>
      </c>
      <c r="I58" s="1964"/>
      <c r="J58" s="3333"/>
      <c r="K58" s="3333"/>
      <c r="L58" s="2726" t="s">
        <v>1995</v>
      </c>
      <c r="M58" s="2730"/>
      <c r="N58" s="2731" t="str">
        <f ca="1">NUMBERSTRING(INT(N57*10000),2)&amp;"元整"</f>
        <v>壹拾贰万元整</v>
      </c>
      <c r="O58" s="2732"/>
    </row>
    <row r="59" spans="1:35" ht="24.75" thickBot="1">
      <c r="A59" s="3337" t="s">
        <v>1996</v>
      </c>
      <c r="B59" s="3338"/>
      <c r="C59" s="3338"/>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35">
        <f>J57+1</f>
        <v>5</v>
      </c>
      <c r="K59" s="3333" t="s">
        <v>1997</v>
      </c>
      <c r="L59" s="2719" t="s">
        <v>1993</v>
      </c>
      <c r="M59" s="2733"/>
      <c r="N59" s="2734">
        <f ca="1">M49-N57</f>
        <v>24473</v>
      </c>
      <c r="O59" s="2735"/>
    </row>
    <row r="60" spans="1:35" ht="12" customHeight="1">
      <c r="A60" s="1965"/>
      <c r="B60" s="1903"/>
      <c r="C60" s="1903"/>
      <c r="D60" s="1903"/>
      <c r="E60" s="1733"/>
      <c r="F60" s="1964"/>
      <c r="G60" s="1964"/>
      <c r="H60" s="1966"/>
      <c r="I60" s="134"/>
      <c r="J60" s="3336"/>
      <c r="K60" s="3333"/>
      <c r="L60" s="2726" t="s">
        <v>1995</v>
      </c>
      <c r="M60" s="2730"/>
      <c r="N60" s="2731" t="str">
        <f ca="1">NUMBERSTRING(INT(N59*10000),2)&amp;"元整"</f>
        <v>贰亿肆仟肆佰柒拾叁万元整</v>
      </c>
      <c r="O60" s="2732"/>
    </row>
    <row r="61" spans="1:35" ht="13.5" thickBot="1">
      <c r="A61" s="3395" t="s">
        <v>1998</v>
      </c>
      <c r="B61" s="3395"/>
      <c r="C61" s="3395"/>
      <c r="D61" s="3395"/>
      <c r="E61" s="3395"/>
      <c r="F61" s="1964"/>
      <c r="G61" s="1964"/>
      <c r="H61" s="1966"/>
      <c r="I61" s="134"/>
      <c r="J61" s="2719">
        <f>J59+1</f>
        <v>6</v>
      </c>
      <c r="K61" s="3333" t="s">
        <v>1999</v>
      </c>
      <c r="L61" s="3333"/>
      <c r="M61" s="2736"/>
      <c r="N61" s="2737">
        <f ca="1">ROUND(N59*10000/'数据-汇总表'!E3,0)</f>
        <v>39338</v>
      </c>
      <c r="O61" s="2738"/>
    </row>
    <row r="62" spans="1:35" ht="12.75">
      <c r="A62" s="3352" t="s">
        <v>2000</v>
      </c>
      <c r="B62" s="3353"/>
      <c r="C62" s="2179"/>
      <c r="D62" s="2179" t="s">
        <v>2001</v>
      </c>
      <c r="E62" s="171" t="s">
        <v>2002</v>
      </c>
      <c r="F62" s="1964"/>
      <c r="G62" s="1964"/>
      <c r="H62" s="1966"/>
      <c r="I62" s="134"/>
    </row>
    <row r="63" spans="1:35" ht="12.75">
      <c r="A63" s="178" t="s">
        <v>775</v>
      </c>
      <c r="B63" s="172" t="s">
        <v>2003</v>
      </c>
      <c r="C63" s="2760">
        <f ca="1">ROUND((C64+C65)/(1+'数据-取费表'!C42),0)</f>
        <v>23319</v>
      </c>
      <c r="D63" s="172"/>
      <c r="E63" s="173"/>
      <c r="F63" s="1964"/>
      <c r="G63" s="1964"/>
      <c r="H63" s="1966"/>
      <c r="I63" s="134"/>
      <c r="J63" s="3316" t="s">
        <v>2004</v>
      </c>
      <c r="K63" s="1472" t="s">
        <v>2005</v>
      </c>
      <c r="L63" s="1472">
        <f ca="1">IF(M49&gt;10000,M49*0.5%,IF(AND(M49&gt;1000,M49&lt;=10000),M49*1%,IF(AND(M49&gt;100,M49&lt;=1000),M49*3%,IF(AND(M49&gt;10,M49&lt;=100),M49*5%,M49*8%))))</f>
        <v>122.425</v>
      </c>
      <c r="M63" s="308">
        <f ca="1">ROUND(L63,1)</f>
        <v>122.4</v>
      </c>
      <c r="N63" s="2739"/>
      <c r="Z63" s="1908"/>
      <c r="AI63" s="1909"/>
    </row>
    <row r="64" spans="1:35" ht="14.25" customHeight="1">
      <c r="A64" s="174" t="s">
        <v>770</v>
      </c>
      <c r="B64" s="175" t="s">
        <v>2006</v>
      </c>
      <c r="C64" s="2761">
        <f ca="1">D45</f>
        <v>24485</v>
      </c>
      <c r="D64" s="175" t="s">
        <v>32</v>
      </c>
      <c r="E64" s="177"/>
      <c r="F64" s="1964"/>
      <c r="G64" s="1964"/>
      <c r="H64" s="1966"/>
      <c r="I64" s="134"/>
      <c r="J64" s="3316"/>
      <c r="K64" s="1472" t="s">
        <v>2007</v>
      </c>
      <c r="L64" s="1472">
        <f ca="1">IF(M49&gt;2000,M49*0.5%,IF(AND(M49&gt;1000,M49&lt;=2000),M49*0.6%,IF(AND(M49&gt;500,M49&lt;=1000),M49*0.7%,IF(AND(M49&gt;200,M49&lt;=500),M49*0.8%,IF(AND(M49&gt;100,M49&lt;=200),M49*0.9%,IF(AND(M49&gt;50,M49&lt;=100),M49*1%,IF(AND(M49&gt;20,M49&lt;=50),M49*1.5%,IF(AND(M49&gt;10,M49&lt;=20),M49*2%,IF(AND(M49&gt;1,M49&lt;=10),M49*2.5%)))))))))</f>
        <v>122.425</v>
      </c>
      <c r="M64" s="308">
        <f t="shared" ref="M64:M65" ca="1" si="1">ROUND(L64,1)</f>
        <v>122.4</v>
      </c>
      <c r="N64" s="2740" t="s">
        <v>2008</v>
      </c>
      <c r="Z64" s="1908"/>
      <c r="AI64" s="1909"/>
    </row>
    <row r="65" spans="1:35" ht="14.25" customHeight="1">
      <c r="A65" s="174" t="s">
        <v>771</v>
      </c>
      <c r="B65" s="175" t="s">
        <v>2009</v>
      </c>
      <c r="C65" s="2762"/>
      <c r="D65" s="175"/>
      <c r="E65" s="177"/>
      <c r="F65" s="1964"/>
      <c r="G65" s="1964"/>
      <c r="H65" s="1966"/>
      <c r="I65" s="134"/>
      <c r="J65" s="3316"/>
      <c r="K65" s="1472" t="s">
        <v>2010</v>
      </c>
      <c r="L65" s="1472">
        <f ca="1">IF(M49&gt;1000,M49*0.1%,IF(AND(M49&gt;500,M49&lt;=1000),M49*0.5%,IF(AND(M49&gt;50,M49&lt;=500),M49*1%,IF(AND(M49&gt;1,M49&lt;=50),M49*1.5%))))</f>
        <v>24.484999999999999</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16"/>
      <c r="K66" s="1472" t="s">
        <v>2012</v>
      </c>
      <c r="L66" s="1472">
        <f ca="1">M49*0.5%</f>
        <v>122.425</v>
      </c>
      <c r="M66" s="308">
        <f ca="1">IF(L66&gt;0.5,0.5,ROUND(L66,0))</f>
        <v>0.5</v>
      </c>
      <c r="N66" s="2740" t="s">
        <v>2013</v>
      </c>
      <c r="Z66" s="1908"/>
      <c r="AI66" s="1909"/>
    </row>
    <row r="67" spans="1:35" ht="14.25" customHeight="1">
      <c r="A67" s="178" t="s">
        <v>773</v>
      </c>
      <c r="B67" s="179" t="s">
        <v>2014</v>
      </c>
      <c r="C67" s="2764">
        <f ca="1">C63-C66</f>
        <v>-1252</v>
      </c>
      <c r="D67" s="175" t="s">
        <v>32</v>
      </c>
      <c r="E67" s="177"/>
      <c r="F67" s="1964"/>
      <c r="G67" s="1964"/>
      <c r="H67" s="1966"/>
      <c r="I67" s="134"/>
      <c r="J67" s="3316"/>
      <c r="K67" s="1472" t="s">
        <v>2015</v>
      </c>
      <c r="L67" s="1472">
        <f ca="1">IF(M49&gt;=10000,(8.25+(M49-10000)*0.01%),IF(AND(M49&gt;=8000,M49&lt;10000),(7.85+(M49-8000)*0.02%),IF(AND(M49&gt;=5000,M49&lt;8000),(6.65+(M49-5000)*0.04%),IF(AND(M49&gt;=2000,M49&lt;5000),(4.25+(PM49-2000)*0.08%),IF(AND(M49&gt;=1000,M49&lt;2000),(2.75+(M49-1000)*0.15%),IF(AND(M49&gt;=100,M49&lt;1000),(0.5+(M49-100)*0.25%),IF(AND(M49&gt;0,M49&lt;100),M49*0.5%)))))))</f>
        <v>9.6984999999999992</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16"/>
      <c r="K68" s="1472" t="s">
        <v>2017</v>
      </c>
      <c r="L68" s="1472">
        <f ca="1">IF(M49&gt;10000,M49*0.5%,IF(AND(M49&gt;5000,M49&lt;=10000),M49*1%,IF(AND(M49&gt;1000,M49&lt;=5000),M49*2%,IF(AND(M49&gt;200,M49&lt;=1000),M49*3%,M49*5%))))</f>
        <v>122.425</v>
      </c>
      <c r="M68" s="308">
        <f ca="1">ROUND(L68,1)</f>
        <v>122.4</v>
      </c>
      <c r="N68" s="2739"/>
      <c r="Z68" s="1908"/>
      <c r="AI68" s="1909"/>
    </row>
    <row r="69" spans="1:35" s="1928" customFormat="1" ht="16.5" customHeight="1">
      <c r="A69" s="1967"/>
      <c r="B69" s="1968"/>
      <c r="C69" s="1969"/>
      <c r="D69" s="1970"/>
      <c r="E69" s="1971"/>
      <c r="F69" s="1733"/>
      <c r="G69" s="1733"/>
      <c r="H69" s="1732"/>
      <c r="I69" s="1903"/>
      <c r="J69" s="3316"/>
      <c r="K69" s="1472" t="s">
        <v>2018</v>
      </c>
      <c r="L69" s="1472"/>
      <c r="M69" s="308">
        <f ca="1">ROUND(SUM(M63:M68),0)</f>
        <v>401</v>
      </c>
      <c r="N69" s="2741">
        <f ca="1">M69/M49</f>
        <v>1.637737390238922E-2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2019</v>
      </c>
      <c r="B70" s="3361"/>
      <c r="C70" s="3361"/>
      <c r="D70" s="3361"/>
      <c r="E70" s="3361"/>
      <c r="F70" s="3361"/>
      <c r="G70" s="3361"/>
      <c r="H70" s="336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2000</v>
      </c>
      <c r="B71" s="3353"/>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23319</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57" t="s">
        <v>2027</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49" t="s">
        <v>2031</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2035</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2000</v>
      </c>
      <c r="B84" s="3353"/>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23319</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8" t="s">
        <v>2809</v>
      </c>
      <c r="H90" s="3319"/>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49" t="s">
        <v>2044</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49" t="s">
        <v>2047</v>
      </c>
      <c r="F92" s="3350"/>
      <c r="G92" s="3350"/>
      <c r="H92" s="3351"/>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49" t="s">
        <v>2031</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7" t="s">
        <v>2051</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23179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165.56428571428572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34"/>
      <c r="E100" s="3300" t="s">
        <v>2054</v>
      </c>
      <c r="F100" s="3300"/>
      <c r="G100" s="3300"/>
      <c r="H100" s="3334"/>
      <c r="I100" s="134"/>
    </row>
    <row r="101" spans="1:35" ht="18.75" customHeight="1">
      <c r="A101" s="3342" t="s">
        <v>2055</v>
      </c>
      <c r="B101" s="3343"/>
      <c r="C101" s="2781" t="str">
        <f>C4</f>
        <v>成本法</v>
      </c>
      <c r="D101" s="2782" t="str">
        <f>D4</f>
        <v>收益法</v>
      </c>
      <c r="E101" s="3312" t="s">
        <v>2056</v>
      </c>
      <c r="F101" s="3313"/>
      <c r="G101" s="1983" t="s">
        <v>2057</v>
      </c>
      <c r="H101" s="2791">
        <f ca="1">H118</f>
        <v>24485</v>
      </c>
      <c r="I101" s="134"/>
    </row>
    <row r="102" spans="1:35" ht="18.75" customHeight="1">
      <c r="A102" s="3344" t="s">
        <v>2058</v>
      </c>
      <c r="B102" s="2780" t="s">
        <v>2057</v>
      </c>
      <c r="C102" s="2781">
        <f ca="1">C19</f>
        <v>26070</v>
      </c>
      <c r="D102" s="2782">
        <f ca="1">D19</f>
        <v>22899</v>
      </c>
      <c r="E102" s="3312"/>
      <c r="F102" s="3313"/>
      <c r="G102" s="1983" t="s">
        <v>2059</v>
      </c>
      <c r="H102" s="2751">
        <f ca="1">I118</f>
        <v>39358</v>
      </c>
      <c r="I102" s="134"/>
    </row>
    <row r="103" spans="1:35" ht="42.75" customHeight="1">
      <c r="A103" s="3344"/>
      <c r="B103" s="2780" t="s">
        <v>2059</v>
      </c>
      <c r="C103" s="2783">
        <f ca="1">C20</f>
        <v>41905</v>
      </c>
      <c r="D103" s="2784">
        <f ca="1">D20</f>
        <v>36808</v>
      </c>
      <c r="E103" s="3305" t="s">
        <v>2060</v>
      </c>
      <c r="F103" s="3306"/>
      <c r="G103" s="1984" t="s">
        <v>2061</v>
      </c>
      <c r="H103" s="2791">
        <f>IF(D36="正常操作",H104+H105+H106,H105+H106)</f>
        <v>0</v>
      </c>
      <c r="I103" s="134"/>
    </row>
    <row r="104" spans="1:35" ht="18.75" customHeight="1">
      <c r="A104" s="3344" t="s">
        <v>2062</v>
      </c>
      <c r="B104" s="2785" t="s">
        <v>2057</v>
      </c>
      <c r="C104" s="2786">
        <f ca="1">H118</f>
        <v>24485</v>
      </c>
      <c r="D104" s="2787"/>
      <c r="E104" s="1830" t="s">
        <v>2063</v>
      </c>
      <c r="F104" s="1821"/>
      <c r="G104" s="1984" t="s">
        <v>2061</v>
      </c>
      <c r="H104" s="2792">
        <f>IF(D36="同一抵押权人同一抵押物续贷",C36&amp;"（续贷，未扣减，详见特别提示）",C36)</f>
        <v>0</v>
      </c>
      <c r="I104" s="134"/>
    </row>
    <row r="105" spans="1:35" ht="18.75" customHeight="1" thickBot="1">
      <c r="A105" s="3354"/>
      <c r="B105" s="2788" t="s">
        <v>2059</v>
      </c>
      <c r="C105" s="2789">
        <f ca="1">I118</f>
        <v>39358</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13"/>
      <c r="G107" s="1983" t="s">
        <v>2057</v>
      </c>
      <c r="H107" s="2791">
        <f ca="1">IF(E107="——","——",H101-H103)</f>
        <v>24485</v>
      </c>
      <c r="I107" s="134"/>
    </row>
    <row r="108" spans="1:35" ht="18.75" customHeight="1">
      <c r="A108" s="134"/>
      <c r="B108" s="134"/>
      <c r="C108" s="134"/>
      <c r="D108" s="134"/>
      <c r="E108" s="3345"/>
      <c r="F108" s="3313"/>
      <c r="G108" s="1983" t="s">
        <v>2059</v>
      </c>
      <c r="H108" s="2751">
        <f ca="1">ROUND(H107*10000/'数据-汇总表'!E3,0)</f>
        <v>39358</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2057</v>
      </c>
      <c r="H109" s="2794" t="str">
        <f>IF(E109="——","——",H101-H105-H106)</f>
        <v>——</v>
      </c>
      <c r="I109" s="134"/>
    </row>
    <row r="110" spans="1:35" ht="18.75" customHeight="1">
      <c r="A110" s="134"/>
      <c r="B110" s="134"/>
      <c r="C110" s="134"/>
      <c r="D110" s="134"/>
      <c r="E110" s="3345"/>
      <c r="F110" s="3313"/>
      <c r="G110" s="1983" t="s">
        <v>2059</v>
      </c>
      <c r="H110" s="2751"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4.抵押净值</v>
      </c>
      <c r="F111" s="3332"/>
      <c r="G111" s="1983" t="s">
        <v>2057</v>
      </c>
      <c r="H111" s="2791">
        <f ca="1">IF(E111="——","——",N59)</f>
        <v>24473</v>
      </c>
      <c r="I111" s="134"/>
    </row>
    <row r="112" spans="1:35" ht="18.75" customHeight="1" thickBot="1">
      <c r="A112" s="134"/>
      <c r="B112" s="134"/>
      <c r="C112" s="134"/>
      <c r="D112" s="134"/>
      <c r="E112" s="3347"/>
      <c r="F112" s="3348"/>
      <c r="G112" s="1986" t="s">
        <v>2059</v>
      </c>
      <c r="H112" s="2795">
        <f ca="1">IF(E111="——","——",N61)</f>
        <v>39338</v>
      </c>
      <c r="I112" s="134"/>
    </row>
    <row r="113" spans="1:27" ht="18.75" customHeight="1">
      <c r="A113" s="134"/>
      <c r="B113" s="134"/>
      <c r="C113" s="134"/>
      <c r="D113" s="134"/>
      <c r="E113" s="3355" t="s">
        <v>2065</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20" t="s">
        <v>2068</v>
      </c>
      <c r="B116" s="3324" t="s">
        <v>2069</v>
      </c>
      <c r="C116" s="3324" t="s">
        <v>2070</v>
      </c>
      <c r="D116" s="3330" t="s">
        <v>2071</v>
      </c>
      <c r="E116" s="3331"/>
      <c r="F116" s="3362" t="s">
        <v>2072</v>
      </c>
      <c r="G116" s="3362"/>
      <c r="H116" s="3320" t="s">
        <v>2073</v>
      </c>
      <c r="I116" s="3320"/>
    </row>
    <row r="117" spans="1:27" ht="18.75" customHeight="1">
      <c r="A117" s="3320"/>
      <c r="B117" s="3325"/>
      <c r="C117" s="332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21669</v>
      </c>
      <c r="E118" s="2522">
        <f ca="1">ROUND(IF(C33="自定义",IF(D32="楼面单价",C34,D118*10000/B118),I118-G118),0)</f>
        <v>34832</v>
      </c>
      <c r="F118" s="2522">
        <f ca="1">ROUND(IF(D32="总价",C35,G118*B118/10000),0)</f>
        <v>2816</v>
      </c>
      <c r="G118" s="2522">
        <f ca="1">ROUND(IF(D32="楼面单价",C35,F118*10000/B118),0)</f>
        <v>4526</v>
      </c>
      <c r="H118" s="2522">
        <f ca="1">ROUND(IF(D32="总价",C32,I118*B118/10000),0)</f>
        <v>24485</v>
      </c>
      <c r="I118" s="2522">
        <f ca="1">ROUND(IF(D32="楼面单价",C32,H118*10000/B118),0)</f>
        <v>39358</v>
      </c>
    </row>
    <row r="119" spans="1:27" ht="18.75" customHeight="1">
      <c r="A119" s="3320" t="s">
        <v>2077</v>
      </c>
      <c r="B119" s="3320"/>
      <c r="C119" s="3320"/>
      <c r="D119" s="3326" t="str">
        <f ca="1">NUMBERSTRING(INT(D118*10000),2)&amp;"元整"</f>
        <v>贰亿壹仟陆佰陆拾玖万元整</v>
      </c>
      <c r="E119" s="3327"/>
      <c r="F119" s="3326" t="str">
        <f ca="1">NUMBERSTRING(INT(F118*10000),2)&amp;"元整"</f>
        <v>贰仟捌佰壹拾陆万元整</v>
      </c>
      <c r="G119" s="3327"/>
      <c r="H119" s="3326" t="str">
        <f ca="1">NUMBERSTRING(INT(H118*10000),2)&amp;"元整"</f>
        <v>贰亿肆仟肆佰捌拾伍万元整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24485</v>
      </c>
      <c r="E122" s="3322"/>
      <c r="F122" s="3322"/>
      <c r="G122" s="3322"/>
      <c r="H122" s="3322"/>
      <c r="I122" s="3323"/>
      <c r="AA122" s="734"/>
    </row>
    <row r="123" spans="1:27" ht="18.75" customHeight="1">
      <c r="A123" s="3320" t="s">
        <v>2077</v>
      </c>
      <c r="B123" s="3320"/>
      <c r="C123" s="3320"/>
      <c r="D123" s="3326" t="str">
        <f ca="1">NUMBERSTRING(INT(D122*10000),2)&amp;"元整"</f>
        <v>贰亿肆仟肆佰捌拾伍万元整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2077</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抵押净值</v>
      </c>
      <c r="B126" s="3332"/>
      <c r="C126" s="3332"/>
      <c r="D126" s="3321">
        <f ca="1">H111</f>
        <v>24473</v>
      </c>
      <c r="E126" s="3322"/>
      <c r="F126" s="3322"/>
      <c r="G126" s="3322"/>
      <c r="H126" s="3322"/>
      <c r="I126" s="3323"/>
      <c r="AA126" s="734"/>
    </row>
    <row r="127" spans="1:27" ht="18.75" customHeight="1">
      <c r="A127" s="3320" t="s">
        <v>2077</v>
      </c>
      <c r="B127" s="3320"/>
      <c r="C127" s="3320"/>
      <c r="D127" s="3326" t="str">
        <f ca="1">NUMBERSTRING(INT(D126*10000),2)&amp;"元整"</f>
        <v>贰亿肆仟肆佰柒拾叁万元整</v>
      </c>
      <c r="E127" s="3328"/>
      <c r="F127" s="3328"/>
      <c r="G127" s="3328"/>
      <c r="H127" s="3328"/>
      <c r="I127" s="3327"/>
      <c r="AA127" s="734"/>
    </row>
    <row r="128" spans="1:27" ht="21.75" customHeight="1">
      <c r="A128" s="3329" t="s">
        <v>2078</v>
      </c>
      <c r="B128" s="3329"/>
      <c r="C128" s="3329"/>
      <c r="D128" s="3329"/>
      <c r="E128" s="3329"/>
      <c r="F128" s="3329"/>
      <c r="G128" s="3329"/>
      <c r="H128" s="3329"/>
      <c r="I128" s="332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26070</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41905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16232</v>
      </c>
      <c r="D5" s="217" t="s">
        <v>2094</v>
      </c>
      <c r="E5" s="218" t="s">
        <v>2095</v>
      </c>
      <c r="F5" s="218" t="s">
        <v>2096</v>
      </c>
      <c r="G5" s="219"/>
    </row>
    <row r="6" spans="1:9" s="220" customFormat="1" ht="13.5" customHeight="1">
      <c r="A6" s="886" t="s">
        <v>2097</v>
      </c>
      <c r="B6" s="221" t="s">
        <v>2098</v>
      </c>
      <c r="C6" s="222">
        <f>[2]基准地价修正!$E$33</f>
        <v>15631</v>
      </c>
      <c r="D6" s="223"/>
      <c r="E6" s="224"/>
      <c r="F6" s="224"/>
      <c r="G6" s="225"/>
    </row>
    <row r="7" spans="1:9" s="220" customFormat="1" ht="13.5" customHeight="1">
      <c r="A7" s="886" t="s">
        <v>2099</v>
      </c>
      <c r="B7" s="221" t="s">
        <v>2100</v>
      </c>
      <c r="C7" s="226">
        <f>ROUND(C6*F7,0)</f>
        <v>477</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325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1406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1392</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14</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3311</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3311</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23076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2724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2488</v>
      </c>
      <c r="D34" s="223"/>
      <c r="E34" s="226"/>
      <c r="F34" s="263">
        <f ca="1">IF('数据-取费表'!B24=0,1,IF(B1="",'数据-取费表'!N16,INDIRECT("'数据-取费表'!n"&amp;$G$1)))</f>
        <v>1</v>
      </c>
      <c r="G34" s="225" t="s">
        <v>2151</v>
      </c>
    </row>
    <row r="35" spans="1:7" ht="13.5" customHeight="1">
      <c r="A35" s="888" t="s">
        <v>796</v>
      </c>
      <c r="B35" s="221" t="s">
        <v>2152</v>
      </c>
      <c r="C35" s="226">
        <f ca="1">ROUND(C34*F35,0)</f>
        <v>75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37</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114</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556</v>
      </c>
      <c r="D45" s="241">
        <f ca="1">C47</f>
        <v>4.0000000000000001E-3</v>
      </c>
      <c r="E45" s="242" t="s">
        <v>2164</v>
      </c>
      <c r="F45" s="2507">
        <f ca="1">F27</f>
        <v>0.2</v>
      </c>
      <c r="G45" s="253" t="s">
        <v>2173</v>
      </c>
    </row>
    <row r="46" spans="1:7" s="220" customFormat="1" ht="13.5" customHeight="1">
      <c r="A46" s="888" t="s">
        <v>791</v>
      </c>
      <c r="B46" s="254" t="s">
        <v>2174</v>
      </c>
      <c r="C46" s="255">
        <f ca="1">ROUND((C33+C39)*F27,0)</f>
        <v>556</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3742</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2994</v>
      </c>
      <c r="D51" s="238"/>
      <c r="E51" s="238"/>
      <c r="F51" s="270"/>
      <c r="G51" s="240" t="s">
        <v>2185</v>
      </c>
    </row>
    <row r="52" spans="1:7" s="214" customFormat="1" ht="16.5" thickBot="1">
      <c r="A52" s="271" t="s">
        <v>2186</v>
      </c>
      <c r="B52" s="272"/>
      <c r="C52" s="273">
        <f ca="1">C31+C51</f>
        <v>26070</v>
      </c>
      <c r="D52" s="272"/>
      <c r="E52" s="272"/>
      <c r="F52" s="272"/>
      <c r="G52" s="274"/>
    </row>
    <row r="55" spans="1:7" ht="15">
      <c r="B55" s="276" t="s">
        <v>2187</v>
      </c>
      <c r="C55" s="277"/>
    </row>
    <row r="56" spans="1:7">
      <c r="B56" s="279" t="s">
        <v>1417</v>
      </c>
      <c r="C56" s="281">
        <f ca="1">1-C57</f>
        <v>0.88500000000000001</v>
      </c>
    </row>
    <row r="57" spans="1:7">
      <c r="B57" s="279" t="s">
        <v>1418</v>
      </c>
      <c r="C57" s="280">
        <f ca="1">ROUND(C51/C52,3)</f>
        <v>0.115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3349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5383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507647</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507647</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3537683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27248681</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24884640</v>
      </c>
      <c r="D34" s="223"/>
      <c r="E34" s="226"/>
      <c r="F34" s="263"/>
      <c r="G34" s="225"/>
    </row>
    <row r="35" spans="1:7" ht="13.5" customHeight="1">
      <c r="A35" s="888" t="s">
        <v>796</v>
      </c>
      <c r="B35" s="221" t="s">
        <v>2152</v>
      </c>
      <c r="C35" s="226">
        <f ca="1">ROUND(C34*F35,0)</f>
        <v>746539</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373270</v>
      </c>
      <c r="D38" s="226"/>
      <c r="E38" s="226"/>
      <c r="F38" s="265">
        <f>'数据-取费表'!B36</f>
        <v>1.4999999999999999E-2</v>
      </c>
      <c r="G38" s="225" t="s">
        <v>2153</v>
      </c>
    </row>
    <row r="39" spans="1:7" s="220" customFormat="1" ht="13.5" customHeight="1">
      <c r="A39" s="261" t="s">
        <v>2159</v>
      </c>
      <c r="B39" s="216" t="s">
        <v>2160</v>
      </c>
      <c r="C39" s="238">
        <f ca="1">ROUND(C33*F20,0)</f>
        <v>544974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1167334</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1144445</v>
      </c>
      <c r="D42" s="244"/>
      <c r="E42" s="244"/>
      <c r="F42" s="245"/>
      <c r="G42" s="3402" t="s">
        <v>2216</v>
      </c>
    </row>
    <row r="43" spans="1:7" ht="13.5" customHeight="1">
      <c r="A43" s="888" t="s">
        <v>792</v>
      </c>
      <c r="B43" s="221" t="s">
        <v>2170</v>
      </c>
      <c r="C43" s="244">
        <f ca="1">ROUND(IF('数据-取费表'!B22&lt;=1,C39*F22*'数据-取费表'!B20/2,C39*(POWER((1+F22),'数据-取费表'!B20/2)-1)),0)</f>
        <v>22889</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5558731</v>
      </c>
      <c r="D45" s="241">
        <f ca="1">C47</f>
        <v>4.0000000000000001E-3</v>
      </c>
      <c r="E45" s="242" t="s">
        <v>2164</v>
      </c>
      <c r="F45" s="2507">
        <f ca="1">F27</f>
        <v>0.2</v>
      </c>
      <c r="G45" s="253" t="s">
        <v>2173</v>
      </c>
    </row>
    <row r="46" spans="1:7" s="220" customFormat="1" ht="13.5" customHeight="1">
      <c r="A46" s="888" t="s">
        <v>791</v>
      </c>
      <c r="B46" s="254" t="s">
        <v>2174</v>
      </c>
      <c r="C46" s="255">
        <f ca="1">ROUND((C33+C39)*F27,0)</f>
        <v>5558731</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37444105</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29955284</v>
      </c>
      <c r="D51" s="238"/>
      <c r="E51" s="238"/>
      <c r="F51" s="270"/>
      <c r="G51" s="240" t="s">
        <v>2185</v>
      </c>
    </row>
    <row r="52" spans="1:7" s="214" customFormat="1" ht="16.5" thickBot="1">
      <c r="A52" s="271" t="s">
        <v>2186</v>
      </c>
      <c r="B52" s="272"/>
      <c r="C52" s="273">
        <f ca="1">C31+C51</f>
        <v>33492967</v>
      </c>
      <c r="D52" s="272"/>
      <c r="E52" s="272"/>
      <c r="F52" s="272"/>
      <c r="G52" s="274"/>
    </row>
    <row r="55" spans="1:7" ht="15">
      <c r="B55" s="276" t="s">
        <v>2187</v>
      </c>
      <c r="C55" s="277"/>
    </row>
    <row r="56" spans="1:7">
      <c r="B56" s="279" t="s">
        <v>1417</v>
      </c>
      <c r="C56" s="281">
        <f ca="1">1-C57</f>
        <v>0.10599999999999998</v>
      </c>
    </row>
    <row r="57" spans="1:7">
      <c r="B57" s="279" t="s">
        <v>1418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29.92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22899</v>
      </c>
      <c r="C2" s="1541" t="s">
        <v>1420</v>
      </c>
      <c r="D2" s="1541"/>
      <c r="E2" s="1542"/>
      <c r="F2" s="1543"/>
      <c r="G2" s="2905"/>
      <c r="H2" s="2894"/>
      <c r="I2" s="2894"/>
      <c r="J2" s="2894"/>
      <c r="K2" s="2895"/>
      <c r="L2" s="2894"/>
      <c r="M2" s="2894"/>
    </row>
    <row r="3" spans="1:37" ht="18" customHeight="1" thickBot="1">
      <c r="A3" s="1544" t="s">
        <v>1421</v>
      </c>
      <c r="B3" s="1545">
        <f ca="1">IF(ISERROR(B2*10000/F43),0,ROUND(B2*10000/F43,0))</f>
        <v>36808</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1433</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1431</v>
      </c>
      <c r="D6" s="160" t="s">
        <v>2788</v>
      </c>
      <c r="E6" s="308" t="s">
        <v>1310</v>
      </c>
      <c r="F6" s="309">
        <f ca="1">INDIRECT("'数据-取费表'!u"&amp;$G$1)</f>
        <v>7</v>
      </c>
      <c r="G6" s="1538"/>
      <c r="H6" s="1201" t="s">
        <v>1003</v>
      </c>
      <c r="I6" s="3407" t="s">
        <v>1308</v>
      </c>
      <c r="J6" s="307">
        <f ca="1">ROUND(M6*M8*M7*(1-M9)/10000,0)</f>
        <v>0</v>
      </c>
      <c r="K6" s="16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0</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2994</v>
      </c>
      <c r="D13" s="1213" t="s">
        <v>1319</v>
      </c>
      <c r="E13" s="1213"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2488</v>
      </c>
      <c r="D14" s="1499" t="s">
        <v>1322</v>
      </c>
      <c r="E14" s="1496"/>
      <c r="F14" s="325"/>
      <c r="G14" s="1538"/>
      <c r="H14" s="1113" t="s">
        <v>1003</v>
      </c>
      <c r="I14" s="308" t="s">
        <v>1323</v>
      </c>
      <c r="J14" s="24">
        <f ca="1">C29</f>
        <v>3742</v>
      </c>
      <c r="K14" s="15"/>
      <c r="L14" s="916"/>
      <c r="M14" s="917"/>
    </row>
    <row r="15" spans="1:37" s="1551" customFormat="1" ht="18" customHeight="1" thickBot="1">
      <c r="A15" s="1113" t="s">
        <v>1004</v>
      </c>
      <c r="B15" s="308" t="s">
        <v>1324</v>
      </c>
      <c r="C15" s="24">
        <f ca="1">ROUND(C14*F15,0)</f>
        <v>75</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56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37</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2724</v>
      </c>
      <c r="D19" s="136" t="s">
        <v>1340</v>
      </c>
      <c r="E19" s="1514"/>
      <c r="F19" s="26"/>
      <c r="G19" s="1538"/>
      <c r="H19" s="1113" t="s">
        <v>1004</v>
      </c>
      <c r="I19" s="308" t="s">
        <v>1341</v>
      </c>
      <c r="J19" s="24">
        <f ca="1">IF(K19="按租金收入计税",ROUND(J6*M19/(1+'数据-取费表'!C42),2),ROUND(C29*M19*0.7,2))</f>
        <v>0</v>
      </c>
      <c r="K19" s="1524" t="s">
        <v>3165</v>
      </c>
      <c r="L19" s="308" t="s">
        <v>1326</v>
      </c>
      <c r="M19" s="328">
        <f>IF(K19="按租金收入计税",'数据-取费表'!B51,'数据-取费表'!B50)</f>
        <v>0.12</v>
      </c>
    </row>
    <row r="20" spans="1:37" s="1551" customFormat="1" ht="18" customHeight="1">
      <c r="A20" s="1113" t="s">
        <v>1007</v>
      </c>
      <c r="B20" s="308" t="s">
        <v>1343</v>
      </c>
      <c r="C20" s="24">
        <f ca="1">ROUND(C19*F20,0)</f>
        <v>54</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56.1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-56</v>
      </c>
      <c r="K25" s="1227" t="s">
        <v>1368</v>
      </c>
      <c r="L25" s="1228"/>
      <c r="M25" s="1229"/>
    </row>
    <row r="26" spans="1:37">
      <c r="A26" s="1113" t="s">
        <v>1002</v>
      </c>
      <c r="B26" s="308" t="s">
        <v>1369</v>
      </c>
      <c r="C26" s="24">
        <f ca="1">ROUND((C19+C20)*F26,0)</f>
        <v>556</v>
      </c>
      <c r="D26" s="329" t="s">
        <v>1370</v>
      </c>
      <c r="E26" s="319" t="s">
        <v>1371</v>
      </c>
      <c r="F26" s="318">
        <f ca="1">INDIRECT("'数据-取费表'!q"&amp;$G$1)</f>
        <v>0.2</v>
      </c>
      <c r="G26" s="1538"/>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4.0000000000000001E-3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3742</v>
      </c>
      <c r="D29" s="1224"/>
      <c r="E29" s="1222"/>
      <c r="F29" s="1225"/>
      <c r="G29" s="1550"/>
      <c r="H29" s="340" t="s">
        <v>1001</v>
      </c>
      <c r="I29" s="341" t="s">
        <v>1383</v>
      </c>
      <c r="J29" s="342">
        <f ca="1">ROUND(J26/(1+F40)^F41,0)</f>
        <v>0</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315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240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76.319999999999993</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163.54</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56.1</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4.5</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14.3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1118</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22899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29.92</v>
      </c>
      <c r="G41" s="1538"/>
      <c r="H41" s="1325"/>
      <c r="I41" s="1552"/>
      <c r="J41" s="1553"/>
      <c r="K41" s="2740"/>
      <c r="L41" s="1325"/>
      <c r="M41" s="1325"/>
    </row>
    <row r="42" spans="1:18" ht="18" customHeight="1">
      <c r="A42" s="314"/>
      <c r="B42" s="315"/>
      <c r="C42" s="316"/>
      <c r="D42" s="333"/>
      <c r="E42" s="308" t="s">
        <v>1381</v>
      </c>
      <c r="F42" s="318">
        <f ca="1">INDIRECT("'数据-取费表'!v"&amp;$G$1)</f>
        <v>0.03</v>
      </c>
      <c r="G42" s="1538"/>
      <c r="H42" s="1325"/>
      <c r="I42" s="1552"/>
      <c r="J42" s="1553"/>
      <c r="K42" s="2740"/>
      <c r="L42" s="1325"/>
      <c r="M42" s="1325"/>
    </row>
    <row r="43" spans="1:18" ht="18" customHeight="1" thickBot="1">
      <c r="A43" s="340" t="s">
        <v>1001</v>
      </c>
      <c r="B43" s="341" t="s">
        <v>1391</v>
      </c>
      <c r="C43" s="342">
        <f ca="1">ROUND(C40*10000/F43,0)</f>
        <v>36808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22899</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29.92</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3742</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15045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29.92</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29.92</v>
      </c>
      <c r="K53" s="3405" t="s">
        <v>1452</v>
      </c>
      <c r="L53" s="3406"/>
      <c r="O53" s="1572" t="s">
        <v>1014</v>
      </c>
      <c r="P53" s="1573" t="s">
        <v>1453</v>
      </c>
      <c r="Q53" s="1574">
        <f ca="1">Q47+Q48</f>
        <v>22899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2994</v>
      </c>
      <c r="D56" s="1601"/>
      <c r="E56" s="1602"/>
      <c r="F56" s="1594"/>
      <c r="I56" s="1603" t="s">
        <v>1458</v>
      </c>
      <c r="J56" s="1604" t="s">
        <v>3131</v>
      </c>
      <c r="K56" s="1575" t="s">
        <v>1459</v>
      </c>
      <c r="L56" s="1578" t="str">
        <f ca="1">IF(L48&lt;J51,"——",L48-J53)</f>
        <v>——</v>
      </c>
      <c r="O56" s="1572" t="s">
        <v>1008</v>
      </c>
      <c r="P56" s="1573" t="s">
        <v>1432</v>
      </c>
      <c r="Q56" s="1574">
        <f ca="1">C40+J29</f>
        <v>22899</v>
      </c>
      <c r="R56" s="1574" t="s">
        <v>1433</v>
      </c>
    </row>
    <row r="57" spans="1:18" s="1538" customFormat="1" ht="24.75" thickBot="1">
      <c r="A57" s="1605"/>
      <c r="B57" s="1081" t="s">
        <v>1382</v>
      </c>
      <c r="C57" s="244">
        <f ca="1">C29</f>
        <v>3742</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315</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22899</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56.1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4.5</v>
      </c>
      <c r="D65" s="1095" t="s">
        <v>1358</v>
      </c>
      <c r="E65" s="1081" t="s">
        <v>1359</v>
      </c>
      <c r="F65" s="336">
        <f t="shared" ca="1" si="0"/>
        <v>1.5E-3</v>
      </c>
      <c r="I65" s="1616" t="s">
        <v>1483</v>
      </c>
      <c r="J65" s="1617">
        <v>40</v>
      </c>
      <c r="K65" s="1617">
        <v>30</v>
      </c>
      <c r="L65" s="1617">
        <v>50</v>
      </c>
      <c r="M65" s="1619">
        <v>0.02</v>
      </c>
      <c r="O65" s="1572" t="s">
        <v>1008</v>
      </c>
      <c r="P65" s="1573" t="s">
        <v>1484</v>
      </c>
      <c r="Q65" s="1574">
        <f ca="1">C40+J29</f>
        <v>22899</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1118</v>
      </c>
      <c r="D67" s="1094" t="s">
        <v>1368</v>
      </c>
      <c r="E67" s="1099"/>
      <c r="F67" s="1100"/>
      <c r="O67" s="1582" t="s">
        <v>1010</v>
      </c>
      <c r="P67" s="1573" t="s">
        <v>1466</v>
      </c>
      <c r="Q67" s="1620">
        <f ca="1">L51</f>
        <v>15045</v>
      </c>
      <c r="R67" s="1574" t="s">
        <v>1486</v>
      </c>
    </row>
    <row r="68" spans="1:18" s="1538" customFormat="1" ht="16.5" thickBot="1">
      <c r="A68" s="1078" t="s">
        <v>1000</v>
      </c>
      <c r="B68" s="1079" t="s">
        <v>1389</v>
      </c>
      <c r="C68" s="307">
        <f ca="1">ROUND(C67*(1-((1+F70)/(1+F68))^F69)/(F68-F70),0)</f>
        <v>22899</v>
      </c>
      <c r="D68" s="1096" t="s">
        <v>1373</v>
      </c>
      <c r="E68" s="1081" t="s">
        <v>1374</v>
      </c>
      <c r="F68" s="318">
        <f ca="1">F40</f>
        <v>5.5E-2</v>
      </c>
      <c r="O68" s="1582" t="s">
        <v>1011</v>
      </c>
      <c r="P68" s="1621" t="s">
        <v>1487</v>
      </c>
      <c r="Q68" s="1574">
        <f ca="1">ROUND(Q69-Q70*Q71,0)</f>
        <v>864</v>
      </c>
      <c r="R68" s="1574" t="s">
        <v>1019</v>
      </c>
    </row>
    <row r="69" spans="1:18" s="1538" customFormat="1" ht="13.5" thickBot="1">
      <c r="A69" s="1082"/>
      <c r="B69" s="1083"/>
      <c r="C69" s="312"/>
      <c r="D69" s="1101" t="s">
        <v>1377</v>
      </c>
      <c r="E69" s="1081" t="s">
        <v>1378</v>
      </c>
      <c r="F69" s="339">
        <f ca="1">F41</f>
        <v>29.92</v>
      </c>
      <c r="O69" s="1582" t="s">
        <v>1016</v>
      </c>
      <c r="P69" s="1621" t="s">
        <v>1488</v>
      </c>
      <c r="Q69" s="1574">
        <f ca="1">C39</f>
        <v>1118</v>
      </c>
      <c r="R69" s="1574" t="s">
        <v>1433</v>
      </c>
    </row>
    <row r="70" spans="1:18" s="1538" customFormat="1" ht="13.5" thickBot="1">
      <c r="A70" s="1085"/>
      <c r="B70" s="1086"/>
      <c r="C70" s="316"/>
      <c r="D70" s="1097"/>
      <c r="E70" s="1081" t="s">
        <v>1381</v>
      </c>
      <c r="F70" s="1185">
        <v>0.03</v>
      </c>
      <c r="O70" s="1582" t="s">
        <v>1017</v>
      </c>
      <c r="P70" s="1621" t="s">
        <v>1489</v>
      </c>
      <c r="Q70" s="1574">
        <f ca="1">C13</f>
        <v>2994</v>
      </c>
      <c r="R70" s="1574" t="s">
        <v>1433</v>
      </c>
    </row>
    <row r="71" spans="1:18" s="1538" customFormat="1" ht="13.5" thickBot="1">
      <c r="A71" s="1102" t="s">
        <v>1001</v>
      </c>
      <c r="B71" s="1103" t="s">
        <v>1391</v>
      </c>
      <c r="C71" s="342">
        <f ca="1">ROUND(C68*10000/F71,0)</f>
        <v>36808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254</v>
      </c>
      <c r="D75" s="1538"/>
      <c r="E75" s="1538"/>
      <c r="F75" s="1538"/>
      <c r="K75" s="1556"/>
      <c r="L75" s="1538"/>
      <c r="O75" s="1572" t="s">
        <v>1014</v>
      </c>
      <c r="P75" s="1573" t="s">
        <v>1453</v>
      </c>
      <c r="Q75" s="1574">
        <f ca="1">Q65+Q66</f>
        <v>22899</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0.77300000000000002</v>
      </c>
    </row>
    <row r="80" spans="1:18">
      <c r="B80" s="346" t="s">
        <v>1415</v>
      </c>
      <c r="C80" s="280">
        <f ca="1">ROUND(C75/C39,3)</f>
        <v>0.22700000000000001</v>
      </c>
    </row>
    <row r="81" spans="2:3">
      <c r="B81" s="276" t="s">
        <v>1416</v>
      </c>
      <c r="C81" s="244"/>
    </row>
    <row r="82" spans="2:3">
      <c r="B82" s="279" t="s">
        <v>1417</v>
      </c>
      <c r="C82" s="281">
        <f ca="1">1-C83</f>
        <v>0.86899999999999999</v>
      </c>
    </row>
    <row r="83" spans="2:3">
      <c r="B83" s="279" t="s">
        <v>1418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0" t="s">
        <v>3005</v>
      </c>
      <c r="K2" s="341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2" t="s">
        <v>3015</v>
      </c>
      <c r="K3" s="341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2" t="s">
        <v>3017</v>
      </c>
      <c r="K4" s="341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14" t="s">
        <v>3021</v>
      </c>
      <c r="B6" s="3415"/>
      <c r="C6" s="3416"/>
      <c r="D6" s="3071"/>
      <c r="E6" s="3072"/>
      <c r="F6" s="3073"/>
      <c r="G6" s="3074"/>
      <c r="H6" s="3049"/>
      <c r="I6" s="3050"/>
      <c r="J6" s="3417">
        <v>1</v>
      </c>
      <c r="K6" s="341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7"/>
      <c r="K7" s="341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1" t="s">
        <v>3035</v>
      </c>
      <c r="C8" s="3422"/>
      <c r="D8" s="3090" t="s">
        <v>3036</v>
      </c>
      <c r="E8" s="3091" t="s">
        <v>3037</v>
      </c>
      <c r="F8" s="3092" t="s">
        <v>3038</v>
      </c>
      <c r="G8" s="3093"/>
      <c r="H8" s="3049"/>
      <c r="I8" s="3050"/>
      <c r="J8" s="3417"/>
      <c r="K8" s="341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1" t="s">
        <v>3041</v>
      </c>
      <c r="C9" s="3422"/>
      <c r="D9" s="3090">
        <f>ROUND(D6*E9,0)</f>
        <v>0</v>
      </c>
      <c r="E9" s="3094"/>
      <c r="F9" s="3095" t="s">
        <v>3042</v>
      </c>
      <c r="G9" s="3074"/>
      <c r="H9" s="3049"/>
      <c r="I9" s="3050"/>
      <c r="J9" s="3417"/>
      <c r="K9" s="3419"/>
      <c r="L9" s="3084" t="s">
        <v>3043</v>
      </c>
      <c r="M9" s="3085"/>
      <c r="N9" s="3061"/>
      <c r="O9" s="3086"/>
      <c r="P9" s="3086"/>
      <c r="Q9" s="3087">
        <v>365</v>
      </c>
      <c r="R9" s="3088">
        <f t="shared" si="0"/>
        <v>0</v>
      </c>
      <c r="S9" s="3042"/>
      <c r="T9" s="3042"/>
      <c r="U9" s="3042"/>
      <c r="V9" s="3050"/>
    </row>
    <row r="10" spans="1:22" s="3054" customFormat="1" ht="13.15" customHeight="1">
      <c r="A10" s="3089">
        <v>2</v>
      </c>
      <c r="B10" s="3421" t="s">
        <v>3044</v>
      </c>
      <c r="C10" s="3422"/>
      <c r="D10" s="3090">
        <f>ROUND(D6*E10,0)</f>
        <v>0</v>
      </c>
      <c r="E10" s="3094"/>
      <c r="F10" s="3095" t="s">
        <v>3045</v>
      </c>
      <c r="G10" s="3074"/>
      <c r="H10" s="3049"/>
      <c r="I10" s="3050"/>
      <c r="J10" s="3417"/>
      <c r="K10" s="3419"/>
      <c r="L10" s="3084" t="s">
        <v>3046</v>
      </c>
      <c r="M10" s="3085"/>
      <c r="N10" s="3061"/>
      <c r="O10" s="3086"/>
      <c r="P10" s="3086"/>
      <c r="Q10" s="3087">
        <v>365</v>
      </c>
      <c r="R10" s="3088">
        <f t="shared" si="0"/>
        <v>0</v>
      </c>
      <c r="S10" s="3042"/>
      <c r="T10" s="3042"/>
      <c r="U10" s="3042"/>
      <c r="V10" s="3050"/>
    </row>
    <row r="11" spans="1:22" s="3054" customFormat="1" ht="13.15" customHeight="1">
      <c r="A11" s="3089">
        <v>3</v>
      </c>
      <c r="B11" s="3421" t="s">
        <v>3047</v>
      </c>
      <c r="C11" s="3422"/>
      <c r="D11" s="3090">
        <f>D12+D14+D15+D16</f>
        <v>0</v>
      </c>
      <c r="E11" s="3096" t="e">
        <f>D11/D6</f>
        <v>#DIV/0!</v>
      </c>
      <c r="F11" s="3092"/>
      <c r="G11" s="3093"/>
      <c r="H11" s="3049"/>
      <c r="I11" s="3050"/>
      <c r="J11" s="3417"/>
      <c r="K11" s="341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3" t="s">
        <v>3050</v>
      </c>
      <c r="C12" s="3424"/>
      <c r="D12" s="3098">
        <f>ROUND(D13*1.2%*(1-30%),0)</f>
        <v>0</v>
      </c>
      <c r="E12" s="3099">
        <v>1.2E-2</v>
      </c>
      <c r="F12" s="3092" t="s">
        <v>3051</v>
      </c>
      <c r="G12" s="3093"/>
      <c r="H12" s="3049"/>
      <c r="I12" s="3050"/>
      <c r="J12" s="3417"/>
      <c r="K12" s="341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7"/>
      <c r="K13" s="341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3" t="s">
        <v>3056</v>
      </c>
      <c r="C14" s="3424"/>
      <c r="D14" s="3098">
        <f>ROUND(E14*B5/10000,0)</f>
        <v>0</v>
      </c>
      <c r="E14" s="3087"/>
      <c r="F14" s="3092" t="s">
        <v>3057</v>
      </c>
      <c r="G14" s="3093"/>
      <c r="H14" s="3049"/>
      <c r="I14" s="3050"/>
      <c r="J14" s="3417"/>
      <c r="K14" s="342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3" t="s">
        <v>3060</v>
      </c>
      <c r="C15" s="3424"/>
      <c r="D15" s="3098">
        <f>ROUND(D6*E15,0)</f>
        <v>0</v>
      </c>
      <c r="E15" s="3099">
        <v>5.5E-2</v>
      </c>
      <c r="F15" s="3092" t="s">
        <v>3061</v>
      </c>
      <c r="G15" s="3074"/>
      <c r="H15" s="3049"/>
      <c r="I15" s="3050"/>
      <c r="J15" s="3417">
        <v>2</v>
      </c>
      <c r="K15" s="341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3" t="s">
        <v>3069</v>
      </c>
      <c r="C16" s="3424"/>
      <c r="D16" s="3109">
        <f>D6*E16</f>
        <v>0</v>
      </c>
      <c r="E16" s="3110"/>
      <c r="F16" s="3095" t="s">
        <v>3070</v>
      </c>
      <c r="G16" s="3074"/>
      <c r="H16" s="3049"/>
      <c r="I16" s="3050"/>
      <c r="J16" s="3417"/>
      <c r="K16" s="341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5" t="s">
        <v>3072</v>
      </c>
      <c r="C17" s="3426"/>
      <c r="D17" s="3112">
        <f>ROUND(D6*E17,0)</f>
        <v>0</v>
      </c>
      <c r="E17" s="3113"/>
      <c r="F17" s="3114" t="s">
        <v>3073</v>
      </c>
      <c r="G17" s="3074"/>
      <c r="H17" s="3049"/>
      <c r="I17" s="3050"/>
      <c r="J17" s="3417"/>
      <c r="K17" s="341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7"/>
      <c r="K18" s="341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7"/>
      <c r="K19" s="342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7">
        <v>3</v>
      </c>
      <c r="K20" s="341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7"/>
      <c r="K21" s="341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7"/>
      <c r="K22" s="341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7"/>
      <c r="K23" s="341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7"/>
      <c r="K24" s="342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2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2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0" t="s">
        <v>3005</v>
      </c>
      <c r="K32" s="341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2" t="s">
        <v>3015</v>
      </c>
      <c r="K33" s="341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2" t="s">
        <v>3017</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7">
        <v>1</v>
      </c>
      <c r="K36" s="341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7"/>
      <c r="K37" s="341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7"/>
      <c r="K38" s="341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7"/>
      <c r="K39" s="341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7"/>
      <c r="K40" s="342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2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22899</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36808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22899</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36" t="s">
        <v>2297</v>
      </c>
      <c r="S4" s="3437"/>
      <c r="T4" s="3436" t="s">
        <v>2298</v>
      </c>
      <c r="U4" s="3437"/>
      <c r="V4" s="3461" t="s">
        <v>2299</v>
      </c>
      <c r="W4" s="3461"/>
      <c r="X4" s="1509"/>
      <c r="Y4" s="3436" t="s">
        <v>2301</v>
      </c>
      <c r="Z4" s="3437"/>
      <c r="AA4" s="3431" t="s">
        <v>2297</v>
      </c>
      <c r="AB4" s="3431" t="s">
        <v>2298</v>
      </c>
      <c r="AC4" s="3431" t="s">
        <v>2299</v>
      </c>
    </row>
    <row r="5" spans="1:29" ht="15">
      <c r="A5" s="364"/>
      <c r="B5" s="365"/>
      <c r="C5" s="3442" t="s">
        <v>2302</v>
      </c>
      <c r="D5" s="3443"/>
      <c r="E5" s="3440" t="s">
        <v>2303</v>
      </c>
      <c r="F5" s="3441"/>
      <c r="G5" s="3442" t="s">
        <v>2304</v>
      </c>
      <c r="H5" s="3443"/>
      <c r="I5" s="3442" t="s">
        <v>2305</v>
      </c>
      <c r="J5" s="3443"/>
      <c r="K5" s="2046"/>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2046"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4" t="s">
        <v>2309</v>
      </c>
      <c r="Q7" s="3462"/>
      <c r="R7" s="710" t="s">
        <v>23</v>
      </c>
      <c r="S7" s="711">
        <f t="shared" ref="S7:S15" si="0">F7</f>
        <v>0</v>
      </c>
      <c r="T7" s="710" t="s">
        <v>23</v>
      </c>
      <c r="U7" s="711">
        <f t="shared" ref="U7:U15" si="1">H7</f>
        <v>0</v>
      </c>
      <c r="V7" s="710" t="s">
        <v>23</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4" t="s">
        <v>2312</v>
      </c>
      <c r="Q8" s="3435"/>
      <c r="R8" s="710" t="s">
        <v>23</v>
      </c>
      <c r="S8" s="711">
        <f t="shared" si="0"/>
        <v>0</v>
      </c>
      <c r="T8" s="710" t="s">
        <v>23</v>
      </c>
      <c r="U8" s="711">
        <f t="shared" si="1"/>
        <v>0</v>
      </c>
      <c r="V8" s="710" t="s">
        <v>23</v>
      </c>
      <c r="W8" s="711">
        <f t="shared" si="2"/>
        <v>0</v>
      </c>
      <c r="X8" s="712"/>
      <c r="Y8" s="3434" t="s">
        <v>2312</v>
      </c>
      <c r="Z8" s="343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5" t="s">
        <v>2320</v>
      </c>
      <c r="Q15" s="1506" t="str">
        <f t="shared" si="6"/>
        <v>居住社区成熟度</v>
      </c>
      <c r="R15" s="714" t="s">
        <v>21</v>
      </c>
      <c r="S15" s="715">
        <f t="shared" si="0"/>
        <v>100</v>
      </c>
      <c r="T15" s="714" t="s">
        <v>21</v>
      </c>
      <c r="U15" s="715">
        <f t="shared" si="1"/>
        <v>100</v>
      </c>
      <c r="V15" s="714" t="s">
        <v>21</v>
      </c>
      <c r="W15" s="715">
        <f t="shared" si="2"/>
        <v>100</v>
      </c>
      <c r="X15" s="1509"/>
      <c r="Y15" s="3468"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0" t="s">
        <v>2325</v>
      </c>
      <c r="Q32" s="1506" t="str">
        <f t="shared" si="11"/>
        <v>建筑类型</v>
      </c>
      <c r="R32" s="714" t="s">
        <v>21</v>
      </c>
      <c r="S32" s="715">
        <f t="shared" si="12"/>
        <v>100</v>
      </c>
      <c r="T32" s="714" t="s">
        <v>21</v>
      </c>
      <c r="U32" s="715">
        <f t="shared" si="13"/>
        <v>100</v>
      </c>
      <c r="V32" s="714" t="s">
        <v>21</v>
      </c>
      <c r="W32" s="715">
        <f t="shared" si="14"/>
        <v>100</v>
      </c>
      <c r="X32" s="1509"/>
      <c r="Y32" s="3473"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1" t="s">
        <v>2325</v>
      </c>
      <c r="Q38" s="1506" t="str">
        <f t="shared" si="11"/>
        <v>物业管理</v>
      </c>
      <c r="R38" s="714" t="s">
        <v>21</v>
      </c>
      <c r="S38" s="715">
        <f t="shared" si="12"/>
        <v>100</v>
      </c>
      <c r="T38" s="714" t="s">
        <v>21</v>
      </c>
      <c r="U38" s="715">
        <f t="shared" si="13"/>
        <v>100</v>
      </c>
      <c r="V38" s="714" t="s">
        <v>21</v>
      </c>
      <c r="W38" s="715">
        <f t="shared" si="14"/>
        <v>100</v>
      </c>
      <c r="X38" s="1509"/>
      <c r="Y38" s="3473"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61"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61"/>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61"/>
      <c r="AC6" s="3433"/>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5" t="s">
        <v>2320</v>
      </c>
      <c r="Q15" s="1506" t="str">
        <f t="shared" si="6"/>
        <v>商业繁华度</v>
      </c>
      <c r="R15" s="714" t="s">
        <v>17</v>
      </c>
      <c r="S15" s="715">
        <f t="shared" si="0"/>
        <v>100</v>
      </c>
      <c r="T15" s="714" t="s">
        <v>17</v>
      </c>
      <c r="U15" s="715">
        <f t="shared" si="1"/>
        <v>100</v>
      </c>
      <c r="V15" s="714" t="s">
        <v>17</v>
      </c>
      <c r="W15" s="715">
        <f t="shared" si="2"/>
        <v>100</v>
      </c>
      <c r="X15" s="1509"/>
      <c r="Y15" s="3468"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0" t="s">
        <v>2325</v>
      </c>
      <c r="Q32" s="1506" t="str">
        <f t="shared" si="11"/>
        <v>商业类型</v>
      </c>
      <c r="R32" s="714" t="s">
        <v>17</v>
      </c>
      <c r="S32" s="715">
        <f t="shared" si="12"/>
        <v>100</v>
      </c>
      <c r="T32" s="714" t="s">
        <v>17</v>
      </c>
      <c r="U32" s="715">
        <f t="shared" si="13"/>
        <v>100</v>
      </c>
      <c r="V32" s="714" t="s">
        <v>17</v>
      </c>
      <c r="W32" s="715">
        <f t="shared" si="14"/>
        <v>100</v>
      </c>
      <c r="X32" s="1509"/>
      <c r="Y32" s="3473"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1" t="s">
        <v>2325</v>
      </c>
      <c r="Q38" s="1506" t="str">
        <f t="shared" si="11"/>
        <v>业态</v>
      </c>
      <c r="R38" s="714" t="s">
        <v>17</v>
      </c>
      <c r="S38" s="715">
        <f t="shared" si="12"/>
        <v>100</v>
      </c>
      <c r="T38" s="714" t="s">
        <v>17</v>
      </c>
      <c r="U38" s="715">
        <f t="shared" si="13"/>
        <v>100</v>
      </c>
      <c r="V38" s="714" t="s">
        <v>17</v>
      </c>
      <c r="W38" s="715">
        <f t="shared" si="14"/>
        <v>100</v>
      </c>
      <c r="X38" s="1509"/>
      <c r="Y38" s="3473"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78" t="s">
        <v>2407</v>
      </c>
      <c r="S4" s="3479"/>
      <c r="T4" s="3478" t="s">
        <v>2408</v>
      </c>
      <c r="U4" s="3479"/>
      <c r="V4" s="3487" t="s">
        <v>2409</v>
      </c>
      <c r="W4" s="3487"/>
      <c r="X4" s="2114"/>
      <c r="Y4" s="3478" t="s">
        <v>2411</v>
      </c>
      <c r="Z4" s="3479"/>
      <c r="AA4" s="3477" t="s">
        <v>2407</v>
      </c>
      <c r="AB4" s="3477" t="s">
        <v>2408</v>
      </c>
      <c r="AC4" s="3480" t="s">
        <v>2409</v>
      </c>
    </row>
    <row r="5" spans="1:29" ht="15">
      <c r="A5" s="364"/>
      <c r="B5" s="365"/>
      <c r="C5" s="3442" t="s">
        <v>2302</v>
      </c>
      <c r="D5" s="3443"/>
      <c r="E5" s="3440" t="s">
        <v>2303</v>
      </c>
      <c r="F5" s="3441"/>
      <c r="G5" s="3442" t="s">
        <v>2304</v>
      </c>
      <c r="H5" s="3443"/>
      <c r="I5" s="3442" t="s">
        <v>2305</v>
      </c>
      <c r="J5" s="3443"/>
      <c r="K5" s="567"/>
      <c r="L5" s="2914"/>
      <c r="M5" s="2915"/>
      <c r="N5" s="2915"/>
      <c r="O5" s="2915"/>
      <c r="P5" s="3485"/>
      <c r="Q5" s="3456"/>
      <c r="R5" s="3438"/>
      <c r="S5" s="3439"/>
      <c r="T5" s="3438"/>
      <c r="U5" s="3439"/>
      <c r="V5" s="3461"/>
      <c r="W5" s="3461"/>
      <c r="X5" s="1509"/>
      <c r="Y5" s="3438"/>
      <c r="Z5" s="3439"/>
      <c r="AA5" s="3432"/>
      <c r="AB5" s="3432"/>
      <c r="AC5" s="3481"/>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86"/>
      <c r="Q6" s="3458"/>
      <c r="R6" s="3438"/>
      <c r="S6" s="3439"/>
      <c r="T6" s="3459"/>
      <c r="U6" s="3460"/>
      <c r="V6" s="3461"/>
      <c r="W6" s="3461"/>
      <c r="X6" s="1509"/>
      <c r="Y6" s="3459"/>
      <c r="Z6" s="3460"/>
      <c r="AA6" s="3433"/>
      <c r="AB6" s="3433"/>
      <c r="AC6" s="3482"/>
    </row>
    <row r="7" spans="1:29" s="113" customFormat="1" ht="15.75" thickBot="1">
      <c r="A7" s="368" t="s">
        <v>2308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8"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8" t="s">
        <v>2312</v>
      </c>
      <c r="Q8" s="3435"/>
      <c r="R8" s="710" t="s">
        <v>17</v>
      </c>
      <c r="S8" s="711">
        <f t="shared" si="0"/>
        <v>0</v>
      </c>
      <c r="T8" s="710" t="s">
        <v>17</v>
      </c>
      <c r="U8" s="711">
        <f t="shared" si="1"/>
        <v>0</v>
      </c>
      <c r="V8" s="710" t="s">
        <v>17</v>
      </c>
      <c r="W8" s="711">
        <f t="shared" si="2"/>
        <v>0</v>
      </c>
      <c r="X8" s="712"/>
      <c r="Y8" s="3434" t="s">
        <v>2312</v>
      </c>
      <c r="Z8" s="343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5" t="s">
        <v>2320</v>
      </c>
      <c r="Q15" s="1506" t="str">
        <f t="shared" si="6"/>
        <v>办公集聚程度</v>
      </c>
      <c r="R15" s="714" t="s">
        <v>17</v>
      </c>
      <c r="S15" s="715">
        <f t="shared" si="0"/>
        <v>100</v>
      </c>
      <c r="T15" s="714" t="s">
        <v>17</v>
      </c>
      <c r="U15" s="715">
        <f t="shared" si="1"/>
        <v>100</v>
      </c>
      <c r="V15" s="714" t="s">
        <v>17</v>
      </c>
      <c r="W15" s="715">
        <f t="shared" si="2"/>
        <v>100</v>
      </c>
      <c r="X15" s="1509"/>
      <c r="Y15" s="3468"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6"/>
      <c r="Q22" s="1506"/>
      <c r="R22" s="714"/>
      <c r="S22" s="715"/>
      <c r="T22" s="714"/>
      <c r="U22" s="715"/>
      <c r="V22" s="714"/>
      <c r="W22" s="715"/>
      <c r="X22" s="1509"/>
      <c r="Y22" s="3469"/>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6"/>
      <c r="Q26" s="1506"/>
      <c r="R26" s="714"/>
      <c r="S26" s="715"/>
      <c r="T26" s="714"/>
      <c r="U26" s="715"/>
      <c r="V26" s="714"/>
      <c r="W26" s="715"/>
      <c r="X26" s="1509"/>
      <c r="Y26" s="3469"/>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0" t="s">
        <v>2325</v>
      </c>
      <c r="Q33" s="1506" t="str">
        <f t="shared" si="11"/>
        <v>建筑类型</v>
      </c>
      <c r="R33" s="714" t="s">
        <v>17</v>
      </c>
      <c r="S33" s="715">
        <f t="shared" si="12"/>
        <v>100</v>
      </c>
      <c r="T33" s="714" t="s">
        <v>17</v>
      </c>
      <c r="U33" s="715">
        <f t="shared" si="13"/>
        <v>100</v>
      </c>
      <c r="V33" s="714" t="s">
        <v>17</v>
      </c>
      <c r="W33" s="715">
        <f t="shared" si="14"/>
        <v>100</v>
      </c>
      <c r="X33" s="1509"/>
      <c r="Y33" s="3473"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1" t="s">
        <v>2325</v>
      </c>
      <c r="Q39" s="1506" t="str">
        <f t="shared" si="11"/>
        <v>物业管理</v>
      </c>
      <c r="R39" s="714" t="s">
        <v>17</v>
      </c>
      <c r="S39" s="715">
        <f t="shared" si="12"/>
        <v>100</v>
      </c>
      <c r="T39" s="714" t="s">
        <v>17</v>
      </c>
      <c r="U39" s="715">
        <f t="shared" si="13"/>
        <v>100</v>
      </c>
      <c r="V39" s="714" t="s">
        <v>17</v>
      </c>
      <c r="W39" s="715">
        <f t="shared" si="14"/>
        <v>100</v>
      </c>
      <c r="X39" s="1509"/>
      <c r="Y39" s="3473"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73"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2325</v>
      </c>
      <c r="Q35" s="1506" t="str">
        <f t="shared" si="11"/>
        <v>市政基础设施</v>
      </c>
      <c r="R35" s="714" t="s">
        <v>17</v>
      </c>
      <c r="S35" s="715">
        <f t="shared" si="12"/>
        <v>100</v>
      </c>
      <c r="T35" s="714" t="s">
        <v>17</v>
      </c>
      <c r="U35" s="715">
        <f t="shared" si="13"/>
        <v>100</v>
      </c>
      <c r="V35" s="714" t="s">
        <v>17</v>
      </c>
      <c r="W35" s="715">
        <f t="shared" si="14"/>
        <v>100</v>
      </c>
      <c r="X35" s="1509"/>
      <c r="Y35" s="3473"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2022年8月10日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9"/>
      <c r="Q15" s="1506"/>
      <c r="R15" s="714"/>
      <c r="S15" s="715"/>
      <c r="T15" s="714"/>
      <c r="U15" s="715"/>
      <c r="V15" s="714"/>
      <c r="W15" s="715"/>
      <c r="X15" s="1509"/>
      <c r="Y15" s="3469"/>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9"/>
      <c r="Q17" s="1506"/>
      <c r="R17" s="714"/>
      <c r="S17" s="715"/>
      <c r="T17" s="714"/>
      <c r="U17" s="715"/>
      <c r="V17" s="714"/>
      <c r="W17" s="715"/>
      <c r="X17" s="1509"/>
      <c r="Y17" s="3469"/>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9"/>
      <c r="Q19" s="1506"/>
      <c r="R19" s="714"/>
      <c r="S19" s="715"/>
      <c r="T19" s="714"/>
      <c r="U19" s="715"/>
      <c r="V19" s="714"/>
      <c r="W19" s="715"/>
      <c r="X19" s="1509"/>
      <c r="Y19" s="3469"/>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9"/>
      <c r="Q21" s="1506"/>
      <c r="R21" s="714"/>
      <c r="S21" s="715"/>
      <c r="T21" s="714"/>
      <c r="U21" s="715"/>
      <c r="V21" s="714"/>
      <c r="W21" s="715"/>
      <c r="X21" s="1509"/>
      <c r="Y21" s="3469"/>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3" t="s">
        <v>2325</v>
      </c>
      <c r="Q32" s="1506" t="str">
        <f t="shared" si="11"/>
        <v>车位类型</v>
      </c>
      <c r="R32" s="714" t="s">
        <v>17</v>
      </c>
      <c r="S32" s="715">
        <f t="shared" si="12"/>
        <v>100</v>
      </c>
      <c r="T32" s="714" t="s">
        <v>17</v>
      </c>
      <c r="U32" s="715">
        <f t="shared" si="13"/>
        <v>100</v>
      </c>
      <c r="V32" s="714" t="s">
        <v>17</v>
      </c>
      <c r="W32" s="715">
        <f t="shared" si="14"/>
        <v>100</v>
      </c>
      <c r="X32" s="1509"/>
      <c r="Y32" s="3473"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9"/>
      <c r="Q15" s="1506"/>
      <c r="R15" s="714"/>
      <c r="S15" s="715"/>
      <c r="T15" s="714"/>
      <c r="U15" s="715"/>
      <c r="V15" s="714"/>
      <c r="W15" s="715"/>
      <c r="X15" s="1509"/>
      <c r="Y15" s="3469"/>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9"/>
      <c r="Q17" s="1506"/>
      <c r="R17" s="714"/>
      <c r="S17" s="715"/>
      <c r="T17" s="714"/>
      <c r="U17" s="715"/>
      <c r="V17" s="714"/>
      <c r="W17" s="715"/>
      <c r="X17" s="1509"/>
      <c r="Y17" s="3469"/>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9"/>
      <c r="Q19" s="1506"/>
      <c r="R19" s="714"/>
      <c r="S19" s="715"/>
      <c r="T19" s="714"/>
      <c r="U19" s="715"/>
      <c r="V19" s="714"/>
      <c r="W19" s="715"/>
      <c r="X19" s="1509"/>
      <c r="Y19" s="3469"/>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9"/>
      <c r="Q21" s="1506"/>
      <c r="R21" s="714"/>
      <c r="S21" s="715"/>
      <c r="T21" s="714"/>
      <c r="U21" s="715"/>
      <c r="V21" s="714"/>
      <c r="W21" s="715"/>
      <c r="X21" s="1509"/>
      <c r="Y21" s="3469"/>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3" t="s">
        <v>2325</v>
      </c>
      <c r="Q32" s="1506">
        <f t="shared" si="11"/>
        <v>111</v>
      </c>
      <c r="R32" s="714" t="s">
        <v>17</v>
      </c>
      <c r="S32" s="715">
        <f t="shared" si="12"/>
        <v>100</v>
      </c>
      <c r="T32" s="714" t="s">
        <v>17</v>
      </c>
      <c r="U32" s="715">
        <f t="shared" si="13"/>
        <v>100</v>
      </c>
      <c r="V32" s="714" t="s">
        <v>17</v>
      </c>
      <c r="W32" s="715">
        <f t="shared" si="14"/>
        <v>100</v>
      </c>
      <c r="X32" s="1509"/>
      <c r="Y32" s="3473"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30"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30"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30" s="113" customFormat="1" ht="15.75" thickBot="1">
      <c r="A7" s="368" t="s">
        <v>2308</v>
      </c>
      <c r="B7" s="369"/>
      <c r="C7" s="370">
        <f>'数据-取费表'!B2</f>
        <v>44783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8"/>
      <c r="M10" s="2919"/>
      <c r="N10" s="2919"/>
      <c r="O10" s="2972"/>
      <c r="P10" s="3466"/>
      <c r="Q10" s="1497" t="str">
        <f t="shared" si="6"/>
        <v>土地使用年限（年）</v>
      </c>
      <c r="R10" s="710" t="s">
        <v>17</v>
      </c>
      <c r="S10" s="711">
        <f t="shared" si="0"/>
        <v>119</v>
      </c>
      <c r="T10" s="710" t="s">
        <v>17</v>
      </c>
      <c r="U10" s="711">
        <f t="shared" si="1"/>
        <v>119</v>
      </c>
      <c r="V10" s="710" t="s">
        <v>17</v>
      </c>
      <c r="W10" s="711">
        <f t="shared" si="2"/>
        <v>119</v>
      </c>
      <c r="X10" s="712"/>
      <c r="Y10" s="3378"/>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8" t="s">
        <v>2320</v>
      </c>
      <c r="Q15" s="1506" t="str">
        <f t="shared" si="6"/>
        <v>居住社区成熟度</v>
      </c>
      <c r="R15" s="714" t="s">
        <v>17</v>
      </c>
      <c r="S15" s="715">
        <f t="shared" si="0"/>
        <v>100</v>
      </c>
      <c r="T15" s="714" t="s">
        <v>17</v>
      </c>
      <c r="U15" s="715">
        <f t="shared" si="1"/>
        <v>100</v>
      </c>
      <c r="V15" s="714" t="s">
        <v>17</v>
      </c>
      <c r="W15" s="715">
        <f t="shared" si="2"/>
        <v>100</v>
      </c>
      <c r="X15" s="1509"/>
      <c r="Y15" s="3468"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9"/>
      <c r="Q20" s="1506"/>
      <c r="R20" s="714"/>
      <c r="S20" s="715"/>
      <c r="T20" s="714"/>
      <c r="U20" s="715"/>
      <c r="V20" s="714"/>
      <c r="W20" s="715"/>
      <c r="X20" s="1509"/>
      <c r="Y20" s="3469"/>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9"/>
      <c r="Q24" s="1506"/>
      <c r="R24" s="714"/>
      <c r="S24" s="715"/>
      <c r="T24" s="714"/>
      <c r="U24" s="715"/>
      <c r="V24" s="714"/>
      <c r="W24" s="715"/>
      <c r="X24" s="1509"/>
      <c r="Y24" s="3469"/>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9"/>
      <c r="Q26" s="1506"/>
      <c r="R26" s="714"/>
      <c r="S26" s="715"/>
      <c r="T26" s="714"/>
      <c r="U26" s="715"/>
      <c r="V26" s="714"/>
      <c r="W26" s="715"/>
      <c r="X26" s="1509"/>
      <c r="Y26" s="3469"/>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9"/>
      <c r="Q28" s="1497"/>
      <c r="R28" s="710"/>
      <c r="S28" s="711"/>
      <c r="T28" s="710"/>
      <c r="U28" s="711"/>
      <c r="V28" s="710"/>
      <c r="W28" s="711"/>
      <c r="X28" s="712"/>
      <c r="Y28" s="3469"/>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9"/>
      <c r="Q30" s="1497"/>
      <c r="R30" s="710"/>
      <c r="S30" s="711"/>
      <c r="T30" s="710"/>
      <c r="U30" s="711"/>
      <c r="V30" s="710"/>
      <c r="W30" s="711"/>
      <c r="X30" s="712"/>
      <c r="Y30" s="3469"/>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9"/>
      <c r="Q33" s="1506"/>
      <c r="R33" s="714"/>
      <c r="S33" s="715"/>
      <c r="T33" s="714"/>
      <c r="U33" s="715"/>
      <c r="V33" s="714"/>
      <c r="W33" s="715"/>
      <c r="X33" s="1509"/>
      <c r="Y33" s="3469"/>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73"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3" t="s">
        <v>2325</v>
      </c>
      <c r="Q42" s="1506" t="str">
        <f t="shared" si="14"/>
        <v>工程地质条件</v>
      </c>
      <c r="R42" s="714" t="s">
        <v>17</v>
      </c>
      <c r="S42" s="715">
        <f t="shared" si="10"/>
        <v>100</v>
      </c>
      <c r="T42" s="714" t="s">
        <v>17</v>
      </c>
      <c r="U42" s="715">
        <f t="shared" si="11"/>
        <v>100</v>
      </c>
      <c r="V42" s="714" t="s">
        <v>17</v>
      </c>
      <c r="W42" s="715">
        <f t="shared" si="12"/>
        <v>100</v>
      </c>
      <c r="X42" s="1509"/>
      <c r="Y42" s="3473"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8"/>
      <c r="H56" s="346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44783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8"/>
      <c r="M10" s="2919"/>
      <c r="N10" s="2919"/>
      <c r="O10" s="2972"/>
      <c r="P10" s="3466"/>
      <c r="Q10" s="1497" t="str">
        <f t="shared" si="6"/>
        <v>土地使用年限（年）</v>
      </c>
      <c r="R10" s="710" t="s">
        <v>17</v>
      </c>
      <c r="S10" s="711">
        <f t="shared" si="0"/>
        <v>119</v>
      </c>
      <c r="T10" s="710" t="s">
        <v>17</v>
      </c>
      <c r="U10" s="711">
        <f t="shared" si="1"/>
        <v>119</v>
      </c>
      <c r="V10" s="710" t="s">
        <v>17</v>
      </c>
      <c r="W10" s="711">
        <f t="shared" si="2"/>
        <v>119</v>
      </c>
      <c r="X10" s="712"/>
      <c r="Y10" s="3378"/>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9"/>
      <c r="Q20" s="1506"/>
      <c r="R20" s="714"/>
      <c r="S20" s="715"/>
      <c r="T20" s="714"/>
      <c r="U20" s="715"/>
      <c r="V20" s="714"/>
      <c r="W20" s="715"/>
      <c r="X20" s="1509"/>
      <c r="Y20" s="3469"/>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9"/>
      <c r="Q24" s="1497"/>
      <c r="R24" s="710"/>
      <c r="S24" s="711"/>
      <c r="T24" s="710"/>
      <c r="U24" s="711"/>
      <c r="V24" s="710"/>
      <c r="W24" s="711"/>
      <c r="X24" s="712"/>
      <c r="Y24" s="3469"/>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9"/>
      <c r="Q26" s="1497"/>
      <c r="R26" s="710"/>
      <c r="S26" s="711"/>
      <c r="T26" s="710"/>
      <c r="U26" s="711"/>
      <c r="V26" s="710"/>
      <c r="W26" s="711"/>
      <c r="X26" s="712"/>
      <c r="Y26" s="3469"/>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9"/>
      <c r="Q29" s="1506"/>
      <c r="R29" s="714"/>
      <c r="S29" s="715"/>
      <c r="T29" s="714"/>
      <c r="U29" s="715"/>
      <c r="V29" s="714"/>
      <c r="W29" s="715"/>
      <c r="X29" s="1509"/>
      <c r="Y29" s="3469"/>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73"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3"/>
      <c r="Q34" s="1506" t="str">
        <f>B34</f>
        <v>宗地面积</v>
      </c>
      <c r="R34" s="714" t="s">
        <v>17</v>
      </c>
      <c r="S34" s="715" t="e">
        <f t="shared" si="10"/>
        <v>#N/A</v>
      </c>
      <c r="T34" s="714" t="s">
        <v>17</v>
      </c>
      <c r="U34" s="715" t="e">
        <f t="shared" si="11"/>
        <v>#N/A</v>
      </c>
      <c r="V34" s="714" t="s">
        <v>17</v>
      </c>
      <c r="W34" s="715" t="e">
        <f t="shared" si="12"/>
        <v>#N/A</v>
      </c>
      <c r="X34" s="1509"/>
      <c r="Y34" s="3473"/>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3" t="s">
        <v>2325</v>
      </c>
      <c r="Q37" s="1506" t="str">
        <f t="shared" si="14"/>
        <v>工程地质条件</v>
      </c>
      <c r="R37" s="714" t="s">
        <v>17</v>
      </c>
      <c r="S37" s="715">
        <f t="shared" si="10"/>
        <v>100</v>
      </c>
      <c r="T37" s="714" t="s">
        <v>17</v>
      </c>
      <c r="U37" s="715">
        <f t="shared" si="11"/>
        <v>100</v>
      </c>
      <c r="V37" s="714" t="s">
        <v>17</v>
      </c>
      <c r="W37" s="715">
        <f t="shared" si="12"/>
        <v>100</v>
      </c>
      <c r="X37" s="1509"/>
      <c r="Y37" s="3473"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6" t="str">
        <f>A41</f>
        <v>成交单价</v>
      </c>
      <c r="Q41" s="3466"/>
      <c r="R41" s="3461">
        <f>E41</f>
        <v>0</v>
      </c>
      <c r="S41" s="3461"/>
      <c r="T41" s="3461">
        <f>G41</f>
        <v>0</v>
      </c>
      <c r="U41" s="3461"/>
      <c r="V41" s="3461">
        <f>I41</f>
        <v>0</v>
      </c>
      <c r="W41" s="3461"/>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6" t="str">
        <f>A42</f>
        <v>比较价值（元/平方米）</v>
      </c>
      <c r="Q42" s="3466"/>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63" t="str">
        <f>A43</f>
        <v>估价对象XX用房的比较价值（楼面单价，元/平方米）</v>
      </c>
      <c r="Q43" s="3464"/>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8"/>
      <c r="H51" s="346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0</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Ⅱ—18</v>
      </c>
      <c r="J2" s="2159"/>
      <c r="K2" s="1252"/>
      <c r="L2" s="2160" t="s">
        <v>2577</v>
      </c>
      <c r="M2" s="995">
        <f>SUMPRODUCT((区片价!B10:B28=I2)*(区片价!C3:F3=E2)*(区片价!C10:F28))</f>
        <v>22850</v>
      </c>
      <c r="N2" s="997">
        <f>SUMPRODUCT((因素修正幅度!B10:B28=I2)*(因素修正幅度!C3:F3=E2)*(因素修正幅度!C10:F28))</f>
        <v>7.5999999999999998E-2</v>
      </c>
      <c r="O2" s="1252"/>
      <c r="P2" s="1252"/>
      <c r="Q2" s="1252"/>
      <c r="R2" s="1346">
        <v>1</v>
      </c>
      <c r="S2" s="1346">
        <f>ROUND(IF(G3&gt;1,IF(R2&lt;7,SUMPRODUCT((B93:B98=R2)*(C92:N92=G2)*(C93:N98)),SUMIF(C92:N92,G2,C100:N100)),IF(R2&lt;7,SUMPRODUCT((B102:B107=R2)*(C92:N92=G2)*(C102:N107)),SUMIF(C92:N92,G2,C109:N109))),4)</f>
        <v>1.9361999999999999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22819</v>
      </c>
      <c r="D5" s="1493">
        <f>ROUND(C6+C16,0)</f>
        <v>22819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22850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0</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25"/>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8" t="s">
        <v>2599</v>
      </c>
      <c r="X8" s="351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25"/>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2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0"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2"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20"/>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26"/>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7"/>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2" t="s">
        <v>2642</v>
      </c>
      <c r="B16" s="2179" t="s">
        <v>2643</v>
      </c>
      <c r="C16" s="2341">
        <f>ROUND(IF(F17="与级别开发程度一致",0,(G17-E17)/C17),0)</f>
        <v>-31</v>
      </c>
      <c r="D16" s="3515" t="s">
        <v>2647</v>
      </c>
      <c r="E16" s="3516"/>
      <c r="F16" s="3515" t="s">
        <v>2644</v>
      </c>
      <c r="G16" s="351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0</v>
      </c>
      <c r="D19" s="2221" t="s">
        <v>2651</v>
      </c>
      <c r="E19" s="864">
        <v>41640</v>
      </c>
      <c r="F19" s="2221" t="s">
        <v>2652</v>
      </c>
      <c r="G19" s="865">
        <f>'数据-取费表'!B2</f>
        <v>44783</v>
      </c>
      <c r="H19" s="2222" t="s">
        <v>3153</v>
      </c>
      <c r="I19" s="866" t="str">
        <f>IF(H19="季度增幅（自定义）",SUMIF(N21:N24,E2,O21:O24),"")</f>
        <v/>
      </c>
      <c r="J19" s="2219"/>
      <c r="K19" s="1259"/>
      <c r="L19" s="2223" t="s">
        <v>2653</v>
      </c>
      <c r="M19" s="1468">
        <f>ROUND(SUMIF(地价!B2:F2,E2,地价!B37:F37),0)</f>
        <v>258</v>
      </c>
      <c r="N19" s="2224" t="s">
        <v>2654</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0.8478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29.92</v>
      </c>
      <c r="J20" s="875">
        <f>IF(E2="住宅",70,IF(E2="商业",40,50))</f>
        <v>50</v>
      </c>
      <c r="K20" s="1259"/>
      <c r="L20" s="2229" t="s">
        <v>2658</v>
      </c>
      <c r="M20" s="1469">
        <f>ROUND(SUMPRODUCT((地价!A4:A37=YEAR(G19)&amp;"-"&amp;ROUNDUP(MONTH(G19)/3,0))*(地价!B2:F2=E2)*(地价!B4:F37)),0)</f>
        <v>0</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0</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0</v>
      </c>
      <c r="D29" s="2266">
        <f>'数据-汇总表'!F19</f>
        <v>6221.16</v>
      </c>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0</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2688</v>
      </c>
      <c r="C33" s="180">
        <f>ROUND(D5*C19*C20*C24*F33,0)</f>
        <v>0</v>
      </c>
      <c r="D33" s="2266"/>
      <c r="E33" s="176">
        <f>ROUND(C33*D33/10000,0)</f>
        <v>0</v>
      </c>
      <c r="F33" s="176">
        <f>SUMIF(修正!A45:A56,G2,修正!B45:B56)</f>
        <v>0.8</v>
      </c>
      <c r="G33" s="176">
        <f t="shared" ref="G33" si="6">ROUND(IF(E2="工业",C33*$M$39,C33*$M$38),0)</f>
        <v>0</v>
      </c>
      <c r="H33" s="176">
        <f>D33</f>
        <v>0</v>
      </c>
      <c r="I33" s="176">
        <f>ROUND(G33*H33/10000,0)</f>
        <v>0</v>
      </c>
      <c r="J33" s="351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2689</v>
      </c>
      <c r="C34" s="180">
        <f>ROUND(D5*C19*C20*C24*F34,0)</f>
        <v>0</v>
      </c>
      <c r="D34" s="2266"/>
      <c r="E34" s="176">
        <f t="shared" ref="E34:E39" si="7">ROUND(C34*D34/10000,0)</f>
        <v>0</v>
      </c>
      <c r="F34" s="176">
        <f>SUMIF(修正!A45:A56,G2,修正!C45:C56)</f>
        <v>0.5</v>
      </c>
      <c r="G34" s="176">
        <f>ROUND(IF(E2="工业",C34*$M$39,C34*$M$38),0)</f>
        <v>0</v>
      </c>
      <c r="H34" s="176">
        <f t="shared" ref="H34:H39" si="8">D34</f>
        <v>0</v>
      </c>
      <c r="I34" s="176">
        <f t="shared" ref="I34:I39" si="9">ROUND(G34*H34/10000,0)</f>
        <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2690</v>
      </c>
      <c r="C35" s="180">
        <f>ROUND(D5*C19*C20*C24*F35,0)</f>
        <v>0</v>
      </c>
      <c r="D35" s="2266"/>
      <c r="E35" s="176">
        <f t="shared" si="7"/>
        <v>0</v>
      </c>
      <c r="F35" s="176">
        <f>SUMIF(修正!A45:A56,G2,修正!D45:D56)</f>
        <v>0.36</v>
      </c>
      <c r="G35" s="176">
        <f>ROUND(IF(E2="工业",C35*$M$39,C35*$M$38),0)</f>
        <v>0</v>
      </c>
      <c r="H35" s="176">
        <f t="shared" si="8"/>
        <v>0</v>
      </c>
      <c r="I35" s="176">
        <f t="shared" si="9"/>
        <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2691</v>
      </c>
      <c r="C36" s="180">
        <f>ROUND(D5*C19*C20*C24*F36,0)</f>
        <v>0</v>
      </c>
      <c r="D36" s="2266"/>
      <c r="E36" s="176">
        <f t="shared" si="7"/>
        <v>0</v>
      </c>
      <c r="F36" s="176">
        <f>SUMIF(修正!A45:A56,G2,修正!E45:E56)</f>
        <v>0.3</v>
      </c>
      <c r="G36" s="176">
        <f>ROUND(IF(E2="工业",C36*$M$39,C36*$M$38),0)</f>
        <v>0</v>
      </c>
      <c r="H36" s="176">
        <f t="shared" si="8"/>
        <v>0</v>
      </c>
      <c r="I36" s="176">
        <f t="shared" si="9"/>
        <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0</v>
      </c>
      <c r="D37" s="2266"/>
      <c r="E37" s="176">
        <f t="shared" si="7"/>
        <v>0</v>
      </c>
      <c r="F37" s="180">
        <f>SUMIF(修正!A45:A56,G2,修正!F45:F56)</f>
        <v>0.3</v>
      </c>
      <c r="G37" s="176">
        <f>ROUND(IF(E2="工业",C37*$M$39,C37*$M$38),0)</f>
        <v>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7.5999999999999998E-2</v>
      </c>
      <c r="G59" s="1194">
        <v>1.15E-2</v>
      </c>
      <c r="H59" s="1198">
        <f t="shared" ref="H59:H67" si="16">IFERROR(ROUNDDOWN($F$59*I59/2,4),"——")</f>
        <v>9.1000000000000004E-3</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1.14E-2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3.0000000000000001E-3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1.5E-3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1.9E-3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1.9E-3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2.2000000000000001E-3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4.4999999999999997E-3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2.2000000000000001E-3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4" t="s">
        <v>2729</v>
      </c>
      <c r="B90" s="3504"/>
      <c r="C90" s="3504"/>
      <c r="D90" s="3504"/>
      <c r="E90" s="3504"/>
      <c r="F90" s="3504"/>
      <c r="G90" s="3504"/>
      <c r="H90" s="3504"/>
      <c r="I90" s="3504"/>
      <c r="J90" s="3504"/>
      <c r="K90" s="2313"/>
      <c r="L90" s="2313"/>
      <c r="M90" s="2313"/>
      <c r="N90" s="2313"/>
    </row>
    <row r="91" spans="1:37">
      <c r="A91" s="3506" t="s">
        <v>2730</v>
      </c>
      <c r="B91" s="3506" t="s">
        <v>2731</v>
      </c>
      <c r="C91" s="2267" t="s">
        <v>2732</v>
      </c>
      <c r="D91" s="2268"/>
      <c r="E91" s="2268"/>
      <c r="F91" s="2268"/>
      <c r="G91" s="2268"/>
      <c r="H91" s="2268"/>
      <c r="I91" s="2268"/>
      <c r="J91" s="2314"/>
      <c r="K91" s="2315"/>
      <c r="L91" s="2315"/>
      <c r="M91" s="2315"/>
      <c r="N91" s="2315"/>
    </row>
    <row r="92" spans="1:37">
      <c r="A92" s="3506"/>
      <c r="B92" s="350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0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0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0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0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0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0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08"/>
      <c r="B108" s="351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05" t="s">
        <v>2737</v>
      </c>
      <c r="B110" s="3505"/>
      <c r="C110" s="3505"/>
      <c r="D110" s="3505"/>
      <c r="E110" s="3505"/>
      <c r="F110" s="3505"/>
      <c r="G110" s="3505"/>
      <c r="H110" s="3505"/>
      <c r="I110" s="3505"/>
      <c r="J110" s="350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0</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0</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24485</v>
      </c>
      <c r="E5" s="1646"/>
    </row>
    <row r="6" spans="1:5" ht="15.75">
      <c r="A6" s="1646"/>
      <c r="B6" s="3215"/>
      <c r="C6" s="1649" t="s">
        <v>1528</v>
      </c>
      <c r="D6" s="959" t="str">
        <f ca="1">NUMBERSTRING(INT(D5*10000),2)&amp;"元整"</f>
        <v>贰亿肆仟肆佰捌拾伍万元整</v>
      </c>
      <c r="E6" s="1646"/>
    </row>
    <row r="7" spans="1:5" ht="15.75">
      <c r="A7" s="1646"/>
      <c r="B7" s="3220"/>
      <c r="C7" s="1650" t="s">
        <v>1529</v>
      </c>
      <c r="D7" s="960">
        <f ca="1">结果表!H102</f>
        <v>39358</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24485</v>
      </c>
      <c r="E13" s="1646"/>
    </row>
    <row r="14" spans="1:5" ht="15.75">
      <c r="A14" s="1646"/>
      <c r="B14" s="3215"/>
      <c r="C14" s="1649" t="s">
        <v>1528</v>
      </c>
      <c r="D14" s="959" t="str">
        <f ca="1">NUMBERSTRING(INT(D13*10000),2)&amp;"元整"</f>
        <v>贰亿肆仟肆佰捌拾伍万元整</v>
      </c>
      <c r="E14" s="1646"/>
    </row>
    <row r="15" spans="1:5" ht="15">
      <c r="A15" s="1646"/>
      <c r="B15" s="3220"/>
      <c r="C15" s="1650" t="s">
        <v>1538</v>
      </c>
      <c r="D15" s="968">
        <f ca="1">结果表!H108</f>
        <v>39358</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24473</v>
      </c>
      <c r="E19" s="1646"/>
    </row>
    <row r="20" spans="1:5" ht="15.75">
      <c r="A20" s="1646"/>
      <c r="B20" s="3215"/>
      <c r="C20" s="1649" t="s">
        <v>1540</v>
      </c>
      <c r="D20" s="959" t="str">
        <f ca="1">NUMBERSTRING(INT(D19*10000),2)&amp;"元整"</f>
        <v>贰亿肆仟肆佰柒拾叁万元整</v>
      </c>
      <c r="E20" s="1646"/>
    </row>
    <row r="21" spans="1:5" ht="15.75" thickBot="1">
      <c r="A21" s="1646"/>
      <c r="B21" s="3216"/>
      <c r="C21" s="1656" t="s">
        <v>1538</v>
      </c>
      <c r="D21" s="969">
        <f ca="1">结果表!H112</f>
        <v>39338</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32472</v>
      </c>
      <c r="C2" s="2" t="s">
        <v>133</v>
      </c>
      <c r="D2" s="205"/>
      <c r="E2" s="205"/>
      <c r="F2" s="205"/>
      <c r="G2" s="205"/>
    </row>
    <row r="3" spans="1:7" s="206" customFormat="1" ht="18" customHeight="1" thickBot="1">
      <c r="A3" s="209" t="s">
        <v>85</v>
      </c>
      <c r="B3" s="210">
        <f ca="1">ROUND(B2*10000/'数据-汇总表'!E3,0)</f>
        <v>52196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4230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4230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2488</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114</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556</v>
      </c>
      <c r="D45" s="241">
        <f>C47</f>
        <v>4.0000000000000001E-3</v>
      </c>
      <c r="E45" s="242" t="s">
        <v>129</v>
      </c>
      <c r="F45" s="252"/>
      <c r="G45" s="253" t="s">
        <v>1040</v>
      </c>
    </row>
    <row r="46" spans="1:7" s="220" customFormat="1" ht="13.5" customHeight="1">
      <c r="A46" s="888" t="s">
        <v>794</v>
      </c>
      <c r="B46" s="254" t="s">
        <v>1033</v>
      </c>
      <c r="C46" s="255">
        <f>ROUND((C33+C39)*F27,0)</f>
        <v>556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3742</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2994</v>
      </c>
      <c r="D51" s="238"/>
      <c r="E51" s="238"/>
      <c r="F51" s="270"/>
      <c r="G51" s="240" t="s">
        <v>64</v>
      </c>
    </row>
    <row r="52" spans="1:7" s="214" customFormat="1" ht="16.5" thickBot="1">
      <c r="A52" s="271" t="s">
        <v>65</v>
      </c>
      <c r="B52" s="272"/>
      <c r="C52" s="273">
        <f ca="1">C31+C51</f>
        <v>32472</v>
      </c>
      <c r="D52" s="272"/>
      <c r="E52" s="272"/>
      <c r="F52" s="272"/>
      <c r="G52" s="274"/>
    </row>
    <row r="55" spans="1:7" ht="15">
      <c r="B55" s="276" t="s">
        <v>66</v>
      </c>
      <c r="C55" s="277"/>
    </row>
    <row r="56" spans="1:7">
      <c r="B56" s="279" t="s">
        <v>67</v>
      </c>
      <c r="C56" s="280">
        <f ca="1">ROUND(C51/C52,3)</f>
        <v>9.1999999999999998E-2</v>
      </c>
    </row>
    <row r="57" spans="1:7">
      <c r="B57" s="279" t="s">
        <v>68</v>
      </c>
      <c r="C57" s="281">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1545</v>
      </c>
      <c r="B2" s="3225" t="s">
        <v>1546</v>
      </c>
      <c r="C2" s="3225" t="s">
        <v>1547</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21669</v>
      </c>
      <c r="E4" s="963">
        <f ca="1">结果表!E118</f>
        <v>34832</v>
      </c>
      <c r="F4" s="963">
        <f ca="1">结果表!F118</f>
        <v>2816</v>
      </c>
      <c r="G4" s="963">
        <f ca="1">结果表!G118</f>
        <v>4526</v>
      </c>
      <c r="H4" s="963">
        <f ca="1">结果表!H118</f>
        <v>24485</v>
      </c>
      <c r="I4" s="963">
        <f ca="1">结果表!I118</f>
        <v>39358</v>
      </c>
    </row>
    <row r="5" spans="1:9" ht="30" customHeight="1">
      <c r="A5" s="3226" t="s">
        <v>1544</v>
      </c>
      <c r="B5" s="3226"/>
      <c r="C5" s="3226"/>
      <c r="D5" s="3227" t="str">
        <f ca="1">结果表!D119</f>
        <v>贰亿壹仟陆佰陆拾玖万元整</v>
      </c>
      <c r="E5" s="3227"/>
      <c r="F5" s="3227" t="str">
        <f ca="1">结果表!F119</f>
        <v>贰仟捌佰壹拾陆万元整</v>
      </c>
      <c r="G5" s="3227"/>
      <c r="H5" s="3227" t="str">
        <f ca="1">结果表!H119</f>
        <v>贰亿肆仟肆佰捌拾伍万元整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1544</v>
      </c>
      <c r="B7" s="3226"/>
      <c r="C7" s="3226"/>
      <c r="D7" s="3229" t="str">
        <f>结果表!D121</f>
        <v>零元整</v>
      </c>
      <c r="E7" s="3230"/>
      <c r="F7" s="3230"/>
      <c r="G7" s="3230"/>
      <c r="H7" s="3230"/>
      <c r="I7" s="3231"/>
    </row>
    <row r="8" spans="1:9" ht="15.75">
      <c r="A8" s="3228" t="str">
        <f>结果表!A122</f>
        <v>房地产抵押价值</v>
      </c>
      <c r="B8" s="3228"/>
      <c r="C8" s="3228"/>
      <c r="D8" s="3228">
        <f ca="1">结果表!D122</f>
        <v>24485</v>
      </c>
      <c r="E8" s="3228"/>
      <c r="F8" s="3228"/>
      <c r="G8" s="3228"/>
      <c r="H8" s="3228"/>
      <c r="I8" s="3228"/>
    </row>
    <row r="9" spans="1:9" ht="15">
      <c r="A9" s="3226" t="s">
        <v>1544</v>
      </c>
      <c r="B9" s="3226"/>
      <c r="C9" s="3226"/>
      <c r="D9" s="3227" t="str">
        <f ca="1">结果表!D123</f>
        <v>贰亿肆仟肆佰捌拾伍万元整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1544</v>
      </c>
      <c r="B11" s="3226"/>
      <c r="C11" s="3226"/>
      <c r="D11" s="3227" t="e">
        <f>结果表!D125</f>
        <v>#VALUE!</v>
      </c>
      <c r="E11" s="3227"/>
      <c r="F11" s="3227"/>
      <c r="G11" s="3227"/>
      <c r="H11" s="3227"/>
      <c r="I11" s="3227"/>
    </row>
    <row r="12" spans="1:9" ht="15.75">
      <c r="A12" s="3228" t="str">
        <f>结果表!A126</f>
        <v>抵押净值</v>
      </c>
      <c r="B12" s="3228"/>
      <c r="C12" s="3228"/>
      <c r="D12" s="3228">
        <f ca="1">结果表!D126</f>
        <v>24473</v>
      </c>
      <c r="E12" s="3228"/>
      <c r="F12" s="3228"/>
      <c r="G12" s="3228"/>
      <c r="H12" s="3228"/>
      <c r="I12" s="3228"/>
    </row>
    <row r="13" spans="1:9" ht="15.75" thickBot="1">
      <c r="A13" s="3232" t="s">
        <v>1544</v>
      </c>
      <c r="B13" s="3232"/>
      <c r="C13" s="3232"/>
      <c r="D13" s="3233" t="str">
        <f ca="1">结果表!D127</f>
        <v>贰亿肆仟肆佰柒拾叁万元整</v>
      </c>
      <c r="E13" s="3233"/>
      <c r="F13" s="3233"/>
      <c r="G13" s="3233"/>
      <c r="H13" s="3233"/>
      <c r="I13" s="3233"/>
    </row>
    <row r="14" spans="1:9" ht="15" thickTop="1">
      <c r="A14" s="3234" t="s">
        <v>1549</v>
      </c>
      <c r="B14" s="3234"/>
      <c r="C14" s="3234"/>
      <c r="D14" s="3234"/>
      <c r="E14" s="3234"/>
      <c r="F14" s="3234"/>
      <c r="G14" s="3234"/>
      <c r="H14" s="3234"/>
      <c r="I14" s="323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1566</v>
      </c>
      <c r="B1" s="3235"/>
      <c r="C1" s="3235"/>
      <c r="D1" s="3235"/>
    </row>
    <row r="2" spans="1:4" ht="18">
      <c r="A2" s="3236" t="s">
        <v>1550</v>
      </c>
      <c r="B2" s="3236"/>
      <c r="C2" s="3236"/>
      <c r="D2" s="3236"/>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6" t="s">
        <v>1556</v>
      </c>
      <c r="B6" s="3236"/>
      <c r="C6" s="3236"/>
      <c r="D6" s="323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7" t="s">
        <v>1559</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1560</v>
      </c>
      <c r="B16" s="3241"/>
      <c r="C16" s="3241"/>
      <c r="D16" s="3241"/>
    </row>
    <row r="17" spans="1:4" ht="144" customHeight="1">
      <c r="A17" s="3241" t="s">
        <v>1561</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44791</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2022-08-18T07:06:03Z</dcterms:modified>
</cp:coreProperties>
</file>