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3680" windowHeight="13875"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S4" i="43"/>
  <c r="S2" i="43"/>
  <c r="S5" i="43"/>
  <c r="S3" i="43"/>
  <c r="F26" i="43"/>
  <c r="H26" i="43"/>
  <c r="C27" i="43"/>
  <c r="J17" i="45"/>
  <c r="K17" i="45"/>
  <c r="L17" i="45"/>
  <c r="M17" i="45"/>
  <c r="I17" i="45"/>
  <c r="G24" i="43"/>
  <c r="M23" i="43"/>
  <c r="AI12" i="7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A15" i="62"/>
  <c r="A14" i="62"/>
  <c r="A13" i="62"/>
  <c r="B59" i="72" s="1"/>
  <c r="A19" i="62"/>
  <c r="B65" i="72" s="1"/>
  <c r="A12" i="62"/>
  <c r="B58" i="72" s="1"/>
  <c r="A120" i="9"/>
  <c r="A6" i="52" s="1"/>
  <c r="B57" i="72" s="1"/>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B54" i="72" s="1"/>
  <c r="E111" i="9"/>
  <c r="A126" i="9"/>
  <c r="A12" i="52" s="1"/>
  <c r="B56" i="72" s="1"/>
  <c r="E109" i="9"/>
  <c r="A124" i="9"/>
  <c r="A10" i="52" s="1"/>
  <c r="B55" i="72" s="1"/>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G11" i="1" s="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s="1"/>
  <c r="B13" i="53"/>
  <c r="B29" i="72"/>
  <c r="R35" i="4"/>
  <c r="Q35" i="4"/>
  <c r="P35" i="4"/>
  <c r="O35" i="4"/>
  <c r="N35" i="4"/>
  <c r="M35" i="4"/>
  <c r="L35" i="4"/>
  <c r="K34" i="4"/>
  <c r="T34" i="4"/>
  <c r="G13" i="1"/>
  <c r="I15" i="4"/>
  <c r="I24" i="43" s="1"/>
  <c r="H15" i="4"/>
  <c r="G15" i="4"/>
  <c r="E15" i="4"/>
  <c r="D15" i="4"/>
  <c r="F7" i="1"/>
  <c r="G7" i="1" s="1"/>
  <c r="L21" i="4"/>
  <c r="F19" i="4"/>
  <c r="F2" i="52"/>
  <c r="B50" i="72"/>
  <c r="D2" i="52"/>
  <c r="B46" i="72"/>
  <c r="B8" i="53"/>
  <c r="B23" i="72"/>
  <c r="L4" i="9"/>
  <c r="B17"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C28" i="43" s="1"/>
  <c r="Z7" i="43"/>
  <c r="E51" i="43"/>
  <c r="B49" i="43" s="1"/>
  <c r="E73" i="43"/>
  <c r="B71" i="43" s="1"/>
  <c r="H21" i="43"/>
  <c r="G6" i="1"/>
  <c r="C21" i="43"/>
  <c r="F37" i="43"/>
  <c r="K21" i="43"/>
  <c r="F38" i="43"/>
  <c r="N6" i="43"/>
  <c r="F84" i="43" s="1"/>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s="1"/>
  <c r="R26" i="6"/>
  <c r="R23" i="6"/>
  <c r="R24" i="6"/>
  <c r="R21" i="6"/>
  <c r="R8" i="1"/>
  <c r="R22" i="6"/>
  <c r="D30" i="6"/>
  <c r="D16" i="6"/>
  <c r="A7" i="51"/>
  <c r="B7" i="72" s="1"/>
  <c r="C4" i="52"/>
  <c r="B45" i="72"/>
  <c r="A10" i="51"/>
  <c r="B9" i="72" s="1"/>
  <c r="D27" i="6"/>
  <c r="H27" i="6"/>
  <c r="R19" i="6"/>
  <c r="D31" i="6"/>
  <c r="I6" i="6"/>
  <c r="R27" i="6"/>
  <c r="R6" i="1"/>
  <c r="I5" i="6"/>
  <c r="E2" i="70"/>
  <c r="C34" i="69"/>
  <c r="C35"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M2" i="43"/>
  <c r="M8" i="43"/>
  <c r="M7" i="43"/>
  <c r="N9" i="43"/>
  <c r="N10" i="43"/>
  <c r="M6" i="43"/>
  <c r="C6" i="43" s="1"/>
  <c r="N7" i="43"/>
  <c r="N4" i="43"/>
  <c r="N2" i="43"/>
  <c r="F51" i="43" s="1"/>
  <c r="H55" i="43" s="1"/>
  <c r="N21" i="43"/>
  <c r="L21" i="43"/>
  <c r="O21" i="43"/>
  <c r="M21" i="43"/>
  <c r="E21" i="43"/>
  <c r="C24" i="12"/>
  <c r="C48" i="68"/>
  <c r="T25" i="71"/>
  <c r="C94" i="9"/>
  <c r="C92" i="9"/>
  <c r="C20" i="11"/>
  <c r="C28" i="11"/>
  <c r="C27" i="11"/>
  <c r="F94" i="43"/>
  <c r="N370" i="46"/>
  <c r="X7" i="43"/>
  <c r="F73" i="43"/>
  <c r="H76" i="43" s="1"/>
  <c r="F62" i="43"/>
  <c r="H66" i="43" s="1"/>
  <c r="D68" i="71"/>
  <c r="D81" i="71"/>
  <c r="D73" i="71"/>
  <c r="B68" i="71"/>
  <c r="M11" i="43"/>
  <c r="E62" i="43"/>
  <c r="B60" i="43" s="1"/>
  <c r="B117" i="43"/>
  <c r="I122" i="43" s="1"/>
  <c r="J122" i="43" s="1"/>
  <c r="K122" i="43" s="1"/>
  <c r="L122" i="43" s="1"/>
  <c r="M122" i="43" s="1"/>
  <c r="N94" i="46"/>
  <c r="G26" i="43"/>
  <c r="D7" i="74"/>
  <c r="D8" i="74"/>
  <c r="C7" i="74"/>
  <c r="C8" i="74"/>
  <c r="D23" i="67"/>
  <c r="G25" i="12"/>
  <c r="G41" i="11"/>
  <c r="G27" i="12"/>
  <c r="G41" i="68"/>
  <c r="K4" i="4"/>
  <c r="B46" i="48"/>
  <c r="B4" i="72"/>
  <c r="B4" i="62"/>
  <c r="B71" i="72"/>
  <c r="D9" i="53"/>
  <c r="B25" i="72"/>
  <c r="B24" i="72"/>
  <c r="K120" i="9"/>
  <c r="A18" i="62" s="1"/>
  <c r="B64" i="72" s="1"/>
  <c r="B67" i="71"/>
  <c r="O68" i="71"/>
  <c r="M32" i="43"/>
  <c r="N32" i="43"/>
  <c r="O32" i="43"/>
  <c r="P32" i="43"/>
  <c r="C24" i="43"/>
  <c r="E44" i="43"/>
  <c r="C44" i="43" s="1"/>
  <c r="O67" i="71"/>
  <c r="O66" i="71"/>
  <c r="J26" i="43"/>
  <c r="G48" i="35"/>
  <c r="H48" i="35" s="1"/>
  <c r="F35" i="67"/>
  <c r="L47" i="67"/>
  <c r="F38" i="15"/>
  <c r="B13" i="76"/>
  <c r="C14" i="15"/>
  <c r="F40" i="67"/>
  <c r="F20" i="31"/>
  <c r="B11" i="76"/>
  <c r="D2" i="37"/>
  <c r="F41" i="15"/>
  <c r="F26" i="15"/>
  <c r="AO10" i="1"/>
  <c r="M28" i="15"/>
  <c r="E12" i="76"/>
  <c r="E11" i="76"/>
  <c r="M9" i="67"/>
  <c r="M8" i="15"/>
  <c r="E10" i="76"/>
  <c r="F13" i="67"/>
  <c r="M9" i="15"/>
  <c r="AO6" i="1"/>
  <c r="F40" i="15"/>
  <c r="M6" i="15"/>
  <c r="B10" i="76"/>
  <c r="M29" i="15"/>
  <c r="AO11" i="1"/>
  <c r="M27" i="15"/>
  <c r="C76" i="15"/>
  <c r="AO9" i="1"/>
  <c r="F42" i="15"/>
  <c r="J15" i="15"/>
  <c r="D4" i="73"/>
  <c r="C20" i="9"/>
  <c r="F3" i="73"/>
  <c r="B7" i="76"/>
  <c r="D2" i="21"/>
  <c r="F5" i="73"/>
  <c r="AO8" i="1"/>
  <c r="M23" i="67"/>
  <c r="F41" i="67"/>
  <c r="F37" i="67"/>
  <c r="F7" i="73"/>
  <c r="M26" i="67"/>
  <c r="L48" i="67"/>
  <c r="F4" i="73"/>
  <c r="J15" i="67"/>
  <c r="D7" i="73"/>
  <c r="E8" i="76"/>
  <c r="M22" i="15"/>
  <c r="D2" i="34"/>
  <c r="L47" i="15"/>
  <c r="M21" i="67"/>
  <c r="E9" i="76"/>
  <c r="AO12" i="1"/>
  <c r="D34" i="9"/>
  <c r="B9" i="76"/>
  <c r="L48" i="15"/>
  <c r="M27" i="67"/>
  <c r="M24" i="15"/>
  <c r="M22" i="67"/>
  <c r="F8" i="15"/>
  <c r="F6" i="73"/>
  <c r="F36" i="15"/>
  <c r="D35" i="9"/>
  <c r="F13" i="15"/>
  <c r="M24" i="67"/>
  <c r="M29" i="67"/>
  <c r="M28" i="67"/>
  <c r="M8" i="67"/>
  <c r="F42" i="67"/>
  <c r="B12" i="76"/>
  <c r="C19" i="9"/>
  <c r="C76" i="67"/>
  <c r="E7" i="76"/>
  <c r="D2" i="36"/>
  <c r="F16" i="15"/>
  <c r="E2" i="69"/>
  <c r="F6" i="15"/>
  <c r="M26" i="15"/>
  <c r="F43" i="15"/>
  <c r="F43" i="67"/>
  <c r="M21" i="15"/>
  <c r="F7" i="15"/>
  <c r="F36" i="67"/>
  <c r="M6" i="67"/>
  <c r="F38" i="67"/>
  <c r="M23" i="15"/>
  <c r="F9" i="67"/>
  <c r="F35" i="15"/>
  <c r="D6" i="73"/>
  <c r="F7" i="67"/>
  <c r="B8" i="76"/>
  <c r="F9" i="15"/>
  <c r="D5" i="73"/>
  <c r="F37" i="15"/>
  <c r="D20" i="9"/>
  <c r="F26" i="67"/>
  <c r="F8" i="67"/>
  <c r="D2" i="33"/>
  <c r="D2" i="35"/>
  <c r="AO13" i="1"/>
  <c r="D19" i="9"/>
  <c r="F16" i="67"/>
  <c r="E2" i="68"/>
  <c r="F6" i="67"/>
  <c r="E13" i="76"/>
  <c r="AO7" i="1"/>
  <c r="D3" i="73"/>
  <c r="D123" i="43" l="1"/>
  <c r="E123" i="43" s="1"/>
  <c r="F123" i="43" s="1"/>
  <c r="G123" i="43" s="1"/>
  <c r="H123" i="43" s="1"/>
  <c r="C35" i="11"/>
  <c r="C33" i="11" s="1"/>
  <c r="D26" i="43"/>
  <c r="AC6" i="71"/>
  <c r="AC5" i="71"/>
  <c r="AC7" i="71"/>
  <c r="AD6" i="71"/>
  <c r="AD7" i="71"/>
  <c r="AD5" i="71"/>
  <c r="Y6" i="71"/>
  <c r="AB6" i="71" s="1"/>
  <c r="Y7" i="71"/>
  <c r="AB7" i="71" s="1"/>
  <c r="Y5" i="71"/>
  <c r="AB5" i="71" s="1"/>
  <c r="Z5" i="71"/>
  <c r="AA5" i="71" s="1"/>
  <c r="Z6" i="71"/>
  <c r="AA6" i="71" s="1"/>
  <c r="Z7" i="71"/>
  <c r="AA7" i="71" s="1"/>
  <c r="C8" i="69"/>
  <c r="C5" i="69" s="1"/>
  <c r="C18" i="12"/>
  <c r="C39" i="11"/>
  <c r="C46" i="11" s="1"/>
  <c r="C45" i="11" s="1"/>
  <c r="D63" i="40"/>
  <c r="C65" i="40"/>
  <c r="G16" i="1"/>
  <c r="F10" i="39" s="1"/>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6" i="67"/>
  <c r="C14" i="67"/>
  <c r="C16" i="15"/>
  <c r="C17" i="67"/>
  <c r="G1" i="73"/>
  <c r="F7" i="21" l="1"/>
  <c r="H7" i="36"/>
  <c r="J7" i="36"/>
  <c r="AC7" i="36" s="1"/>
  <c r="V36" i="36" s="1"/>
  <c r="I36" i="36" s="1"/>
  <c r="J7" i="33"/>
  <c r="J7" i="34"/>
  <c r="W7" i="34" s="1"/>
  <c r="F7" i="34"/>
  <c r="J7" i="35"/>
  <c r="W7" i="35" s="1"/>
  <c r="J7" i="21"/>
  <c r="H7" i="21"/>
  <c r="AB7" i="21" s="1"/>
  <c r="T48" i="21" s="1"/>
  <c r="G48" i="21" s="1"/>
  <c r="F10" i="40"/>
  <c r="AA10" i="40" s="1"/>
  <c r="H10" i="39"/>
  <c r="U10" i="39" s="1"/>
  <c r="H10" i="40"/>
  <c r="U10" i="40" s="1"/>
  <c r="J10" i="40"/>
  <c r="AC10" i="40" s="1"/>
  <c r="J10" i="39"/>
  <c r="AC10" i="39" s="1"/>
  <c r="C49" i="67"/>
  <c r="C20" i="69"/>
  <c r="C28" i="69" s="1"/>
  <c r="C27" i="69" s="1"/>
  <c r="F7" i="33"/>
  <c r="AA7" i="33" s="1"/>
  <c r="R48" i="33" s="1"/>
  <c r="D65" i="40"/>
  <c r="E63" i="40"/>
  <c r="AA7" i="36"/>
  <c r="R36" i="36" s="1"/>
  <c r="S7" i="36"/>
  <c r="F52" i="37"/>
  <c r="H7" i="33"/>
  <c r="W10" i="39"/>
  <c r="S10" i="39"/>
  <c r="AA10" i="39"/>
  <c r="U7" i="34"/>
  <c r="AB7" i="34"/>
  <c r="T49" i="34" s="1"/>
  <c r="G49" i="34" s="1"/>
  <c r="AC7" i="35"/>
  <c r="V38" i="35" s="1"/>
  <c r="I38" i="35" s="1"/>
  <c r="F7" i="35"/>
  <c r="AC7" i="21"/>
  <c r="V48" i="21" s="1"/>
  <c r="I48" i="21" s="1"/>
  <c r="W7" i="21"/>
  <c r="U7" i="21"/>
  <c r="U7" i="36"/>
  <c r="AB7" i="36"/>
  <c r="T36" i="36" s="1"/>
  <c r="G36" i="36" s="1"/>
  <c r="W7" i="36"/>
  <c r="AC7" i="33"/>
  <c r="V48" i="33" s="1"/>
  <c r="I48" i="33" s="1"/>
  <c r="W7" i="33"/>
  <c r="S7" i="33"/>
  <c r="S10" i="40"/>
  <c r="D70" i="39"/>
  <c r="E68" i="39"/>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C38" i="43" s="1"/>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AB10" i="39" l="1"/>
  <c r="W10" i="40"/>
  <c r="C37" i="43"/>
  <c r="C39" i="43"/>
  <c r="E39" i="43" s="1"/>
  <c r="AB10" i="40"/>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E42" i="43" l="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C30" i="43" l="1"/>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E6" i="76"/>
  <c r="B6" i="76"/>
  <c r="B2" i="76" l="1"/>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B3" i="76" l="1"/>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43" i="67" s="1"/>
  <c r="C80" i="67"/>
  <c r="C79" i="67" s="1"/>
  <c r="C57" i="68"/>
  <c r="C56" i="68" s="1"/>
  <c r="Q67" i="67"/>
  <c r="L57" i="67"/>
  <c r="L60" i="67" s="1"/>
  <c r="C57" i="69"/>
  <c r="C56" i="69" s="1"/>
  <c r="L51" i="15"/>
  <c r="E8" i="71" l="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B6" i="71" l="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E6" i="71" l="1"/>
  <c r="B5" i="71"/>
  <c r="E5" i="71" s="1"/>
  <c r="M63" i="40"/>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E14" i="74"/>
  <c r="F14" i="74"/>
  <c r="C104" i="9"/>
  <c r="H4" i="52"/>
  <c r="C105" i="9"/>
  <c r="I4" i="52"/>
  <c r="P57" i="9"/>
  <c r="N58" i="9"/>
  <c r="D5" i="74"/>
  <c r="D14" i="74"/>
  <c r="B5" i="74"/>
  <c r="C5" i="74"/>
  <c r="D53" i="9"/>
  <c r="D52" i="9"/>
  <c r="D6" i="74"/>
  <c r="C6" i="74"/>
  <c r="B53" i="72"/>
  <c r="B22" i="72"/>
  <c r="C93" i="9"/>
  <c r="C86" i="9"/>
  <c r="H119" i="9"/>
  <c r="H5" i="52"/>
  <c r="B20" i="72"/>
  <c r="D6" i="53"/>
  <c r="D54" i="9"/>
  <c r="M55" i="9"/>
  <c r="B49" i="72"/>
  <c r="D8" i="52"/>
  <c r="M54" i="9"/>
  <c r="D56" i="9"/>
  <c r="D5" i="53"/>
  <c r="M48" i="9"/>
  <c r="B47" i="72"/>
  <c r="C68" i="9"/>
  <c r="D59" i="9"/>
  <c r="N60" i="9"/>
  <c r="N59" i="9"/>
  <c r="N61" i="9"/>
  <c r="C81" i="9"/>
  <c r="E81" i="9"/>
  <c r="B30" i="72"/>
  <c r="G14" i="74"/>
  <c r="B6" i="74"/>
  <c r="F119" i="9"/>
  <c r="F5" i="52"/>
  <c r="D4" i="52"/>
  <c r="B31" i="72"/>
  <c r="D118" i="9"/>
  <c r="D119" i="9"/>
  <c r="D5" i="52"/>
  <c r="H108" i="9"/>
  <c r="D15" i="53"/>
  <c r="C97" i="9"/>
  <c r="D58" i="9"/>
  <c r="E118" i="9"/>
  <c r="E4" i="52"/>
  <c r="B48" i="72"/>
  <c r="B21" i="72"/>
  <c r="G4" i="52"/>
  <c r="B52" i="72"/>
  <c r="H102" i="9"/>
  <c r="D7" i="53"/>
  <c r="D122" i="9"/>
  <c r="D123" i="9"/>
  <c r="D9" i="52"/>
  <c r="C78" i="9"/>
  <c r="C73" i="9"/>
  <c r="G118" i="9"/>
  <c r="F118" i="9"/>
  <c r="F4" i="52"/>
  <c r="B51" i="72"/>
  <c r="C64" i="9"/>
  <c r="C63" i="9"/>
  <c r="C67" i="9"/>
  <c r="C85" i="9"/>
  <c r="C95" i="9"/>
  <c r="C96" i="9"/>
  <c r="E96" i="9"/>
  <c r="E97" i="9"/>
  <c r="C72" i="9"/>
  <c r="C79" i="9"/>
  <c r="C80" i="9"/>
  <c r="E80" i="9"/>
  <c r="H107" i="9"/>
  <c r="D13" i="53"/>
  <c r="D14" i="53"/>
  <c r="B32"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<sst xmlns="http://schemas.openxmlformats.org/spreadsheetml/2006/main" count="7685" uniqueCount="3127">
  <si>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</si>
  <si>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</si>
  <si>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</si>
  <si>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</si>
  <si>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</si>
  <si>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</si>
  <si>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</si>
  <si>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</si>
  <si>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</si>
  <si>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</si>
  <si>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</si>
  <si>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</si>
  <si>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</si>
  <si>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</si>
  <si>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</si>
  <si>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</si>
  <si>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</si>
  <si>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</si>
  <si>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</si>
  <si>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</si>
  <si>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</si>
  <si>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</si>
  <si>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</si>
  <si>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</si>
  <si>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</si>
  <si>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</si>
  <si>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</si>
  <si>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</si>
  <si>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</si>
  <si>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</si>
  <si>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</si>
  <si>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</si>
  <si>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</si>
  <si>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</si>
  <si>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</si>
  <si>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</si>
  <si>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</si>
  <si>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</si>
  <si>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</si>
  <si>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</si>
  <si>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</si>
  <si>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</si>
  <si>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</si>
  <si>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</si>
  <si>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</si>
  <si>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</si>
  <si>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</si>
  <si>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</si>
  <si>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</si>
  <si>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</si>
  <si>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</si>
  <si>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</si>
  <si>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</si>
  <si>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</si>
  <si>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</si>
  <si>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</si>
  <si>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</si>
  <si>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</si>
  <si>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</si>
  <si>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</si>
  <si>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</si>
  <si>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</si>
  <si>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</si>
  <si>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</si>
  <si>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</si>
  <si>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</si>
  <si>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</si>
  <si>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</si>
  <si>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</si>
  <si>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</si>
  <si>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</si>
  <si>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</si>
  <si>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</si>
  <si>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</si>
  <si>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</si>
  <si>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</si>
  <si>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</si>
  <si>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</si>
  <si>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</si>
  <si>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</si>
  <si>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</si>
  <si>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</si>
  <si>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</si>
  <si>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</si>
  <si>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</si>
  <si>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</si>
  <si>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</si>
  <si>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</si>
  <si>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</si>
  <si>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</si>
  <si>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</si>
  <si>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</si>
  <si>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</si>
  <si>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</si>
  <si>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</si>
  <si>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</si>
  <si>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</si>
  <si>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</si>
  <si>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</si>
  <si>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</si>
  <si>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</si>
  <si>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</si>
  <si>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</si>
  <si>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</si>
  <si>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</si>
  <si>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</si>
  <si>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</si>
  <si>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</si>
  <si>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</si>
  <si>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</si>
  <si>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</si>
  <si>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</si>
  <si>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</si>
  <si>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</si>
  <si>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</si>
  <si>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</si>
  <si>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</si>
  <si>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</si>
  <si>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</si>
  <si>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</si>
  <si>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</si>
  <si>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</si>
  <si>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</si>
  <si>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</si>
  <si>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</si>
  <si>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</si>
  <si>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</si>
  <si>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</si>
  <si>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</si>
  <si>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</si>
  <si>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</si>
  <si>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</si>
  <si>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</si>
  <si>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</si>
  <si>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</si>
  <si>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</si>
  <si>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</si>
  <si>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</si>
  <si>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</si>
  <si>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</si>
  <si>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</si>
  <si>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</si>
  <si>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</si>
  <si>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</si>
  <si>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</si>
  <si>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</si>
  <si>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</si>
  <si>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</si>
  <si>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</si>
  <si>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</si>
  <si>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</si>
  <si>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</si>
  <si>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</si>
  <si>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</si>
  <si>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</si>
  <si>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</si>
  <si>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</si>
  <si>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</si>
  <si>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</si>
  <si>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</si>
  <si>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</si>
  <si>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</si>
  <si>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</si>
  <si>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</si>
  <si>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</si>
  <si>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</si>
  <si>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</si>
  <si>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</si>
  <si>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</si>
  <si>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</si>
  <si>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</si>
  <si>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</si>
  <si>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</si>
  <si>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</si>
  <si>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</si>
  <si>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</si>
  <si>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</si>
  <si>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</si>
  <si>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</si>
  <si>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</si>
  <si>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</si>
  <si>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</si>
  <si>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</si>
  <si>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</si>
  <si>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</si>
  <si>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</si>
  <si>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</si>
  <si>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</si>
  <si>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</si>
  <si>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</si>
  <si>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</si>
  <si>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</si>
  <si>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</si>
  <si>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</si>
  <si>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</si>
  <si>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</si>
  <si>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</si>
  <si>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</si>
  <si>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</si>
  <si>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</si>
  <si>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</si>
  <si>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</si>
  <si>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</si>
  <si>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</si>
  <si>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</si>
  <si>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</si>
  <si>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</si>
  <si>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</si>
  <si>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</si>
  <si>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</si>
  <si>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</si>
  <si>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</si>
  <si>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</si>
  <si>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</si>
  <si>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</si>
  <si>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</si>
  <si>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</si>
  <si>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</si>
  <si>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</si>
  <si>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</si>
  <si>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</si>
  <si>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</si>
  <si>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</si>
  <si>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</si>
  <si>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</si>
  <si>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</si>
  <si>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</si>
  <si>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</si>
  <si>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</si>
  <si>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</si>
  <si>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</si>
  <si>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</si>
  <si>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</si>
  <si>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</si>
  <si>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</si>
  <si>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</si>
  <si>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</si>
  <si>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</si>
  <si>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</si>
  <si>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</si>
  <si>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</si>
  <si>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</si>
  <si>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</si>
  <si>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</si>
  <si>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</si>
  <si>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</si>
  <si>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</si>
  <si>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</si>
  <si>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</si>
  <si>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</si>
  <si>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</si>
  <si>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</si>
  <si>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</si>
  <si>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</si>
  <si>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</si>
  <si>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</si>
  <si>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</si>
  <si>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</si>
  <si>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</si>
  <si>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</si>
  <si>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</si>
  <si>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</si>
  <si>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</si>
  <si>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</si>
  <si>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</si>
  <si>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</si>
  <si>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</si>
  <si>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</si>
  <si>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</si>
  <si>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</si>
  <si>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</si>
  <si>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</si>
  <si>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</si>
  <si>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</si>
  <si>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</si>
  <si>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</si>
  <si>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</si>
  <si>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</si>
  <si>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</si>
  <si>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</si>
  <si>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</si>
  <si>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</si>
  <si>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</si>
  <si>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</si>
  <si>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</si>
  <si>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</si>
  <si>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</si>
  <si>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</si>
  <si>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</si>
  <si>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</si>
  <si>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</si>
  <si>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</si>
  <si>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</si>
  <si>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</si>
  <si>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</si>
  <si>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</si>
  <si>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</si>
  <si>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</si>
  <si>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</si>
  <si>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</si>
  <si>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</si>
  <si>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</si>
  <si>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</si>
  <si>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</si>
  <si>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</si>
  <si>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</si>
  <si>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</si>
  <si>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</si>
  <si>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</si>
  <si>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</si>
  <si>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</si>
  <si>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</si>
  <si>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</si>
  <si>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</si>
  <si>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</si>
  <si>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</si>
  <si>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</si>
  <si>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</si>
  <si>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</si>
  <si>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</si>
  <si>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</si>
  <si>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</si>
  <si>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</si>
  <si>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</si>
  <si>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</si>
  <si>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</si>
  <si>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</si>
  <si>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</si>
  <si>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</si>
  <si>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</si>
  <si>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</si>
  <si>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</si>
  <si>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</si>
  <si>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</si>
  <si>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</si>
  <si>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</si>
  <si>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</si>
  <si>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</si>
  <si>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</si>
  <si>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</si>
  <si>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</si>
  <si>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</si>
  <si>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</si>
  <si>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</si>
  <si>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</si>
  <si>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</si>
  <si>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</si>
  <si>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</si>
  <si>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</si>
  <si>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</si>
  <si>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</si>
  <si>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</si>
  <si>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</si>
  <si>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</si>
  <si>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</si>
  <si>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</si>
  <si>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</si>
  <si>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</si>
  <si>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</si>
  <si>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</si>
  <si>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</si>
  <si>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</si>
  <si>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</si>
  <si>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</si>
  <si>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</si>
  <si>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</si>
  <si>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</si>
  <si>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</si>
  <si>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</si>
  <si>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</si>
  <si>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</si>
  <si>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</si>
  <si>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</si>
  <si>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</si>
  <si>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</si>
  <si>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</si>
  <si>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</si>
  <si>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</si>
  <si>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</si>
  <si>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</si>
  <si>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</si>
  <si>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</si>
  <si>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</si>
  <si>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</si>
  <si>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</si>
  <si>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</si>
  <si>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</si>
  <si>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</si>
  <si>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</si>
  <si>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</si>
  <si>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</si>
  <si>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</si>
  <si>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</si>
  <si>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</si>
  <si>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</si>
  <si>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</si>
  <si>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</si>
  <si>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</si>
  <si>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</si>
  <si>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</si>
  <si>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</si>
  <si>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</si>
  <si>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</si>
  <si>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</si>
  <si>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</si>
  <si>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</si>
  <si>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</si>
  <si>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</si>
  <si>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</si>
  <si>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</si>
  <si>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</si>
  <si>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</si>
  <si>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</si>
  <si>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</si>
  <si>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</si>
  <si>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</si>
  <si>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</si>
  <si>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</si>
  <si>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</si>
  <si>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</si>
  <si>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</si>
  <si>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</si>
  <si>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</si>
  <si>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</si>
  <si>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</si>
  <si>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</si>
  <si>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</si>
  <si>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</si>
  <si>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</si>
  <si>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</si>
  <si>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</si>
  <si>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</si>
  <si>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</si>
  <si>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</si>
  <si>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</si>
  <si>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</si>
  <si>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</si>
  <si>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</si>
  <si>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</si>
  <si>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</si>
  <si>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</si>
  <si>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</si>
  <si>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</si>
  <si>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</si>
  <si>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</si>
  <si>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</si>
  <si>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</si>
  <si>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</si>
  <si>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</si>
  <si>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</si>
  <si>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</si>
  <si>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</si>
  <si>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</si>
  <si>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</si>
  <si>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</si>
  <si>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</si>
  <si>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</si>
  <si>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</si>
  <si>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</si>
  <si>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</si>
  <si>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</si>
  <si>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</si>
  <si>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</si>
  <si>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</si>
  <si>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</si>
  <si>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</si>
  <si>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</si>
  <si>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</si>
  <si>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</si>
  <si>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</si>
  <si>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</si>
  <si>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</si>
  <si>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</si>
  <si>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</si>
  <si>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</si>
  <si>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</si>
  <si>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</si>
  <si>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</si>
  <si>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</si>
  <si>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</si>
  <si>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</si>
  <si>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</si>
  <si>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</si>
  <si>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</si>
  <si>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</si>
  <si>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</si>
  <si>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</si>
  <si>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</si>
  <si>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</si>
  <si>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</si>
  <si>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</si>
  <si>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</si>
  <si>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</si>
  <si>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</si>
  <si>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</si>
  <si>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</si>
  <si>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</si>
  <si>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</si>
  <si>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</si>
  <si>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</si>
  <si>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</si>
  <si>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</si>
  <si>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</si>
  <si>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</si>
  <si>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</si>
  <si>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</si>
  <si>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</si>
  <si>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</si>
  <si>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</si>
  <si>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</si>
  <si>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</si>
  <si>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</si>
  <si>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</si>
  <si>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</si>
  <si>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</si>
  <si>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</si>
  <si>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</si>
  <si>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</si>
  <si>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</si>
  <si>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</si>
  <si>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</si>
  <si>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</si>
  <si>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</si>
  <si>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</si>
  <si>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</si>
  <si>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</si>
  <si>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</si>
  <si>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</si>
  <si>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</si>
  <si>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</si>
  <si>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</si>
  <si>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</si>
  <si>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</si>
  <si>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</si>
  <si>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</si>
  <si>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</si>
  <si>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</si>
  <si>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</si>
  <si>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</si>
  <si>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</si>
  <si>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</si>
  <si>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</si>
  <si>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</si>
  <si>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</si>
  <si>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</si>
  <si>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</si>
  <si>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</si>
  <si>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</si>
  <si>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</si>
  <si>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</si>
  <si>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</si>
  <si>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</si>
  <si>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</si>
  <si>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</si>
  <si>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</si>
  <si>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</si>
  <si>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</si>
  <si>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</si>
  <si>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</si>
  <si>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</si>
  <si>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</si>
  <si>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</si>
  <si>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</si>
  <si>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</si>
  <si>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</si>
  <si>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</si>
  <si>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</si>
  <si>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</si>
  <si>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</si>
  <si>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</si>
  <si>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</si>
  <si>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</si>
  <si>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</si>
  <si>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</si>
  <si>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</si>
  <si>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</si>
  <si>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</si>
  <si>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</si>
  <si>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</si>
  <si>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</si>
  <si>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</si>
  <si>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</si>
  <si>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</si>
  <si>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</si>
  <si>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</si>
  <si>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</si>
  <si>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</si>
  <si>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</si>
  <si>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</si>
  <si>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</si>
  <si>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</si>
  <si>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</si>
  <si>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</si>
  <si>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</si>
  <si>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</si>
  <si>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</si>
  <si>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</si>
  <si>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</si>
  <si>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</si>
  <si>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</si>
  <si>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</si>
  <si>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</si>
  <si>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</si>
  <si>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</si>
  <si>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</si>
  <si>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</si>
  <si>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</si>
  <si>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</si>
  <si>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</si>
  <si>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</si>
  <si>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</si>
  <si>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</si>
  <si>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</si>
  <si>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</si>
  <si>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</si>
  <si>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</si>
  <si>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</si>
  <si>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</si>
  <si>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</si>
  <si>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</si>
  <si>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</si>
  <si>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</si>
  <si>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</si>
  <si>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</si>
  <si>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</si>
  <si>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</si>
  <si>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</si>
  <si>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</si>
  <si>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</si>
  <si>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</si>
  <si>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</si>
  <si>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</si>
  <si>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</si>
  <si>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</si>
  <si>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</si>
  <si>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</si>
  <si>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</si>
  <si>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</si>
  <si>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</si>
  <si>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</si>
  <si>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</si>
  <si>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</si>
  <si>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</si>
  <si>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</si>
  <si>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</si>
  <si>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</si>
  <si>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</si>
  <si>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</si>
  <si>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</si>
  <si>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</si>
  <si>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</si>
  <si>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</si>
  <si>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</si>
  <si>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</si>
  <si>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</si>
  <si>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</si>
  <si>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</si>
  <si>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</si>
  <si>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</si>
  <si>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</si>
  <si>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</si>
  <si>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</si>
  <si>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</si>
  <si>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</si>
  <si>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</si>
  <si>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</si>
  <si>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</si>
  <si>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</si>
  <si>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</si>
  <si>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</si>
  <si>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</si>
  <si>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</si>
  <si>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</si>
  <si>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</si>
  <si>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</si>
  <si>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</si>
  <si>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</si>
  <si>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</si>
  <si>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</si>
  <si>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</si>
  <si>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</si>
  <si>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</si>
  <si>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</si>
  <si>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</si>
  <si>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</si>
  <si>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</si>
  <si>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</si>
  <si>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</si>
  <si>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</si>
  <si>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</si>
  <si>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</si>
  <si>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</si>
  <si>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</si>
  <si>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</si>
  <si>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</si>
  <si>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</si>
  <si>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</si>
  <si>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</si>
  <si>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</si>
  <si>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</si>
  <si>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</si>
  <si>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</si>
  <si>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</si>
  <si>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</si>
  <si>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</si>
  <si>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</si>
  <si>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</si>
  <si>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</si>
  <si>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</si>
  <si>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</si>
  <si>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</si>
  <si>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</si>
  <si>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</si>
  <si>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</si>
  <si>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</si>
  <si>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</si>
  <si>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</si>
  <si>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</si>
  <si>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</si>
  <si>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</si>
  <si>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</si>
  <si>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</si>
  <si>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</si>
  <si>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</si>
  <si>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</si>
  <si>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</si>
  <si>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</si>
  <si>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</si>
  <si>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</si>
  <si>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</si>
  <si>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</si>
  <si>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</si>
  <si>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</si>
  <si>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</si>
  <si>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</si>
  <si>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</si>
  <si>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</si>
  <si>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</si>
  <si>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</si>
  <si>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</si>
  <si>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</si>
  <si>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</si>
  <si>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</si>
  <si>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</si>
  <si>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</si>
  <si>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</si>
  <si>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</si>
  <si>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</si>
  <si>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</si>
  <si>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</si>
  <si>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</si>
  <si>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</si>
  <si>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</si>
  <si>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</si>
  <si>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</si>
  <si>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</si>
  <si>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</si>
  <si>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</si>
  <si>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</si>
  <si>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</si>
  <si>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</si>
  <si>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</si>
  <si>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</si>
  <si>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</si>
  <si>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</si>
  <si>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</si>
  <si>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</si>
  <si>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</si>
  <si>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</si>
  <si>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</si>
  <si>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</si>
  <si>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</si>
  <si>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</si>
  <si>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</si>
  <si>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</si>
  <si>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</si>
  <si>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</si>
  <si>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</si>
  <si>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</si>
  <si>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</si>
  <si>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</si>
  <si>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</si>
  <si>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</si>
  <si>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</si>
  <si>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</si>
  <si>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</si>
  <si>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</si>
  <si>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</si>
  <si>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</si>
  <si>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</si>
  <si>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</si>
  <si>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</si>
  <si>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</si>
  <si>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</si>
  <si>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</si>
  <si>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</si>
  <si>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</si>
  <si>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</si>
  <si>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</si>
  <si>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</si>
  <si>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</si>
  <si>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</si>
  <si>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</si>
  <si>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</si>
  <si>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</si>
  <si>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</si>
  <si>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</si>
  <si>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</si>
  <si>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</si>
  <si>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</si>
  <si>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</si>
  <si>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</si>
  <si>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</si>
  <si>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</si>
  <si>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</si>
  <si>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</si>
  <si>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</si>
  <si>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</si>
  <si>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</si>
  <si>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</si>
  <si>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</si>
  <si>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</si>
  <si>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</si>
  <si>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</si>
  <si>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</si>
  <si>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</si>
  <si>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</si>
  <si>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</si>
  <si>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</si>
  <si>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</si>
  <si>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</si>
  <si>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</si>
  <si>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</si>
  <si>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</si>
  <si>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</si>
  <si>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</si>
  <si>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</si>
  <si>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</si>
  <si>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</si>
  <si>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</si>
  <si>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</si>
  <si>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</si>
  <si>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</si>
  <si>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</si>
  <si>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</si>
  <si>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</si>
  <si>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</si>
  <si>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</si>
  <si>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</si>
  <si>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</si>
  <si>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</si>
  <si>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</si>
  <si>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</si>
  <si>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</si>
  <si>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</si>
  <si>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</si>
  <si>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</si>
  <si>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</si>
  <si>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</si>
  <si>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</si>
  <si>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</si>
  <si>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</si>
  <si>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</si>
  <si>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</si>
  <si>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</si>
  <si>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</si>
  <si>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</si>
  <si>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</si>
  <si>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</si>
  <si>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</si>
  <si>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</si>
  <si>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</si>
  <si>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</si>
  <si>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</si>
  <si>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</si>
  <si>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</si>
  <si>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</si>
  <si>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</si>
  <si>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</si>
  <si>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</si>
  <si>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</si>
  <si>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</si>
  <si>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</si>
  <si>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</si>
  <si>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</si>
  <si>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</si>
  <si>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</si>
  <si>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</si>
  <si>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</si>
  <si>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</si>
  <si>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</si>
  <si>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</si>
  <si>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</si>
  <si>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</si>
  <si>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</si>
  <si>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</si>
  <si>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</si>
  <si>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</si>
  <si>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</si>
  <si>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</si>
  <si>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</si>
  <si>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</si>
  <si>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</si>
  <si>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</si>
  <si>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</si>
  <si>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</si>
  <si>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</si>
  <si>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</si>
  <si>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</si>
  <si>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</si>
  <si>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</si>
  <si>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</si>
  <si>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</si>
  <si>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</si>
  <si>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</si>
  <si>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</si>
  <si>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</si>
  <si>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</si>
  <si>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</si>
  <si>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</si>
  <si>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</si>
  <si>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</si>
  <si>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</si>
  <si>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</si>
  <si>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</si>
  <si>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</si>
  <si>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</si>
  <si>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</si>
  <si>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</si>
  <si>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</si>
  <si>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</si>
  <si>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</si>
  <si>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</si>
  <si>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</si>
  <si>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</si>
  <si>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</si>
  <si>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</si>
  <si>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</si>
  <si>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</si>
  <si>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</si>
  <si>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</si>
  <si>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</si>
  <si>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</si>
  <si>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</si>
  <si>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</si>
  <si>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</si>
  <si>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</si>
  <si>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</si>
  <si>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</si>
  <si>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</si>
  <si>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</si>
  <si>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</si>
  <si>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</si>
  <si>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</si>
  <si>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</si>
  <si>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</si>
  <si>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</si>
  <si>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</si>
  <si>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</si>
  <si>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</si>
  <si>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</si>
  <si>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</si>
  <si>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</si>
  <si>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</si>
  <si>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</si>
  <si>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</si>
  <si>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</si>
  <si>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</si>
  <si>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</si>
  <si>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</si>
  <si>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</si>
  <si>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</si>
  <si>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</si>
  <si>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</si>
  <si>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</si>
  <si>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</si>
  <si>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</si>
  <si>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</si>
  <si>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</si>
  <si>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</si>
  <si>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</si>
  <si>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</si>
  <si>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</si>
  <si>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</si>
  <si>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</si>
  <si>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</si>
  <si>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</si>
  <si>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</si>
  <si>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</si>
  <si>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</si>
  <si>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</si>
  <si>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</si>
  <si>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</si>
  <si>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</si>
  <si>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</si>
  <si>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</si>
  <si>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</si>
  <si>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</si>
  <si>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</si>
  <si>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</si>
  <si>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</si>
  <si>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</si>
  <si>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</si>
  <si>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</si>
  <si>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</si>
  <si>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</si>
  <si>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</si>
  <si>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</si>
  <si>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</si>
  <si>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</si>
  <si>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</si>
  <si>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</si>
  <si>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</si>
  <si>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</si>
  <si>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</si>
  <si>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</si>
  <si>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</si>
  <si>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</si>
  <si>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</si>
  <si>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</si>
  <si>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</si>
  <si>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</si>
  <si>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</si>
  <si>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</si>
  <si>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</si>
  <si>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</si>
  <si>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</si>
  <si>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</si>
  <si>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</si>
  <si>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</si>
  <si>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</si>
  <si>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</si>
  <si>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</si>
  <si>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</si>
  <si>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</si>
  <si>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</si>
  <si>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</si>
  <si>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</si>
  <si>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</si>
  <si>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</si>
  <si>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</si>
  <si>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</si>
  <si>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</si>
  <si>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</si>
  <si>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</si>
  <si>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</si>
  <si>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</si>
  <si>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</si>
  <si>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</si>
  <si>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</si>
  <si>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</si>
  <si>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</si>
  <si>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</si>
  <si>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</si>
  <si>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</si>
  <si>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</si>
  <si>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</si>
  <si>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</si>
  <si>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</si>
  <si>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</si>
  <si>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</si>
  <si>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</si>
  <si>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</si>
  <si>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</si>
  <si>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</si>
  <si>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</si>
  <si>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</si>
  <si>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</si>
  <si>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</si>
  <si>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</si>
  <si>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</si>
  <si>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</si>
  <si>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</si>
  <si>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</si>
  <si>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</si>
  <si>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</si>
  <si>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</si>
  <si>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</si>
  <si>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</si>
  <si>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</si>
  <si>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</si>
  <si>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</si>
  <si>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</si>
  <si>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</si>
  <si>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</si>
  <si>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</si>
  <si>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</si>
  <si>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</si>
  <si>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</si>
  <si>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</si>
  <si>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</si>
  <si>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</si>
  <si>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</si>
  <si>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</si>
  <si>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</si>
  <si>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</si>
  <si>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</si>
  <si>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</si>
  <si>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</si>
  <si>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</si>
  <si>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</si>
  <si>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</si>
  <si>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</si>
  <si>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</si>
  <si>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</si>
  <si>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</si>
  <si>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</si>
  <si>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</si>
  <si>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</si>
  <si>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</si>
  <si>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</si>
  <si>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</si>
  <si>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</si>
  <si>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</si>
  <si>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</si>
  <si>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</si>
  <si>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</si>
  <si>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</si>
  <si>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</si>
  <si>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</si>
  <si>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</si>
  <si>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</si>
  <si>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</si>
  <si>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</si>
  <si>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</si>
  <si>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</si>
  <si>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</si>
  <si>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</si>
  <si>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</si>
  <si>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</si>
  <si>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</si>
  <si>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</si>
  <si>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</si>
  <si>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</si>
  <si>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</si>
  <si>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</si>
  <si>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</si>
  <si>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</si>
  <si>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</si>
  <si>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</si>
  <si>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</si>
  <si>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</si>
  <si>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</si>
  <si>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</si>
  <si>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</si>
  <si>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</si>
  <si>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</si>
  <si>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</si>
  <si>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</si>
  <si>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</si>
  <si>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</si>
  <si>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</si>
  <si>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</si>
  <si>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</si>
  <si>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</si>
  <si>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</si>
  <si>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</si>
  <si>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</si>
  <si>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</si>
  <si>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</si>
  <si>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</si>
  <si>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</si>
  <si>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</si>
  <si>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</si>
  <si>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</si>
  <si>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</si>
  <si>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</si>
  <si>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</si>
  <si>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</si>
  <si>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</si>
  <si>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</si>
  <si>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</si>
  <si>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</si>
  <si>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</si>
  <si>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</si>
  <si>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</si>
  <si>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</si>
  <si>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</si>
  <si>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</si>
  <si>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</si>
  <si>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</si>
  <si>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</si>
  <si>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</si>
  <si>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</si>
  <si>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</si>
  <si>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</si>
  <si>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</si>
  <si>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</si>
  <si>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</si>
  <si>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</si>
  <si>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</si>
  <si>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</si>
  <si>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</si>
  <si>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</si>
  <si>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</si>
  <si>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</si>
  <si>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</si>
  <si>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</si>
  <si>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</si>
  <si>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</si>
  <si>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</si>
  <si>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</si>
  <si>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</si>
  <si>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</si>
  <si>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</si>
  <si>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</si>
  <si>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</si>
  <si>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</si>
  <si>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</si>
  <si>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</si>
  <si>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</si>
  <si>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</si>
  <si>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</si>
  <si>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</si>
  <si>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</si>
  <si>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</si>
  <si>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</si>
  <si>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</si>
  <si>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</si>
  <si>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</si>
  <si>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</si>
  <si>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</si>
  <si>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</si>
  <si>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</si>
  <si>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</si>
  <si>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</si>
  <si>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</si>
  <si>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</si>
  <si>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</si>
  <si>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</si>
  <si>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</si>
  <si>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</si>
  <si>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</si>
  <si>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</si>
  <si>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</si>
  <si>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</si>
  <si>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</si>
  <si>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</si>
  <si>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</si>
  <si>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</si>
  <si>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</si>
  <si>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</si>
  <si>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</si>
  <si>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</si>
  <si>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</si>
  <si>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</si>
  <si>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</si>
  <si>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</si>
  <si>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</si>
  <si>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</si>
  <si>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</si>
  <si>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</si>
  <si>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</si>
  <si>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</si>
  <si>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</si>
  <si>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</si>
  <si>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</si>
  <si>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</si>
  <si>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</si>
  <si>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</si>
  <si>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</si>
  <si>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</si>
  <si>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</si>
  <si>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</si>
  <si>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</si>
  <si>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</si>
  <si>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</si>
  <si>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</si>
  <si>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</si>
  <si>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</si>
  <si>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</si>
  <si>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</si>
  <si>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</si>
  <si>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</si>
  <si>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</si>
  <si>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</si>
  <si>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</si>
  <si>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</si>
  <si>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</si>
  <si>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</si>
  <si>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</si>
  <si>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</si>
  <si>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</si>
  <si>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</si>
  <si>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</si>
  <si>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</si>
  <si>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</si>
  <si>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</si>
  <si>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</si>
  <si>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</si>
  <si>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</si>
  <si>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</si>
  <si>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</si>
  <si>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</si>
  <si>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</si>
  <si>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</si>
  <si>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</si>
  <si>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</si>
  <si>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</si>
  <si>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</si>
  <si>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</si>
  <si>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</si>
  <si>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</si>
  <si>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</si>
  <si>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</si>
  <si>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</si>
  <si>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</si>
  <si>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</si>
  <si>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</si>
  <si>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</si>
  <si>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</si>
  <si>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</si>
  <si>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</si>
  <si>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</si>
  <si>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</si>
  <si>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</si>
  <si>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</si>
  <si>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</si>
  <si>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</si>
  <si>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</si>
  <si>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</si>
  <si>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</si>
  <si>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</si>
  <si>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</si>
  <si>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</si>
  <si>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</si>
  <si>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</si>
  <si>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</si>
  <si>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</si>
  <si>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</si>
  <si>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</si>
  <si>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</si>
  <si>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</si>
  <si>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</si>
  <si>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</si>
  <si>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</si>
  <si>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</si>
  <si>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</si>
  <si>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</si>
  <si>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</si>
  <si>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</si>
  <si>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</si>
  <si>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</si>
  <si>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</si>
  <si>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</si>
  <si>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</si>
  <si>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</si>
  <si>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</si>
  <si>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</si>
  <si>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</si>
  <si>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</si>
  <si>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</si>
  <si>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</si>
  <si>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</si>
  <si>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</si>
  <si>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</si>
  <si>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</si>
  <si>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</si>
  <si>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</si>
  <si>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</si>
  <si>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</si>
  <si>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</si>
  <si>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</si>
  <si>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</si>
  <si>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</si>
  <si>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</si>
  <si>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</si>
  <si>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</si>
  <si>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</si>
  <si>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</si>
  <si>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</si>
  <si>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</si>
  <si>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</si>
  <si>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</si>
  <si>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</si>
  <si>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</si>
  <si>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</si>
  <si>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</si>
  <si>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</si>
  <si>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</si>
  <si>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</si>
  <si>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</si>
  <si>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</si>
  <si>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</si>
  <si>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</si>
  <si>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</si>
  <si>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</si>
  <si>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</si>
  <si>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</si>
  <si>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</si>
  <si>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</si>
  <si>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</si>
  <si>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</si>
  <si>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</si>
  <si>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</si>
  <si>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</si>
  <si>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</si>
  <si>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</si>
  <si>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</si>
  <si>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</si>
  <si>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</si>
  <si>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</si>
  <si>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</si>
  <si>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</si>
  <si>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</si>
  <si>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</si>
  <si>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</si>
  <si>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</si>
  <si>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</si>
  <si>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</si>
  <si>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</si>
  <si>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</si>
  <si>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</si>
  <si>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</si>
  <si>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</si>
  <si>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</si>
  <si>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</si>
  <si>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</si>
  <si>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</si>
  <si>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</si>
  <si>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</si>
  <si>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</si>
  <si>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</si>
  <si>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</si>
  <si>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</si>
  <si>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</si>
  <si>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</si>
  <si>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</si>
  <si>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</si>
  <si>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</si>
  <si>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</si>
  <si>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</si>
  <si>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</si>
  <si>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</si>
  <si>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</si>
  <si>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</si>
  <si>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</si>
  <si>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</si>
  <si>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</si>
  <si>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</si>
  <si>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</si>
  <si>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</si>
  <si>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</si>
  <si>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</si>
  <si>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</si>
  <si>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</si>
  <si>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</si>
  <si>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</si>
  <si>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</si>
  <si>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</si>
  <si>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</si>
  <si>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</si>
  <si>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</si>
  <si>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</si>
  <si>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</si>
  <si>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</si>
  <si>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</si>
  <si>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</si>
  <si>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</si>
  <si>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</si>
  <si>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</si>
  <si>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</si>
  <si>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</si>
  <si>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</si>
  <si>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</si>
  <si>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</si>
  <si>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</si>
  <si>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</si>
  <si>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</si>
  <si>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</si>
  <si>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</si>
  <si>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</si>
  <si>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</si>
  <si>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</si>
  <si>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</si>
  <si>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</si>
  <si>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</si>
  <si>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</si>
  <si>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</si>
  <si>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</si>
  <si>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</si>
  <si>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</si>
  <si>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</si>
  <si>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</si>
  <si>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</si>
  <si>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</si>
  <si>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</si>
  <si>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</si>
  <si>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</si>
  <si>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</si>
  <si>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</si>
  <si>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</si>
  <si>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</si>
  <si>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</si>
  <si>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</si>
  <si>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</si>
  <si>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</si>
  <si>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</si>
  <si>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</si>
  <si>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</si>
  <si>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</si>
  <si>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</si>
  <si>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</si>
  <si>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</si>
  <si>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</si>
  <si>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</si>
  <si>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</si>
  <si>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</si>
  <si>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</si>
  <si>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</si>
  <si>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</si>
  <si>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</si>
  <si>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</si>
  <si>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</si>
  <si>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</si>
  <si>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</si>
  <si>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</si>
  <si>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</si>
  <si>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</si>
  <si>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</si>
  <si>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</si>
  <si>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</si>
  <si>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</si>
  <si>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</si>
  <si>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</si>
  <si>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</si>
  <si>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</si>
  <si>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</si>
  <si>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</si>
  <si>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</si>
  <si>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</si>
  <si>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</si>
  <si>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</si>
  <si>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</si>
  <si>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</si>
  <si>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</si>
  <si>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</si>
  <si>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</si>
  <si>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</si>
  <si>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</si>
  <si>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</si>
  <si>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</si>
  <si>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</si>
  <si>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</si>
  <si>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</si>
  <si>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</si>
  <si>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</si>
  <si>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</si>
  <si>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</si>
  <si>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</si>
  <si>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</si>
  <si>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</si>
  <si>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</si>
  <si>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</si>
  <si>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</si>
  <si>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</si>
  <si>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</si>
  <si>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</si>
  <si>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</si>
  <si>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</si>
  <si>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</si>
  <si>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</si>
  <si>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</si>
  <si>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</si>
  <si>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</si>
  <si>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</si>
  <si>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</si>
  <si>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</si>
  <si>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</si>
  <si>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</si>
  <si>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</si>
  <si>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</si>
  <si>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</si>
  <si>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</si>
  <si>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</si>
  <si>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</si>
  <si>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</si>
  <si>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</si>
  <si>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</si>
  <si>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</si>
  <si>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</si>
  <si>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</si>
  <si>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</si>
  <si>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</si>
  <si>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</si>
  <si>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</si>
  <si>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</si>
  <si>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</si>
  <si>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</si>
  <si>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</si>
  <si>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</si>
  <si>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</si>
  <si>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</si>
  <si>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</si>
  <si>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</si>
  <si>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</si>
  <si>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</si>
  <si>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</si>
  <si>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</si>
  <si>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</si>
  <si>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</si>
  <si>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</si>
  <si>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</si>
  <si>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</si>
  <si>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</si>
  <si>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</si>
  <si>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</si>
  <si>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</si>
  <si>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</si>
  <si>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</si>
  <si>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</si>
  <si>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</si>
  <si>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</si>
  <si>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</si>
  <si>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</si>
  <si>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</si>
  <si>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</si>
  <si>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</si>
  <si>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</si>
  <si>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</si>
  <si>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</si>
  <si>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</si>
  <si>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</si>
  <si>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</si>
  <si>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</si>
  <si>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</si>
  <si>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</si>
  <si>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</si>
  <si>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</si>
  <si>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</si>
  <si>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</si>
  <si>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</si>
  <si>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</si>
  <si>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</si>
  <si>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</si>
  <si>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</si>
  <si>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</si>
  <si>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</si>
  <si>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</si>
  <si>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</si>
  <si>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</si>
  <si>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</si>
  <si>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</si>
  <si>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</si>
  <si>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</si>
  <si>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</si>
  <si>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</si>
  <si>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</si>
  <si>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</si>
  <si>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</si>
  <si>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</si>
  <si>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</si>
  <si>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</si>
  <si>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</si>
  <si>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</si>
  <si>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</si>
  <si>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</si>
  <si>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</si>
  <si>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</si>
  <si>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</si>
  <si>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</si>
  <si>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</si>
  <si>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</si>
  <si>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</si>
  <si>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</si>
  <si>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</si>
  <si>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</si>
  <si>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</si>
  <si>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</si>
  <si>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</si>
  <si>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</si>
  <si>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</si>
  <si>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</si>
  <si>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</si>
  <si>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</si>
  <si>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</si>
  <si>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</si>
  <si>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</si>
  <si>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</si>
  <si>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</si>
  <si>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</si>
  <si>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</si>
  <si>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</si>
  <si>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</si>
  <si>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</si>
  <si>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</si>
  <si>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</si>
  <si>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</si>
  <si>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</si>
  <si>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</si>
  <si>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</si>
  <si>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</si>
  <si>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</si>
  <si>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</si>
  <si>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</si>
  <si>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</si>
  <si>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</si>
  <si>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</si>
  <si>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</si>
  <si>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</si>
  <si>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</si>
  <si>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</si>
  <si>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</si>
  <si>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</si>
  <si>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</si>
  <si>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</si>
  <si>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</si>
  <si>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</si>
  <si>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</si>
  <si>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</si>
  <si>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</si>
  <si>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</si>
  <si>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</si>
  <si>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</si>
  <si>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</si>
  <si>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</si>
  <si>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</si>
  <si>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</si>
  <si>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</si>
  <si>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</si>
  <si>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</si>
  <si>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</si>
  <si>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</si>
  <si>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</si>
  <si>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</si>
  <si>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</si>
  <si>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</si>
  <si>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</si>
  <si>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</si>
  <si>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</si>
  <si>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</si>
  <si>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</si>
  <si>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</si>
  <si>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</si>
  <si>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</si>
  <si>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</si>
  <si>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</si>
  <si>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</si>
  <si>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</si>
  <si>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</si>
  <si>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</si>
  <si>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</si>
  <si>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</si>
  <si>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</si>
  <si>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</si>
  <si>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</si>
  <si>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</si>
  <si>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</si>
  <si>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</si>
  <si>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</si>
  <si>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</si>
  <si>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</si>
  <si>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</si>
  <si>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</si>
  <si>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</si>
  <si>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</si>
  <si>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</si>
  <si>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</si>
  <si>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</si>
  <si>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</si>
  <si>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</si>
  <si>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</si>
  <si>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</si>
  <si>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</si>
  <si>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</si>
  <si>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</si>
  <si>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</si>
  <si>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</si>
  <si>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</si>
  <si>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</si>
  <si>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</si>
  <si>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</si>
  <si>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</si>
  <si>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</si>
  <si>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</si>
  <si>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</si>
  <si>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</si>
  <si>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</si>
  <si>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</si>
  <si>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</si>
  <si>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</si>
  <si>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</si>
  <si>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</si>
  <si>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</si>
  <si>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</si>
  <si>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</si>
  <si>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</si>
  <si>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</si>
  <si>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</si>
  <si>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</si>
  <si>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</si>
  <si>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</si>
  <si>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</si>
  <si>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</si>
  <si>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</si>
  <si>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</si>
  <si>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</si>
  <si>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</si>
  <si>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</si>
  <si>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</si>
  <si>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</si>
  <si>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</si>
  <si>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</si>
  <si>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</si>
  <si>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</si>
  <si>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</si>
  <si>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</si>
  <si>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</si>
  <si>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</si>
  <si>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</si>
  <si>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</si>
  <si>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</si>
  <si>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</si>
  <si>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</si>
  <si>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</si>
  <si>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</si>
  <si>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</si>
  <si>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</si>
  <si>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</si>
  <si>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</si>
  <si>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</si>
  <si>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</si>
  <si>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</si>
  <si>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</si>
  <si>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</si>
  <si>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</si>
  <si>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</si>
  <si>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</si>
  <si>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</si>
  <si>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</si>
  <si>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</si>
  <si>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</si>
  <si>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</si>
  <si>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</si>
  <si>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</si>
  <si>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</si>
  <si>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</si>
  <si>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</si>
  <si>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</si>
  <si>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</si>
  <si>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</si>
  <si>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</si>
  <si>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</si>
  <si>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</si>
  <si>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</si>
  <si>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</si>
  <si>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</si>
  <si>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</si>
  <si>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</si>
  <si>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</si>
  <si>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</si>
  <si>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</si>
  <si>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</si>
  <si>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</si>
  <si>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</si>
  <si>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</si>
  <si>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</si>
  <si>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</si>
  <si>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</si>
  <si>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</si>
  <si>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</si>
  <si>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</si>
  <si>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</si>
  <si>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</si>
  <si>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</si>
  <si>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</si>
  <si>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</si>
  <si>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</si>
  <si>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</si>
  <si>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</si>
  <si>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</si>
  <si>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</si>
  <si>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</si>
  <si>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</si>
  <si>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</si>
  <si>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</si>
  <si>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</si>
  <si>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</si>
  <si>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</si>
  <si>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</si>
  <si>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</si>
  <si>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</si>
  <si>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</si>
  <si>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</si>
  <si>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</si>
  <si>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</si>
  <si>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</si>
  <si>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</si>
  <si>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</si>
  <si>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</si>
  <si>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</si>
  <si>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</si>
  <si>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</si>
  <si>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</si>
  <si>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</si>
  <si>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</si>
  <si>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</si>
  <si>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</si>
  <si>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</si>
  <si>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</si>
  <si>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</si>
  <si>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</si>
  <si>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</si>
  <si>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</si>
  <si>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</si>
  <si>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</si>
  <si>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</si>
  <si>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</si>
  <si>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</si>
  <si>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</si>
  <si>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</si>
  <si>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</si>
  <si>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</si>
  <si>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</si>
  <si>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</si>
  <si>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</si>
  <si>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</si>
  <si>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</si>
  <si>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</si>
  <si>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</si>
  <si>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</si>
  <si>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</si>
  <si>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</si>
  <si>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</si>
  <si>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</si>
  <si>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</si>
  <si>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</si>
  <si>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</si>
  <si>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</si>
  <si>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</si>
  <si>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</si>
  <si>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</si>
  <si>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</si>
  <si>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</si>
  <si>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</si>
  <si>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</si>
  <si>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</si>
  <si>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</si>
  <si>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</si>
  <si>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</si>
  <si>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</si>
  <si>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</si>
  <si>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</si>
  <si>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</si>
  <si>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</si>
  <si>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</si>
  <si>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</si>
  <si>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</si>
  <si>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</si>
  <si>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</si>
  <si>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</si>
  <si>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</si>
  <si>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</si>
  <si>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</si>
  <si>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</si>
  <si>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</si>
  <si>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</si>
  <si>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</si>
  <si>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</si>
  <si>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</si>
  <si>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</si>
  <si>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</si>
  <si>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</si>
  <si>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</si>
  <si>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</si>
  <si>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</si>
  <si>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</si>
  <si>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</si>
  <si>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</si>
  <si>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</si>
  <si>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</si>
  <si>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</si>
  <si>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</si>
  <si>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</si>
  <si>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</si>
  <si>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</si>
  <si>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</si>
  <si>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</si>
  <si>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</si>
  <si>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</si>
  <si>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</si>
  <si>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</si>
  <si>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</si>
  <si>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</si>
  <si>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</si>
  <si>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</si>
  <si>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</si>
  <si>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</si>
  <si>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</si>
  <si>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</si>
  <si>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</si>
  <si>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</si>
  <si>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</si>
  <si>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</si>
  <si>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</si>
  <si>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</si>
  <si>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</si>
  <si>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</si>
  <si>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</si>
  <si>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</si>
  <si>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</si>
  <si>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</si>
  <si>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</si>
  <si>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</si>
  <si>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</si>
  <si>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</si>
  <si>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</si>
  <si>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</si>
  <si>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</si>
  <si>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</si>
  <si>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</si>
  <si>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</si>
  <si>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</si>
  <si>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</si>
  <si>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</si>
  <si>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</si>
  <si>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</si>
  <si>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</si>
  <si>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</si>
  <si>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</si>
  <si>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</si>
  <si>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</si>
  <si>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</si>
  <si>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</si>
  <si>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</si>
  <si>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</si>
  <si>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</si>
  <si>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</si>
  <si>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</si>
  <si>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</si>
  <si>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</si>
  <si>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</si>
  <si>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</si>
  <si>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</si>
  <si>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</si>
  <si>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</si>
  <si>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</si>
  <si>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</si>
  <si>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</si>
  <si>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</si>
  <si>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</si>
  <si>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</si>
  <si>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</si>
  <si>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</si>
  <si>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</si>
  <si>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</si>
  <si>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</si>
  <si>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</si>
  <si>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</si>
  <si>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</si>
  <si>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</si>
  <si>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</si>
  <si>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</si>
  <si>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</si>
  <si>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</si>
  <si>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</si>
  <si>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</si>
  <si>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</si>
  <si>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</si>
  <si>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</si>
  <si>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</si>
  <si>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</si>
  <si>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</si>
  <si>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</si>
  <si>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</si>
  <si>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</si>
  <si>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</si>
  <si>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</si>
  <si>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</si>
  <si>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</si>
  <si>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</si>
  <si>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</si>
  <si>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</si>
  <si>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</si>
  <si>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</si>
  <si>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</si>
  <si>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</si>
  <si>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</si>
  <si>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</si>
  <si>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</si>
  <si>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</si>
  <si>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</si>
  <si>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</si>
  <si>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</si>
  <si>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</si>
  <si>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</si>
  <si>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</si>
  <si>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</si>
  <si>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</si>
  <si>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</si>
  <si>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</si>
  <si>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</si>
  <si>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</si>
  <si>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</si>
  <si>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</si>
  <si>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</si>
  <si>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</si>
  <si>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</si>
  <si>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</si>
  <si>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</si>
  <si>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</si>
  <si>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</si>
  <si>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</si>
  <si>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</si>
  <si>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</si>
  <si>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</si>
  <si>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</si>
  <si>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</si>
  <si>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</si>
  <si>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</si>
  <si>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</si>
  <si>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</si>
  <si>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</si>
  <si>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</si>
  <si>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</si>
  <si>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</si>
  <si>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</si>
  <si>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</si>
  <si>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</si>
  <si>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</si>
  <si>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</si>
  <si>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</si>
  <si>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</si>
  <si>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</si>
  <si>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</si>
  <si>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</si>
  <si>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</si>
  <si>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</si>
  <si>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</si>
  <si>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</si>
  <si>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</si>
  <si>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</si>
  <si>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</si>
  <si>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</si>
  <si>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</si>
  <si>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</si>
  <si>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</si>
  <si>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</si>
  <si>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</si>
  <si>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</si>
  <si>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</si>
  <si>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</si>
  <si>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</si>
  <si>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</si>
  <si>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</si>
  <si>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</si>
  <si>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</si>
  <si>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</si>
  <si>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</si>
  <si>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</si>
  <si>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</si>
  <si>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</si>
  <si>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</si>
  <si>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</si>
  <si>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</si>
  <si>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</si>
  <si>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</si>
  <si>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</si>
  <si>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</si>
  <si>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</si>
  <si>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</si>
  <si>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</si>
  <si>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</si>
  <si>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</si>
  <si>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</si>
  <si>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</si>
  <si>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</si>
  <si>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</si>
  <si>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</si>
  <si>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</si>
  <si>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</si>
  <si>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</si>
  <si>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</si>
  <si>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</si>
  <si>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</si>
  <si>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</si>
  <si>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</si>
  <si>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</si>
  <si>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</si>
  <si>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</si>
  <si>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</si>
  <si>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</si>
  <si>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</si>
  <si>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</si>
  <si>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</si>
  <si>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</si>
  <si>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</si>
  <si>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</si>
  <si>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</si>
  <si>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</si>
  <si>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</si>
  <si>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</si>
  <si>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</si>
  <si>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</si>
  <si>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</si>
  <si>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</si>
  <si>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</si>
  <si>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</si>
  <si>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</si>
  <si>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</si>
  <si>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</si>
  <si>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</si>
  <si>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</si>
  <si>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</si>
  <si>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</si>
  <si>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</si>
  <si>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</si>
  <si>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</si>
  <si>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</si>
  <si>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</si>
  <si>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</si>
  <si>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</si>
  <si>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</si>
  <si>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</si>
  <si>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</si>
  <si>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</si>
  <si>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</si>
  <si>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</si>
  <si>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</si>
  <si>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</si>
  <si>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</si>
  <si>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</si>
  <si>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</si>
  <si>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</si>
  <si>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</si>
  <si>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</si>
  <si>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</si>
  <si>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</si>
  <si>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</si>
  <si>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</si>
  <si>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</si>
  <si>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</si>
  <si>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</si>
  <si>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</si>
  <si>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</si>
  <si>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</si>
  <si>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</si>
  <si>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</si>
  <si>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</si>
  <si>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</si>
  <si>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</si>
  <si>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</si>
  <si>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</si>
  <si>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</si>
  <si>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</si>
  <si>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</si>
  <si>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</si>
  <si>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</si>
  <si>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</si>
  <si>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</si>
  <si>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</si>
  <si>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</si>
  <si>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</si>
  <si>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</si>
  <si>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</si>
  <si>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</si>
  <si>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</si>
  <si>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</si>
  <si>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</si>
  <si>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</si>
  <si>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</si>
  <si>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</si>
  <si>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</si>
  <si>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</si>
  <si>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</si>
  <si>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</si>
  <si>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</si>
  <si>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</si>
  <si>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</si>
  <si>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</si>
  <si>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</si>
  <si>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</si>
  <si>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</si>
  <si>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</si>
  <si>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</si>
  <si>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</si>
  <si>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</si>
  <si>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</si>
  <si>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</si>
  <si>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</si>
  <si>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</si>
  <si>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</si>
  <si>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</si>
  <si>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</si>
  <si>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</si>
  <si>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</si>
  <si>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</si>
  <si>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</si>
  <si>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</si>
  <si>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</si>
  <si>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</si>
  <si>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</si>
  <si>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</si>
  <si>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</si>
  <si>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</si>
  <si>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</si>
  <si>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</si>
  <si>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</si>
  <si>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</si>
  <si>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</si>
  <si>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</si>
  <si>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</si>
  <si>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</si>
  <si>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</si>
  <si>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</si>
  <si>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</si>
  <si>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</si>
  <si>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</si>
  <si>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</si>
  <si>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</si>
  <si>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</si>
  <si>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</si>
  <si>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</si>
  <si>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</si>
  <si>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</si>
  <si>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</si>
  <si>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</si>
  <si>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</si>
  <si>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</si>
  <si>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</si>
  <si>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</si>
  <si>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</si>
  <si>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</si>
  <si>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</si>
  <si>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</si>
  <si>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</si>
  <si>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</si>
  <si>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</si>
  <si>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</si>
  <si>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</si>
  <si>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</si>
  <si>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</si>
  <si>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</si>
  <si>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</si>
  <si>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</si>
  <si>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</si>
  <si>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</si>
  <si>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</si>
  <si>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</si>
  <si>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</si>
  <si>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</si>
  <si>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</si>
  <si>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</si>
  <si>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</si>
  <si>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</si>
  <si>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</si>
  <si>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</si>
  <si>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</si>
  <si>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</si>
  <si>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</si>
  <si>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</si>
  <si>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</si>
  <si>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</si>
  <si>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</si>
  <si>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</si>
  <si>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</si>
  <si>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</si>
  <si>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</si>
  <si>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</si>
  <si>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</si>
  <si>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</si>
  <si>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</si>
  <si>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</si>
  <si>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</si>
  <si>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</si>
  <si>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</si>
  <si>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</si>
  <si>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</si>
  <si>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</si>
  <si>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</si>
  <si>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</si>
  <si>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</si>
  <si>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</si>
  <si>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</si>
  <si>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</si>
  <si>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</si>
  <si>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</si>
  <si>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</si>
  <si>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</si>
  <si>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</si>
  <si>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</si>
  <si>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</si>
  <si>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</si>
  <si>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</si>
  <si>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</si>
  <si>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</si>
  <si>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</si>
  <si>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</si>
  <si>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</si>
  <si>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</si>
  <si>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</si>
  <si>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</si>
  <si>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</si>
  <si>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</si>
  <si>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</si>
  <si>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</si>
  <si>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</si>
  <si>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</si>
  <si>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</si>
  <si>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</si>
  <si>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</si>
  <si>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</si>
  <si>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</si>
  <si>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</si>
  <si>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</si>
  <si>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</si>
  <si>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</si>
  <si>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</si>
  <si>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</si>
  <si>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</si>
  <si>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</si>
  <si>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</si>
  <si>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</si>
  <si>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</si>
  <si>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</si>
  <si>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</si>
  <si>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</si>
  <si>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</si>
  <si>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</si>
  <si>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</si>
  <si>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</si>
  <si>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</si>
  <si>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</si>
  <si>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</si>
  <si>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</si>
  <si>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</si>
  <si>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</si>
  <si>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</si>
  <si>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</si>
  <si>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</si>
  <si>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</si>
  <si>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</si>
  <si>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</si>
  <si>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</si>
  <si>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</si>
  <si>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</si>
  <si>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</si>
  <si>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</si>
  <si>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</si>
  <si>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</si>
  <si>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</si>
  <si>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</si>
  <si>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</si>
  <si>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</si>
  <si>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</si>
  <si>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</si>
  <si>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</si>
  <si>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</si>
  <si>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</si>
  <si>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</si>
  <si>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</si>
  <si>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</si>
  <si>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</si>
  <si>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</si>
  <si>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</si>
  <si>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</si>
  <si>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</si>
  <si>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</si>
  <si>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</si>
  <si>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</si>
  <si>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</si>
  <si>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</si>
  <si>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</si>
  <si>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</si>
  <si>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</si>
  <si>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</si>
  <si>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</si>
  <si>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</si>
  <si>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</si>
  <si>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</si>
  <si>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</si>
  <si>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</si>
  <si>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</si>
  <si>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</si>
  <si>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</si>
  <si>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</si>
  <si>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</si>
  <si>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</si>
  <si>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</si>
  <si>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</si>
  <si>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</si>
  <si>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</si>
  <si>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</si>
  <si>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</si>
  <si>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</si>
  <si>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</si>
  <si>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</si>
  <si>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</si>
  <si>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</si>
  <si>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</si>
  <si>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</si>
  <si>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</si>
  <si>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</si>
  <si>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</si>
  <si>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</si>
  <si>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</si>
  <si>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</si>
  <si>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</si>
  <si>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</si>
  <si>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</si>
  <si>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</si>
  <si>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</si>
  <si>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</si>
  <si>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</si>
  <si>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</si>
  <si>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</si>
  <si>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</si>
  <si>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</si>
  <si>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</si>
  <si>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</si>
  <si>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</si>
  <si>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</si>
  <si>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</si>
  <si>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</si>
  <si>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</si>
  <si>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</si>
  <si>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</si>
  <si>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</si>
  <si>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</si>
  <si>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</si>
  <si>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</si>
  <si>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</si>
  <si>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</si>
  <si>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</si>
  <si>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</si>
  <si>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</si>
  <si>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</si>
  <si>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</si>
  <si>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</si>
  <si>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</si>
  <si>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</si>
  <si>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</si>
  <si>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</si>
  <si>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</si>
  <si>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</si>
  <si>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</si>
  <si>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</si>
  <si>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</si>
  <si>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</si>
  <si>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</si>
  <si>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</si>
  <si>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</si>
  <si>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</si>
  <si>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</si>
  <si>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</si>
  <si>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</si>
  <si>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</si>
  <si>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</si>
  <si>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</si>
  <si>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</si>
  <si>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</si>
  <si>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</si>
  <si>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</si>
  <si>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</si>
  <si>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</si>
  <si>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</si>
  <si>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</si>
  <si>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</si>
  <si>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</si>
  <si>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</si>
  <si>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</si>
  <si>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</si>
  <si>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</si>
  <si>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</si>
  <si>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</si>
  <si>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</si>
  <si>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</si>
  <si>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</si>
  <si>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</si>
  <si>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</si>
  <si>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</si>
  <si>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</si>
  <si>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</si>
  <si>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</si>
  <si>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</si>
  <si>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</si>
  <si>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</si>
  <si>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</si>
  <si>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</si>
  <si>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</si>
  <si>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</si>
  <si>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</si>
  <si>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</si>
  <si>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</si>
  <si>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</si>
  <si>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</si>
  <si>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</si>
  <si>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</si>
  <si>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</si>
  <si>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</si>
  <si>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</si>
  <si>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</si>
  <si>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</si>
  <si>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</si>
  <si>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</si>
  <si>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</si>
  <si>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</si>
  <si>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</si>
  <si>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</si>
  <si>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</si>
  <si>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</si>
  <si>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</si>
  <si>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</si>
  <si>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</si>
  <si>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</si>
  <si>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</si>
  <si>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</si>
  <si>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</si>
  <si>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</si>
  <si>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</si>
  <si>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</si>
  <si>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</si>
  <si>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</si>
  <si>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</si>
  <si>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</si>
  <si>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</si>
  <si>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</si>
  <si>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</si>
  <si>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</si>
  <si>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</si>
  <si>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</si>
  <si>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</si>
  <si>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</si>
  <si>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</si>
  <si>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</si>
  <si>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</si>
  <si>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</si>
  <si>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</si>
  <si>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</si>
  <si>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</si>
  <si>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</si>
  <si>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</si>
  <si>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</si>
  <si>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</si>
  <si>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</si>
  <si>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</si>
  <si>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</si>
  <si>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</si>
  <si>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</si>
  <si>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</si>
  <si>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</si>
  <si>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</si>
  <si>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</si>
  <si>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</si>
  <si>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</si>
  <si>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</si>
  <si>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</si>
  <si>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</si>
  <si>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</si>
  <si>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</si>
  <si>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</si>
  <si>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</si>
  <si>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</si>
  <si>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</si>
  <si>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</si>
  <si>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</si>
  <si>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</si>
  <si>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</si>
  <si>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</si>
  <si>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</si>
  <si>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</si>
  <si>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</si>
  <si>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</si>
  <si>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</si>
  <si>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</si>
  <si>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</si>
  <si>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</si>
  <si>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</si>
  <si>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</si>
  <si>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</si>
  <si>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</si>
  <si>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</si>
  <si>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</si>
  <si>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</si>
  <si>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</si>
  <si>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</si>
  <si>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</si>
  <si>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</si>
  <si>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</si>
  <si>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</si>
  <si>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</si>
  <si>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</si>
  <si>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</si>
  <si>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</si>
  <si>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</si>
  <si>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</si>
  <si>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</si>
  <si>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</si>
  <si>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</si>
  <si>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</si>
  <si>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</si>
  <si>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</si>
  <si>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</si>
  <si>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</si>
  <si>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</si>
  <si>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</si>
  <si>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</si>
  <si>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</si>
  <si>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</si>
  <si>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</si>
  <si>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</si>
  <si>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</si>
  <si>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</si>
  <si>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</si>
  <si>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</si>
  <si>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</si>
  <si>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</si>
  <si>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</si>
  <si>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</si>
  <si>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</si>
  <si>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</si>
  <si>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</si>
  <si>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</si>
  <si>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</si>
  <si>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</si>
  <si>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</si>
  <si>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</si>
  <si>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</si>
  <si>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</si>
  <si>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</si>
  <si>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</si>
  <si>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</si>
  <si>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</si>
  <si>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</si>
  <si>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</si>
  <si>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</si>
  <si>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</si>
  <si>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</si>
  <si>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</si>
  <si>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</si>
  <si>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</si>
  <si>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</si>
  <si>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</si>
  <si>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</si>
  <si>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</si>
  <si>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</si>
  <si>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</si>
  <si>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</si>
  <si>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</si>
  <si>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</si>
  <si>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</si>
  <si>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</si>
  <si>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</si>
  <si>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</si>
  <si>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</si>
  <si>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</si>
  <si>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</si>
  <si>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</si>
  <si>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</si>
  <si>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</si>
  <si>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</si>
  <si>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</si>
  <si>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</si>
  <si>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</si>
  <si>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</si>
  <si>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</si>
  <si>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</si>
  <si>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</si>
  <si>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</si>
  <si>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</si>
  <si>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</si>
  <si>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</si>
  <si>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</si>
  <si>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</si>
  <si>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</si>
  <si>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</si>
  <si>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</si>
  <si>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</si>
  <si>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</si>
  <si>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</si>
  <si>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</si>
  <si>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</si>
  <si>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</si>
  <si>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</si>
  <si>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</si>
  <si>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</si>
  <si>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</si>
  <si>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</si>
  <si>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</si>
  <si>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</si>
  <si>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</si>
  <si>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</si>
  <si>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</si>
  <si>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</si>
  <si>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</si>
  <si>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</si>
  <si>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</si>
  <si>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</si>
  <si>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</si>
  <si>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</si>
  <si>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</si>
  <si>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</si>
  <si>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</si>
  <si>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</si>
  <si>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</si>
  <si>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</si>
  <si>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</si>
  <si>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</si>
  <si>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</si>
  <si>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</si>
  <si>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</si>
  <si>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</si>
  <si>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</si>
  <si>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</si>
  <si>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</si>
  <si>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</si>
  <si>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</si>
  <si>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</si>
  <si>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</si>
  <si>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</si>
  <si>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</si>
  <si>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</si>
  <si>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</si>
  <si>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</si>
  <si>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</si>
  <si>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</si>
  <si>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</si>
  <si>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</si>
  <si>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</si>
  <si>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</si>
  <si>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</si>
  <si>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</si>
  <si>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</si>
  <si>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</si>
  <si>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</si>
  <si>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</si>
  <si>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</si>
  <si>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</si>
  <si>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</si>
  <si>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</si>
  <si>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</si>
  <si>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</si>
  <si>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</si>
  <si>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</si>
  <si>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</si>
  <si>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</si>
  <si>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</si>
  <si>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</si>
  <si>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</si>
  <si>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</si>
  <si>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</si>
  <si>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</si>
  <si>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</si>
  <si>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</si>
  <si>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</si>
  <si>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</si>
  <si>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</si>
  <si>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</si>
  <si>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</si>
  <si>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</si>
  <si>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</si>
  <si>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</si>
  <si>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</si>
  <si>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</si>
  <si>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</si>
  <si>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</si>
  <si>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</si>
  <si>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</si>
  <si>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</si>
  <si>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</si>
  <si>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</si>
  <si>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</si>
  <si>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</si>
  <si>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</si>
  <si>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</si>
  <si>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</si>
  <si>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</si>
  <si>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</si>
  <si>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</si>
  <si>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</si>
  <si>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</si>
  <si>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</si>
  <si>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</si>
  <si>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</si>
  <si>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</si>
  <si>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</si>
  <si>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</si>
  <si>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</si>
  <si>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</si>
  <si>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</si>
  <si>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</si>
  <si>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</si>
  <si>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</si>
  <si>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</si>
  <si>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</si>
  <si>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</si>
  <si>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</si>
  <si>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</si>
  <si>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</si>
  <si>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</si>
  <si>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</si>
  <si>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</si>
  <si>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</si>
  <si>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</si>
  <si>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</si>
  <si>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</si>
  <si>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</si>
  <si>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</si>
  <si>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</si>
  <si>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</si>
  <si>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</si>
  <si>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</si>
  <si>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</si>
  <si>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</si>
  <si>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</si>
  <si>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</si>
  <si>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</si>
  <si>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</si>
  <si>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</si>
  <si>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</si>
  <si>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</si>
  <si>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</si>
  <si>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</si>
  <si>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</si>
  <si>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</si>
  <si>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</si>
  <si>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</si>
  <si>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</si>
  <si>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</si>
  <si>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</si>
  <si>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</si>
  <si>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</si>
  <si>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</si>
  <si>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</si>
  <si>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</si>
  <si>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</si>
  <si>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</si>
  <si>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</si>
  <si>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</si>
  <si>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</si>
  <si>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</si>
  <si>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</si>
  <si>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</si>
  <si>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</si>
  <si>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</si>
  <si>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</si>
  <si>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</si>
  <si>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</si>
  <si>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</si>
  <si>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</si>
  <si>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</si>
  <si>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</si>
  <si>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</si>
  <si>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</si>
  <si>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</si>
  <si>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</si>
  <si>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</si>
  <si>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</si>
  <si>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</si>
  <si>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</si>
  <si>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</si>
  <si>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</si>
  <si>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</si>
  <si>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</si>
  <si>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</si>
  <si>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</si>
  <si>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</si>
  <si>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</si>
  <si>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</si>
  <si>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</si>
  <si>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</si>
  <si>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</si>
  <si>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</si>
  <si>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</si>
  <si>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</si>
  <si>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</si>
  <si>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</si>
  <si>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</si>
  <si>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</si>
  <si>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</si>
  <si>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</si>
  <si>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</si>
  <si>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</si>
  <si>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</si>
  <si>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</si>
  <si>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</si>
  <si>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</si>
  <si>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</si>
  <si>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</si>
  <si>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</si>
  <si>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</si>
  <si>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</si>
  <si>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</si>
  <si>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</si>
  <si>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</si>
  <si>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</si>
  <si>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</si>
  <si>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</si>
  <si>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</si>
  <si>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</si>
  <si>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</si>
  <si>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</si>
  <si>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</si>
  <si>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</si>
  <si>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</si>
  <si>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</si>
  <si>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</si>
  <si>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</si>
  <si>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</si>
  <si>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</si>
  <si>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</si>
  <si>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</si>
  <si>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</si>
  <si>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</si>
  <si>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</si>
  <si>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</si>
  <si>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</si>
  <si>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</si>
  <si>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</si>
  <si>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</si>
  <si>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</si>
  <si>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</si>
  <si>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</si>
  <si>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</si>
  <si>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</si>
  <si>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</si>
  <si>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</si>
  <si>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</si>
  <si>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</si>
  <si>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</si>
  <si>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</si>
  <si>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</si>
  <si>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</si>
  <si>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</si>
  <si>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</si>
  <si>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</si>
  <si>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</si>
  <si>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</si>
  <si>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</si>
  <si>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</si>
  <si>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</si>
  <si>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</si>
  <si>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</si>
  <si>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</si>
  <si>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</si>
  <si>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</si>
  <si>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</si>
  <si>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</si>
  <si>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</si>
  <si>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</si>
  <si>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</si>
  <si>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</si>
  <si>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</si>
  <si>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</si>
  <si>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</si>
  <si>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</si>
  <si>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</si>
  <si>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</si>
  <si>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</si>
  <si>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</si>
  <si>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</si>
  <si>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</si>
  <si>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</si>
  <si>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</si>
  <si>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</si>
  <si>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</si>
  <si>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</si>
  <si>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</si>
  <si>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</si>
  <si>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</si>
  <si>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</si>
  <si>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</si>
  <si>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</si>
  <si>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</si>
  <si>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</si>
  <si>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</si>
  <si>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</si>
  <si>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</si>
  <si>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</si>
  <si>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</si>
  <si>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</si>
  <si>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</si>
  <si>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</si>
  <si>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</si>
  <si>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</si>
  <si>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</si>
  <si>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</si>
  <si>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</si>
  <si>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</si>
  <si>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</si>
  <si>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</si>
  <si>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</si>
  <si>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</si>
  <si>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</si>
  <si>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</si>
  <si>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</si>
  <si>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</si>
  <si>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</si>
  <si>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</si>
  <si>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</si>
  <si>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</si>
  <si>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</si>
  <si>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</si>
  <si>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</si>
  <si>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</si>
  <si>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</si>
  <si>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</si>
  <si>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</si>
  <si>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</si>
  <si>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</si>
  <si>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</si>
  <si>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</si>
  <si>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</si>
  <si>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</si>
  <si>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</si>
  <si>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</si>
  <si>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</si>
  <si>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</si>
  <si>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</si>
  <si>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</si>
  <si>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房地产抵押价值</t>
  </si>
  <si>
    <t>北京市</t>
  </si>
  <si>
    <t>企业</t>
  </si>
  <si>
    <t>出让</t>
  </si>
  <si>
    <t>自定义容积率</t>
  </si>
  <si>
    <t>不临65条商业街</t>
  </si>
  <si>
    <t>与级别开发程度不一致</t>
  </si>
  <si>
    <t>通路</t>
  </si>
  <si>
    <t>通讯</t>
  </si>
  <si>
    <t>通电</t>
  </si>
  <si>
    <t>通上水</t>
  </si>
  <si>
    <t>通下水</t>
  </si>
  <si>
    <t>平整</t>
  </si>
  <si>
    <t>容积率修正</t>
  </si>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</sst>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80;&#37329;&#31185;&#24055;&#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D3">
            <v>44728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2022年6月16日</v>
      </c>
    </row>
    <row r="13" spans="1:2" s="1157" customFormat="1">
      <c r="A13" s="1155" t="s">
        <v>766</v>
      </c>
      <c r="B13" s="1156"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50" sqref="H50"/>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北京市房地产抵押价值预评估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c r="C3" s="2051" t="s">
        <v>2458</v>
      </c>
      <c r="D3" s="2050">
        <f>[2]项目基本情况!$D$3</f>
        <v>44728</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2" t="s">
        <v>2464</v>
      </c>
      <c r="E8" s="2068"/>
      <c r="F8" s="2069"/>
      <c r="G8" s="2343"/>
      <c r="H8" s="2343"/>
      <c r="I8" s="2343"/>
      <c r="J8" s="2118"/>
      <c r="K8" s="2293"/>
      <c r="L8" s="2292"/>
      <c r="M8" s="2292"/>
      <c r="N8" s="2118"/>
      <c r="O8" s="2129"/>
      <c r="P8" s="2118"/>
      <c r="Q8" s="2118"/>
      <c r="R8" s="2118"/>
    </row>
    <row r="9" spans="1:28" ht="13.5" thickBot="1">
      <c r="A9" s="2070" t="s">
        <v>2465</v>
      </c>
      <c r="B9" s="2071" t="s">
        <v>3110</v>
      </c>
      <c r="C9" s="2072"/>
      <c r="D9" s="3383"/>
      <c r="E9" s="2071"/>
      <c r="F9" s="2073"/>
      <c r="G9" s="2345"/>
      <c r="H9" s="2345"/>
      <c r="I9" s="2345"/>
      <c r="J9" s="2118"/>
      <c r="K9" s="2295"/>
      <c r="L9" s="2292"/>
      <c r="M9" s="2292"/>
      <c r="N9" s="2118"/>
      <c r="O9" s="2129"/>
      <c r="P9" s="2118"/>
      <c r="Q9" s="2118"/>
      <c r="R9" s="2118"/>
    </row>
    <row r="10" spans="1:28" ht="13.5" thickTop="1">
      <c r="A10" s="2074" t="s">
        <v>2466</v>
      </c>
      <c r="B10" s="2075" t="s">
        <v>3111</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3112</v>
      </c>
      <c r="C11" s="2080"/>
      <c r="D11" s="2081"/>
      <c r="E11" s="2047"/>
      <c r="F11" s="2047"/>
      <c r="G11" s="2047"/>
      <c r="H11" s="2047"/>
      <c r="I11" s="2047"/>
      <c r="J11" s="2118"/>
      <c r="K11" s="2295"/>
      <c r="L11" s="2292"/>
      <c r="M11" s="2292"/>
      <c r="N11" s="2118"/>
      <c r="O11" s="2129"/>
      <c r="P11" s="2118"/>
      <c r="Q11" s="2118"/>
      <c r="R11" s="2118"/>
    </row>
    <row r="12" spans="1:28">
      <c r="A12" s="2082" t="s">
        <v>2469</v>
      </c>
      <c r="B12" s="2079" t="s">
        <v>3113</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v>53508</v>
      </c>
      <c r="J13" s="2118"/>
      <c r="K13" s="2295"/>
      <c r="L13" s="2292"/>
      <c r="M13" s="2292"/>
      <c r="N13" s="2118"/>
      <c r="O13" s="2129"/>
      <c r="P13" s="2118"/>
      <c r="Q13" s="2118"/>
      <c r="R13" s="2118"/>
    </row>
    <row r="14" spans="1:28">
      <c r="A14" s="1046"/>
      <c r="B14" s="2084"/>
      <c r="C14" s="2085" t="s">
        <v>2478</v>
      </c>
      <c r="D14" s="2086"/>
      <c r="E14" s="2086"/>
      <c r="F14" s="2086"/>
      <c r="G14" s="2086"/>
      <c r="H14" s="2086"/>
      <c r="I14" s="2086">
        <v>50</v>
      </c>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f>IF(B12="出让",IF(I13="","",ROUNDDOWN(MIN((I13-$D$3)/365,I14),2)),I14)</f>
        <v>24.05</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c r="E37" s="2110" t="s">
        <v>56</v>
      </c>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c r="E38" s="2111" t="s">
        <v>2959</v>
      </c>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44728</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44728</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北京市房地产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44728</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45"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4.75">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4.75">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75"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5"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2.75">
      <c r="A62" s="3475" t="s">
        <v>1624</v>
      </c>
      <c r="B62" s="3476"/>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北京市房地产抵押价值预评估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15"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15"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44728</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44728</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2022年6月16日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44728</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44728</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70" zoomScaleNormal="80" zoomScaleSheetLayoutView="70" workbookViewId="0">
      <selection activeCell="F89" sqref="F89"/>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2852</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446</v>
      </c>
      <c r="C2" s="3138" t="s">
        <v>2197</v>
      </c>
      <c r="D2" s="2695" t="s">
        <v>2198</v>
      </c>
      <c r="E2" s="3139" t="s">
        <v>6</v>
      </c>
      <c r="F2" s="2695" t="s">
        <v>2199</v>
      </c>
      <c r="G2" s="2695" t="str">
        <f>IF(E2="商业",项目基本情况!B37,IF(E2="办公",项目基本情况!C37,IF(E2="住宅",项目基本情况!D37,IF(E2="工业",项目基本情况!E37,项目基本情况!F37))))</f>
        <v>六级</v>
      </c>
      <c r="H2" s="2695" t="s">
        <v>2200</v>
      </c>
      <c r="I2" s="2695" t="str">
        <f>IF(E2="商业",项目基本情况!B38,IF(E2="办公",项目基本情况!C38,IF(E2="住宅",项目基本情况!D38,IF(E2="工业",项目基本情况!E38,项目基本情况!F38))))</f>
        <v>Ⅵ-兴3</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2348</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1564</v>
      </c>
      <c r="C3" s="3138" t="s">
        <v>2203</v>
      </c>
      <c r="D3" s="2695" t="s">
        <v>2204</v>
      </c>
      <c r="E3" s="3139" t="s">
        <v>2891</v>
      </c>
      <c r="F3" s="1935" t="s">
        <v>3114</v>
      </c>
      <c r="G3" s="3144">
        <v>1.2</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1851</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36"/>
      <c r="B4" s="3637"/>
      <c r="C4" s="3637"/>
      <c r="D4" s="3638"/>
      <c r="E4" s="3638"/>
      <c r="F4" s="3638"/>
      <c r="G4" s="3638"/>
      <c r="H4" s="3638"/>
      <c r="I4" s="3638"/>
      <c r="J4" s="363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1564</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1935</v>
      </c>
      <c r="D5" s="3147">
        <f>ROUND(C6+C20,0)</f>
        <v>1935</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1380</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2010</v>
      </c>
      <c r="D6" s="3158" t="s">
        <v>2213</v>
      </c>
      <c r="E6" s="2699"/>
      <c r="F6" s="2699"/>
      <c r="G6" s="3159"/>
      <c r="H6" s="3159"/>
      <c r="I6" s="3159"/>
      <c r="J6" s="3160"/>
      <c r="K6" s="1340"/>
      <c r="L6" s="3141" t="s">
        <v>2214</v>
      </c>
      <c r="M6" s="3142">
        <f>SUMPRODUCT((区片价!B127:B189=I2)*(区片价!C3:G3=E2)*(区片价!C127:G189))</f>
        <v>2010</v>
      </c>
      <c r="N6" s="2254">
        <f>SUMPRODUCT((因素修正幅度!B127:B189=I2)*(因素修正幅度!C3:G3=E2)*(因素修正幅度!C127:G189))</f>
        <v>0.121</v>
      </c>
      <c r="O6" s="1939"/>
      <c r="P6" s="1939"/>
      <c r="Q6" s="1939"/>
      <c r="R6" s="3133">
        <v>5</v>
      </c>
      <c r="S6" s="3133">
        <f>ROUND(SUMPRODUCT((B107:B111=R6)*(C106:N106=G2)*(C107:N111)),4)</f>
        <v>0.84799999999999998</v>
      </c>
      <c r="T6" s="3133">
        <f t="shared" si="0"/>
        <v>1326</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六级</v>
      </c>
      <c r="Y7" s="3167" t="s">
        <v>2219</v>
      </c>
      <c r="Z7" s="3168">
        <f>G3</f>
        <v>1.2</v>
      </c>
      <c r="AA7" s="3134"/>
      <c r="AB7" s="3134"/>
      <c r="AC7" s="3134"/>
      <c r="AD7" s="3135"/>
      <c r="AE7" s="3135"/>
      <c r="AF7" s="3135"/>
      <c r="AG7" s="3135"/>
      <c r="AH7" s="3135"/>
      <c r="AI7" s="3135"/>
      <c r="AJ7" s="3136"/>
    </row>
    <row r="8" spans="1:36" ht="25.5">
      <c r="A8" s="3169"/>
      <c r="B8" s="174" t="s">
        <v>2220</v>
      </c>
      <c r="C8" s="3170" t="s">
        <v>3115</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-75</v>
      </c>
      <c r="D20" s="3640" t="s">
        <v>2262</v>
      </c>
      <c r="E20" s="3641"/>
      <c r="F20" s="3640" t="s">
        <v>2259</v>
      </c>
      <c r="G20" s="3641"/>
      <c r="H20" s="3227" t="s">
        <v>3117</v>
      </c>
      <c r="I20" s="3227" t="s">
        <v>3119</v>
      </c>
      <c r="J20" s="3228" t="s">
        <v>3118</v>
      </c>
      <c r="K20" s="3229" t="s">
        <v>3120</v>
      </c>
      <c r="L20" s="3229" t="s">
        <v>3121</v>
      </c>
      <c r="M20" s="3229" t="s">
        <v>3122</v>
      </c>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1.2</v>
      </c>
      <c r="D21" s="2259" t="str">
        <f>IF(OR(G2="八级",G2="九级",G2="十级",G2="十一级",G2="十二级"),"五通一平","七通一平")</f>
        <v>七通一平</v>
      </c>
      <c r="E21" s="3232">
        <f>SUMPRODUCT((修正!B1:M1=G2)*(修正!B17:M17))</f>
        <v>315</v>
      </c>
      <c r="F21" s="3233" t="s">
        <v>3116</v>
      </c>
      <c r="G21" s="2717">
        <f>SUM(H21:O21)</f>
        <v>225</v>
      </c>
      <c r="H21" s="3231">
        <f>SUMPRODUCT((七通一平=H20)*(修正!B1:M1=G2)*(修正!B8:M16))</f>
        <v>70</v>
      </c>
      <c r="I21" s="3231">
        <f>SUMPRODUCT((七通一平=I20)*(修正!B1:M1=G2)*(修正!B8:M16))</f>
        <v>60</v>
      </c>
      <c r="J21" s="3234">
        <f>SUMPRODUCT((七通一平=J20)*(修正!B1:M1=G2)*(修正!B8:M16))</f>
        <v>15</v>
      </c>
      <c r="K21" s="3231">
        <f>SUMPRODUCT((七通一平=K20)*(修正!B1:M1=G2)*(修正!B8:M16))</f>
        <v>25</v>
      </c>
      <c r="L21" s="3231">
        <f>SUMPRODUCT((七通一平=L20)*(修正!B1:M1=G2)*(修正!B8:M16))</f>
        <v>40</v>
      </c>
      <c r="M21" s="3231">
        <f>SUMPRODUCT((七通一平=M20)*(修正!B1:M1=G2)*(修正!B8:M16))</f>
        <v>15</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1.0270999999999999</v>
      </c>
      <c r="D23" s="3242" t="s">
        <v>2266</v>
      </c>
      <c r="E23" s="3243">
        <v>44197</v>
      </c>
      <c r="F23" s="3242" t="s">
        <v>2267</v>
      </c>
      <c r="G23" s="3244">
        <f>项目基本情况!D3</f>
        <v>44728</v>
      </c>
      <c r="H23" s="3245" t="s">
        <v>3101</v>
      </c>
      <c r="I23" s="3246" t="str">
        <f>IF(H23="季度增幅（自定义）",SUMIF(N25:N28,E2,O25:O28),"")</f>
        <v/>
      </c>
      <c r="J23" s="3247"/>
      <c r="K23" s="3218"/>
      <c r="L23" s="3248" t="s">
        <v>2268</v>
      </c>
      <c r="M23" s="3249">
        <f>ROUND(SUMIF(地价!B2:G2,E2,地价!B13:G13),0)</f>
        <v>329</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0.75670000000000004</v>
      </c>
      <c r="D24" s="3252" t="s">
        <v>2271</v>
      </c>
      <c r="E24" s="3253">
        <f>存贷款利率!E20/100</f>
        <v>4.3499999999999997E-2</v>
      </c>
      <c r="F24" s="3252" t="s">
        <v>2263</v>
      </c>
      <c r="G24" s="3254">
        <f>SUMIF(M30:Q30,E2,M33:Q33)</f>
        <v>0.05</v>
      </c>
      <c r="H24" s="3252" t="s">
        <v>2272</v>
      </c>
      <c r="I24" s="3255">
        <f>项目基本情况!I15</f>
        <v>24.05</v>
      </c>
      <c r="J24" s="3256">
        <f>IF(E2="住宅",70,IF(E2="商业",40,50))</f>
        <v>50</v>
      </c>
      <c r="K24" s="3218"/>
      <c r="L24" s="3257" t="s">
        <v>2273</v>
      </c>
      <c r="M24" s="3258">
        <f>ROUND(SUMPRODUCT((地价!A4:A13=YEAR(G23)&amp;"-"&amp;ROUNDUP(MONTH(G23)/3,0))*(地价!B2:G2=E2)*(地价!B4:G13)),0)</f>
        <v>338</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3123</v>
      </c>
      <c r="C25" s="3262">
        <f>IF(B25="容积率修正",IF(G3&lt;10,D26,J26),C27)</f>
        <v>1</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v>
      </c>
      <c r="E26" s="3269">
        <f>ROUNDDOWN(G3,1)</f>
        <v>1.2</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69">
        <f>ROUNDUP(G3,1)</f>
        <v>1.2</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1.0397000000000001</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446</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1564</v>
      </c>
      <c r="D33" s="3309">
        <v>2852</v>
      </c>
      <c r="E33" s="3047">
        <f>ROUND(C33*D33/10000,0)</f>
        <v>446</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235</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8"/>
      <c r="B37" s="2959" t="s">
        <v>2300</v>
      </c>
      <c r="C37" s="178">
        <f>ROUND(C5*C22*C23*C24*C28*F37,0)</f>
        <v>938</v>
      </c>
      <c r="D37" s="3309"/>
      <c r="E37" s="174">
        <f>ROUND(C37*D37/10000,0)</f>
        <v>0</v>
      </c>
      <c r="F37" s="174">
        <f>SUMIF(修正!A57:A68,G2,修正!B57:B68)</f>
        <v>0.6</v>
      </c>
      <c r="G37" s="174">
        <f>ROUND(IF(E2="工业",C37*$M$42,C37*$M$41),0)</f>
        <v>141</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469</v>
      </c>
      <c r="D38" s="3309"/>
      <c r="E38" s="174">
        <f t="shared" ref="E38:E42" si="4">ROUND(C38*D38/10000,0)</f>
        <v>0</v>
      </c>
      <c r="F38" s="174">
        <f>SUMIF(修正!A57:A68,G2,修正!C57:C68)</f>
        <v>0.3</v>
      </c>
      <c r="G38" s="174">
        <f>ROUND(IF(E2="工业",C38*$M$42,C38*$M$41),0)</f>
        <v>70</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29"/>
      <c r="B39" s="2960" t="s">
        <v>2965</v>
      </c>
      <c r="C39" s="178">
        <f>ROUND(C5*C22*C23*C24*C28*F39,0)</f>
        <v>391</v>
      </c>
      <c r="D39" s="3309"/>
      <c r="E39" s="174">
        <f t="shared" si="4"/>
        <v>0</v>
      </c>
      <c r="F39" s="174">
        <f>SUMIF(修正!A57:A68,G2,修正!D57:D68)</f>
        <v>0.25</v>
      </c>
      <c r="G39" s="174">
        <f>ROUND(IF(E2="工业",C39*$M$42,C39*$M$41),0)</f>
        <v>59</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391</v>
      </c>
      <c r="D40" s="3309"/>
      <c r="E40" s="174">
        <f t="shared" si="4"/>
        <v>0</v>
      </c>
      <c r="F40" s="178">
        <f>SUMIF(修正!A57:A68,G2,修正!E57:E68)</f>
        <v>0.25</v>
      </c>
      <c r="G40" s="174">
        <f>ROUND(IF(E2="工业",C40*$M$42,C40*$M$41),0)</f>
        <v>59</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0.05</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36">
      <c r="A64" s="2988" t="s">
        <v>2839</v>
      </c>
      <c r="B64" s="2985">
        <f>估价对象房地状况!C19</f>
        <v>0</v>
      </c>
      <c r="C64" s="2977"/>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6.75">
      <c r="A65" s="2971" t="s">
        <v>2318</v>
      </c>
      <c r="B65" s="2989" t="s">
        <v>2319</v>
      </c>
      <c r="C65" s="2977"/>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4">
      <c r="A66" s="2971" t="s">
        <v>2320</v>
      </c>
      <c r="B66" s="2985">
        <f>估价对象房地状况!C24</f>
        <v>0</v>
      </c>
      <c r="C66" s="2977"/>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24">
      <c r="A67" s="2971" t="s">
        <v>2321</v>
      </c>
      <c r="B67" s="2990" t="s">
        <v>2322</v>
      </c>
      <c r="C67" s="2977"/>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5.5">
      <c r="A68" s="2971" t="s">
        <v>2323</v>
      </c>
      <c r="B68" s="2992" t="str">
        <f>估价对象房地状况!C21</f>
        <v>估价对象所在区域公共配套设施齐备情况</v>
      </c>
      <c r="C68" s="2977"/>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4">
      <c r="A69" s="2971" t="s">
        <v>2324</v>
      </c>
      <c r="B69" s="2992" t="str">
        <f>估价对象房地状况!C22</f>
        <v>估价对象所在区域基础设施水平</v>
      </c>
      <c r="C69" s="2977"/>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26.25" thickBot="1">
      <c r="A70" s="2993" t="s">
        <v>2325</v>
      </c>
      <c r="B70" s="2999" t="str">
        <f>估价对象房地状况!C20</f>
        <v>区域自然环境：；人文环境；综合评价环境状况一般</v>
      </c>
      <c r="C70" s="2977"/>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7">SUMIF($J$72:$N$72,C73,J73:N73)</f>
        <v>0</v>
      </c>
      <c r="E73" s="2979">
        <f>ROUND(SUM(D73:D81),4)</f>
        <v>0</v>
      </c>
      <c r="F73" s="2980" t="str">
        <f>IF(E2="住宅",SUMIF(L1:L12,G2,N1:N12),"——")</f>
        <v>——</v>
      </c>
      <c r="G73" s="2981"/>
      <c r="H73" s="2982" t="str">
        <f t="shared" ref="H73:H81" si="18">IFERROR(ROUNDDOWN($F$73*I73/2,4),"——")</f>
        <v>——</v>
      </c>
      <c r="I73" s="2983">
        <v>0.2</v>
      </c>
      <c r="J73" s="2984">
        <f t="shared" ref="J73:J81" si="19">K73+$G73</f>
        <v>0</v>
      </c>
      <c r="K73" s="2984">
        <f t="shared" ref="K73:K81" si="20">$L73+$G73</f>
        <v>0</v>
      </c>
      <c r="L73" s="2984">
        <v>0</v>
      </c>
      <c r="M73" s="2984">
        <f t="shared" ref="M73:N81" si="21">L73-$G73</f>
        <v>0</v>
      </c>
      <c r="N73" s="2984">
        <f t="shared" si="21"/>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7"/>
        <v>0</v>
      </c>
      <c r="E74" s="2986"/>
      <c r="F74" s="2980"/>
      <c r="G74" s="2981"/>
      <c r="H74" s="2982" t="str">
        <f t="shared" si="18"/>
        <v>——</v>
      </c>
      <c r="I74" s="2983">
        <v>0.26</v>
      </c>
      <c r="J74" s="2984">
        <f t="shared" si="19"/>
        <v>0</v>
      </c>
      <c r="K74" s="2984">
        <f t="shared" si="20"/>
        <v>0</v>
      </c>
      <c r="L74" s="2984">
        <v>0</v>
      </c>
      <c r="M74" s="2984">
        <f t="shared" si="21"/>
        <v>0</v>
      </c>
      <c r="N74" s="2984">
        <f t="shared" si="21"/>
        <v>0</v>
      </c>
      <c r="S74" s="2674"/>
      <c r="T74" s="2674"/>
      <c r="U74" s="2674"/>
      <c r="V74" s="2674"/>
      <c r="W74" s="2674"/>
      <c r="X74" s="2674"/>
      <c r="Y74" s="2674"/>
    </row>
    <row r="75" spans="1:33" ht="36">
      <c r="A75" s="2988" t="s">
        <v>2839</v>
      </c>
      <c r="B75" s="2985">
        <f>估价对象房地状况!C19</f>
        <v>0</v>
      </c>
      <c r="C75" s="2977"/>
      <c r="D75" s="2978">
        <f t="shared" si="17"/>
        <v>0</v>
      </c>
      <c r="E75" s="2986"/>
      <c r="F75" s="2980"/>
      <c r="G75" s="2981"/>
      <c r="H75" s="2982" t="str">
        <f t="shared" si="18"/>
        <v>——</v>
      </c>
      <c r="I75" s="2983">
        <v>0.1</v>
      </c>
      <c r="J75" s="2984">
        <f t="shared" si="19"/>
        <v>0</v>
      </c>
      <c r="K75" s="2984">
        <f t="shared" si="20"/>
        <v>0</v>
      </c>
      <c r="L75" s="2984">
        <v>0</v>
      </c>
      <c r="M75" s="2984">
        <f t="shared" si="21"/>
        <v>0</v>
      </c>
      <c r="N75" s="2984">
        <f t="shared" si="21"/>
        <v>0</v>
      </c>
      <c r="O75" s="1939"/>
      <c r="P75" s="1939"/>
      <c r="Q75" s="1939"/>
      <c r="AA75" s="2674"/>
      <c r="AG75" s="1939"/>
    </row>
    <row r="76" spans="1:33" ht="14.25">
      <c r="A76" s="2971" t="s">
        <v>2330</v>
      </c>
      <c r="B76" s="2985">
        <f>估价对象房地状况!C24</f>
        <v>0</v>
      </c>
      <c r="C76" s="2977"/>
      <c r="D76" s="2978">
        <f t="shared" si="17"/>
        <v>0</v>
      </c>
      <c r="E76" s="2986"/>
      <c r="F76" s="2980"/>
      <c r="G76" s="2981"/>
      <c r="H76" s="2982" t="str">
        <f t="shared" si="18"/>
        <v>——</v>
      </c>
      <c r="I76" s="2983">
        <v>0.05</v>
      </c>
      <c r="J76" s="2984">
        <f t="shared" si="19"/>
        <v>0</v>
      </c>
      <c r="K76" s="2984">
        <f t="shared" si="20"/>
        <v>0</v>
      </c>
      <c r="L76" s="2984">
        <v>0</v>
      </c>
      <c r="M76" s="2984">
        <f t="shared" si="21"/>
        <v>0</v>
      </c>
      <c r="N76" s="2984">
        <f t="shared" si="21"/>
        <v>0</v>
      </c>
      <c r="O76" s="1939"/>
      <c r="P76" s="1939"/>
      <c r="Q76" s="1939"/>
      <c r="AA76" s="2674"/>
      <c r="AG76" s="1939"/>
    </row>
    <row r="77" spans="1:33" ht="25.5">
      <c r="A77" s="2971" t="s">
        <v>2323</v>
      </c>
      <c r="B77" s="2992" t="str">
        <f>估价对象房地状况!C21</f>
        <v>估价对象所在区域公共配套设施齐备情况</v>
      </c>
      <c r="C77" s="2977"/>
      <c r="D77" s="2978">
        <f t="shared" si="17"/>
        <v>0</v>
      </c>
      <c r="E77" s="2986"/>
      <c r="F77" s="2980"/>
      <c r="G77" s="2981"/>
      <c r="H77" s="2982" t="str">
        <f t="shared" si="18"/>
        <v>——</v>
      </c>
      <c r="I77" s="2983">
        <v>0.08</v>
      </c>
      <c r="J77" s="2984">
        <f t="shared" si="19"/>
        <v>0</v>
      </c>
      <c r="K77" s="2984">
        <f t="shared" si="20"/>
        <v>0</v>
      </c>
      <c r="L77" s="2984">
        <v>0</v>
      </c>
      <c r="M77" s="2984">
        <f t="shared" si="21"/>
        <v>0</v>
      </c>
      <c r="N77" s="2984">
        <f t="shared" si="21"/>
        <v>0</v>
      </c>
      <c r="O77" s="1939"/>
      <c r="P77" s="1939"/>
      <c r="Q77" s="1939"/>
      <c r="AA77" s="2674"/>
      <c r="AG77" s="1939"/>
    </row>
    <row r="78" spans="1:33" ht="24">
      <c r="A78" s="2971" t="s">
        <v>2324</v>
      </c>
      <c r="B78" s="2992" t="str">
        <f>估价对象房地状况!C22</f>
        <v>估价对象所在区域基础设施水平</v>
      </c>
      <c r="C78" s="2977"/>
      <c r="D78" s="2978">
        <f t="shared" si="17"/>
        <v>0</v>
      </c>
      <c r="E78" s="2986"/>
      <c r="F78" s="2980"/>
      <c r="G78" s="2981"/>
      <c r="H78" s="2982" t="str">
        <f t="shared" si="18"/>
        <v>——</v>
      </c>
      <c r="I78" s="2983">
        <v>0.09</v>
      </c>
      <c r="J78" s="2984">
        <f t="shared" si="19"/>
        <v>0</v>
      </c>
      <c r="K78" s="2984">
        <f t="shared" si="20"/>
        <v>0</v>
      </c>
      <c r="L78" s="2984">
        <v>0</v>
      </c>
      <c r="M78" s="2984">
        <f t="shared" si="21"/>
        <v>0</v>
      </c>
      <c r="N78" s="2984">
        <f t="shared" si="21"/>
        <v>0</v>
      </c>
      <c r="O78" s="1939"/>
      <c r="P78" s="1939"/>
      <c r="Q78" s="1939"/>
      <c r="AA78" s="2674"/>
      <c r="AG78" s="1939"/>
    </row>
    <row r="79" spans="1:33" ht="24">
      <c r="A79" s="2971" t="s">
        <v>2321</v>
      </c>
      <c r="B79" s="2990" t="s">
        <v>2322</v>
      </c>
      <c r="C79" s="2977"/>
      <c r="D79" s="2978">
        <f t="shared" si="17"/>
        <v>0</v>
      </c>
      <c r="E79" s="2986"/>
      <c r="F79" s="2980"/>
      <c r="G79" s="2981"/>
      <c r="H79" s="2982" t="str">
        <f t="shared" si="18"/>
        <v>——</v>
      </c>
      <c r="I79" s="2983">
        <v>0.05</v>
      </c>
      <c r="J79" s="2984">
        <f t="shared" si="19"/>
        <v>0</v>
      </c>
      <c r="K79" s="2984">
        <f t="shared" si="20"/>
        <v>0</v>
      </c>
      <c r="L79" s="2984">
        <v>0</v>
      </c>
      <c r="M79" s="2984">
        <f t="shared" si="21"/>
        <v>0</v>
      </c>
      <c r="N79" s="2984">
        <f t="shared" si="21"/>
        <v>0</v>
      </c>
      <c r="AA79" s="2674"/>
      <c r="AG79" s="1939"/>
    </row>
    <row r="80" spans="1:33" ht="25.5">
      <c r="A80" s="2971" t="s">
        <v>2325</v>
      </c>
      <c r="B80" s="2976" t="str">
        <f>估价对象房地状况!C20</f>
        <v>区域自然环境：；人文环境；综合评价环境状况一般</v>
      </c>
      <c r="C80" s="2977"/>
      <c r="D80" s="2978">
        <f t="shared" si="17"/>
        <v>0</v>
      </c>
      <c r="E80" s="2986"/>
      <c r="F80" s="2980"/>
      <c r="G80" s="2981"/>
      <c r="H80" s="2982" t="str">
        <f t="shared" si="18"/>
        <v>——</v>
      </c>
      <c r="I80" s="2983">
        <v>0.12</v>
      </c>
      <c r="J80" s="2984">
        <f t="shared" si="19"/>
        <v>0</v>
      </c>
      <c r="K80" s="2984">
        <f t="shared" si="20"/>
        <v>0</v>
      </c>
      <c r="L80" s="2984">
        <v>0</v>
      </c>
      <c r="M80" s="2984">
        <f t="shared" si="21"/>
        <v>0</v>
      </c>
      <c r="N80" s="2984">
        <f t="shared" si="21"/>
        <v>0</v>
      </c>
      <c r="AA80" s="2674"/>
      <c r="AG80" s="1939"/>
    </row>
    <row r="81" spans="1:33" ht="24.75" thickBot="1">
      <c r="A81" s="2993" t="s">
        <v>2331</v>
      </c>
      <c r="B81" s="3001"/>
      <c r="C81" s="2977"/>
      <c r="D81" s="2978">
        <f t="shared" si="17"/>
        <v>0</v>
      </c>
      <c r="E81" s="2995"/>
      <c r="F81" s="2980"/>
      <c r="G81" s="2981"/>
      <c r="H81" s="2982" t="str">
        <f t="shared" si="18"/>
        <v>——</v>
      </c>
      <c r="I81" s="2996">
        <v>0.05</v>
      </c>
      <c r="J81" s="2984">
        <f t="shared" si="19"/>
        <v>0</v>
      </c>
      <c r="K81" s="2984">
        <f t="shared" si="20"/>
        <v>0</v>
      </c>
      <c r="L81" s="2984">
        <v>0</v>
      </c>
      <c r="M81" s="2984">
        <f t="shared" si="21"/>
        <v>0</v>
      </c>
      <c r="N81" s="2984">
        <f t="shared" si="21"/>
        <v>0</v>
      </c>
      <c r="AA81" s="2674"/>
      <c r="AG81" s="1939"/>
    </row>
    <row r="82" spans="1:33" ht="15">
      <c r="A82" s="2965" t="s">
        <v>2332</v>
      </c>
      <c r="B82" s="2966">
        <f>1+E84</f>
        <v>1.0397000000000001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t="s">
        <v>3124</v>
      </c>
      <c r="D84" s="2978">
        <f t="shared" ref="D84:D91" si="22">SUMIF($J$83:$N$83,C84,J84:N84)</f>
        <v>1.5699999999999999E-2</v>
      </c>
      <c r="E84" s="2979">
        <f>ROUND(SUM(D84:D91),4)</f>
        <v>3.9699999999999999E-2</v>
      </c>
      <c r="F84" s="2980">
        <f>IF(E2="工业",SUMIF(L1:L12,G2,N1:N12),"——")</f>
        <v>0.121</v>
      </c>
      <c r="G84" s="2981">
        <v>1.5699999999999999E-2</v>
      </c>
      <c r="H84" s="2982">
        <f t="shared" ref="H84:H91" si="23">IFERROR(ROUNDDOWN($F$84*I84/2,4),"——")</f>
        <v>1.5699999999999999E-2</v>
      </c>
      <c r="I84" s="2983">
        <v>0.26</v>
      </c>
      <c r="J84" s="2984">
        <f t="shared" ref="J84:J91" si="24">K84+$G84</f>
        <v>3.1399999999999997E-2</v>
      </c>
      <c r="K84" s="2984">
        <f t="shared" ref="K84:K91" si="25">$L84+$G84</f>
        <v>1.5699999999999999E-2</v>
      </c>
      <c r="L84" s="2984">
        <v>0</v>
      </c>
      <c r="M84" s="2984">
        <f t="shared" ref="M84:N91" si="26">L84-$G84</f>
        <v>-1.5699999999999999E-2</v>
      </c>
      <c r="N84" s="2984">
        <f t="shared" si="26"/>
        <v>-3.1399999999999997E-2</v>
      </c>
      <c r="AA84" s="2674"/>
      <c r="AG84" s="1939"/>
    </row>
    <row r="85" spans="1:33" ht="38.25">
      <c r="A85" s="2971" t="s">
        <v>2317</v>
      </c>
      <c r="B85" s="2985" t="str">
        <f>估价对象房地状况!G16</f>
        <v>估价对象周边道路状况、公共交通通达情况、停车便捷程度，综合评价交通便捷度较好</v>
      </c>
      <c r="C85" s="2977" t="s">
        <v>3125</v>
      </c>
      <c r="D85" s="2978">
        <f t="shared" si="22"/>
        <v>0</v>
      </c>
      <c r="E85" s="2986"/>
      <c r="F85" s="2980"/>
      <c r="G85" s="2981">
        <v>1.8100000000000002E-2</v>
      </c>
      <c r="H85" s="2982">
        <f t="shared" si="23"/>
        <v>1.8100000000000002E-2</v>
      </c>
      <c r="I85" s="2983">
        <v>0.3</v>
      </c>
      <c r="J85" s="2984">
        <f t="shared" si="24"/>
        <v>3.6200000000000003E-2</v>
      </c>
      <c r="K85" s="2984">
        <f t="shared" si="25"/>
        <v>1.8100000000000002E-2</v>
      </c>
      <c r="L85" s="2984">
        <v>0</v>
      </c>
      <c r="M85" s="2984">
        <f t="shared" si="26"/>
        <v>-1.8100000000000002E-2</v>
      </c>
      <c r="N85" s="2984">
        <f t="shared" si="26"/>
        <v>-3.6200000000000003E-2</v>
      </c>
      <c r="AA85" s="2674"/>
      <c r="AG85" s="1939"/>
    </row>
    <row r="86" spans="1:33" ht="36">
      <c r="A86" s="2988" t="s">
        <v>2840</v>
      </c>
      <c r="B86" s="2985">
        <f>估价对象房地状况!G17</f>
        <v>0</v>
      </c>
      <c r="C86" s="2977" t="s">
        <v>3124</v>
      </c>
      <c r="D86" s="2978">
        <f t="shared" si="22"/>
        <v>6.0000000000000001E-3</v>
      </c>
      <c r="E86" s="2986"/>
      <c r="F86" s="2980"/>
      <c r="G86" s="2981">
        <v>6.0000000000000001E-3</v>
      </c>
      <c r="H86" s="2982">
        <f t="shared" si="23"/>
        <v>6.0000000000000001E-3</v>
      </c>
      <c r="I86" s="2983">
        <v>0.1</v>
      </c>
      <c r="J86" s="2984">
        <f t="shared" si="24"/>
        <v>1.2E-2</v>
      </c>
      <c r="K86" s="2984">
        <f t="shared" si="25"/>
        <v>6.0000000000000001E-3</v>
      </c>
      <c r="L86" s="2984">
        <v>0</v>
      </c>
      <c r="M86" s="2984">
        <f t="shared" si="26"/>
        <v>-6.0000000000000001E-3</v>
      </c>
      <c r="N86" s="2984">
        <f t="shared" si="26"/>
        <v>-1.2E-2</v>
      </c>
      <c r="AA86" s="2674"/>
      <c r="AG86" s="1939"/>
    </row>
    <row r="87" spans="1:33" ht="14.25">
      <c r="A87" s="2971" t="s">
        <v>2330</v>
      </c>
      <c r="B87" s="2985">
        <f>估价对象房地状况!G22</f>
        <v>0</v>
      </c>
      <c r="C87" s="2977" t="s">
        <v>3125</v>
      </c>
      <c r="D87" s="2978">
        <f t="shared" si="22"/>
        <v>0</v>
      </c>
      <c r="E87" s="2986"/>
      <c r="F87" s="2980"/>
      <c r="G87" s="2981">
        <v>3.0000000000000001E-3</v>
      </c>
      <c r="H87" s="2982">
        <f t="shared" si="23"/>
        <v>3.0000000000000001E-3</v>
      </c>
      <c r="I87" s="2983">
        <v>0.05</v>
      </c>
      <c r="J87" s="2984">
        <f t="shared" si="24"/>
        <v>6.0000000000000001E-3</v>
      </c>
      <c r="K87" s="2984">
        <f t="shared" si="25"/>
        <v>3.0000000000000001E-3</v>
      </c>
      <c r="L87" s="2984">
        <v>0</v>
      </c>
      <c r="M87" s="2984">
        <f t="shared" si="26"/>
        <v>-3.0000000000000001E-3</v>
      </c>
      <c r="N87" s="2984">
        <f t="shared" si="26"/>
        <v>-6.0000000000000001E-3</v>
      </c>
      <c r="AA87" s="2674"/>
      <c r="AG87" s="1939"/>
    </row>
    <row r="88" spans="1:33" ht="25.5">
      <c r="A88" s="2971" t="s">
        <v>2323</v>
      </c>
      <c r="B88" s="2992" t="str">
        <f>估价对象房地状况!G19</f>
        <v>估价对象所在区域公共配套设施齐备情况</v>
      </c>
      <c r="C88" s="2977" t="s">
        <v>3125</v>
      </c>
      <c r="D88" s="2978">
        <f t="shared" si="22"/>
        <v>0</v>
      </c>
      <c r="E88" s="2986"/>
      <c r="F88" s="2980"/>
      <c r="G88" s="2981">
        <v>3.5999999999999999E-3</v>
      </c>
      <c r="H88" s="2982">
        <f t="shared" si="23"/>
        <v>3.5999999999999999E-3</v>
      </c>
      <c r="I88" s="2983">
        <v>0.06</v>
      </c>
      <c r="J88" s="2984">
        <f t="shared" si="24"/>
        <v>7.1999999999999998E-3</v>
      </c>
      <c r="K88" s="2984">
        <f t="shared" si="25"/>
        <v>3.5999999999999999E-3</v>
      </c>
      <c r="L88" s="2984">
        <v>0</v>
      </c>
      <c r="M88" s="2984">
        <f t="shared" si="26"/>
        <v>-3.5999999999999999E-3</v>
      </c>
      <c r="N88" s="2984">
        <f t="shared" si="26"/>
        <v>-7.1999999999999998E-3</v>
      </c>
    </row>
    <row r="89" spans="1:33" ht="24">
      <c r="A89" s="2971" t="s">
        <v>2324</v>
      </c>
      <c r="B89" s="2992" t="str">
        <f>估价对象房地状况!G20</f>
        <v>估价对象所在区域基础设施水平</v>
      </c>
      <c r="C89" s="2977" t="s">
        <v>3126</v>
      </c>
      <c r="D89" s="2978">
        <f t="shared" si="22"/>
        <v>1.44E-2</v>
      </c>
      <c r="E89" s="2986"/>
      <c r="F89" s="2980"/>
      <c r="G89" s="2981">
        <v>7.1999999999999998E-3</v>
      </c>
      <c r="H89" s="2982">
        <f t="shared" si="23"/>
        <v>7.1999999999999998E-3</v>
      </c>
      <c r="I89" s="2983">
        <v>0.12</v>
      </c>
      <c r="J89" s="2984">
        <f t="shared" si="24"/>
        <v>1.44E-2</v>
      </c>
      <c r="K89" s="2984">
        <f t="shared" si="25"/>
        <v>7.1999999999999998E-3</v>
      </c>
      <c r="L89" s="2984">
        <v>0</v>
      </c>
      <c r="M89" s="2984">
        <f t="shared" si="26"/>
        <v>-7.1999999999999998E-3</v>
      </c>
      <c r="N89" s="2984">
        <f t="shared" si="26"/>
        <v>-1.44E-2</v>
      </c>
    </row>
    <row r="90" spans="1:33" ht="24">
      <c r="A90" s="2971" t="s">
        <v>2321</v>
      </c>
      <c r="B90" s="2990" t="s">
        <v>2334</v>
      </c>
      <c r="C90" s="2977" t="s">
        <v>3124</v>
      </c>
      <c r="D90" s="2978">
        <f t="shared" si="22"/>
        <v>3.5999999999999999E-3</v>
      </c>
      <c r="E90" s="2986"/>
      <c r="F90" s="2980"/>
      <c r="G90" s="2981">
        <v>3.5999999999999999E-3</v>
      </c>
      <c r="H90" s="2982">
        <f t="shared" si="23"/>
        <v>3.5999999999999999E-3</v>
      </c>
      <c r="I90" s="2983">
        <v>0.06</v>
      </c>
      <c r="J90" s="2984">
        <f t="shared" si="24"/>
        <v>7.1999999999999998E-3</v>
      </c>
      <c r="K90" s="2984">
        <f t="shared" si="25"/>
        <v>3.5999999999999999E-3</v>
      </c>
      <c r="L90" s="2984">
        <v>0</v>
      </c>
      <c r="M90" s="2984">
        <f t="shared" si="26"/>
        <v>-3.5999999999999999E-3</v>
      </c>
      <c r="N90" s="2984">
        <f t="shared" si="26"/>
        <v>-7.1999999999999998E-3</v>
      </c>
    </row>
    <row r="91" spans="1:33" ht="39" thickBot="1">
      <c r="A91" s="2993" t="s">
        <v>2335</v>
      </c>
      <c r="B91" s="3002" t="str">
        <f>估价对象房地状况!G18</f>
        <v>该园区内是否有污染型企业，绿化情况，卫生条件，整体环境状况判断</v>
      </c>
      <c r="C91" s="2977" t="s">
        <v>3125</v>
      </c>
      <c r="D91" s="2978">
        <f t="shared" si="22"/>
        <v>0</v>
      </c>
      <c r="E91" s="2995"/>
      <c r="F91" s="2980"/>
      <c r="G91" s="2981">
        <v>3.0000000000000001E-3</v>
      </c>
      <c r="H91" s="2982">
        <f t="shared" si="23"/>
        <v>3.0000000000000001E-3</v>
      </c>
      <c r="I91" s="2996">
        <v>0.05</v>
      </c>
      <c r="J91" s="2984">
        <f t="shared" si="24"/>
        <v>6.0000000000000001E-3</v>
      </c>
      <c r="K91" s="2984">
        <f t="shared" si="25"/>
        <v>3.0000000000000001E-3</v>
      </c>
      <c r="L91" s="2984">
        <v>0</v>
      </c>
      <c r="M91" s="2984">
        <f t="shared" si="26"/>
        <v>-3.0000000000000001E-3</v>
      </c>
      <c r="N91" s="2984">
        <f t="shared" si="26"/>
        <v>-6.0000000000000001E-3</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7">IFERROR(ROUNDDOWN($F$62*I94/2,4),"——")</f>
        <v>——</v>
      </c>
      <c r="I94" s="2983">
        <v>0.25</v>
      </c>
      <c r="J94" s="2984">
        <f t="shared" ref="J94:J102" si="28">K94+$G94</f>
        <v>0</v>
      </c>
      <c r="K94" s="2984">
        <f t="shared" ref="K94:K102" si="29">$L94+$G94</f>
        <v>0</v>
      </c>
      <c r="L94" s="2984">
        <v>0</v>
      </c>
      <c r="M94" s="2984">
        <f t="shared" ref="M94:M102" si="30">L94-$G94</f>
        <v>0</v>
      </c>
      <c r="N94" s="2984">
        <f t="shared" ref="N94:N102" si="31">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2">SUMIF($J$61:$N$61,C95,J95:N95)</f>
        <v>0</v>
      </c>
      <c r="E95" s="2986"/>
      <c r="F95" s="2980"/>
      <c r="G95" s="2981"/>
      <c r="H95" s="2982" t="str">
        <f t="shared" si="27"/>
        <v>——</v>
      </c>
      <c r="I95" s="2983">
        <v>0.26</v>
      </c>
      <c r="J95" s="2984">
        <f t="shared" si="28"/>
        <v>0</v>
      </c>
      <c r="K95" s="2984">
        <f t="shared" si="29"/>
        <v>0</v>
      </c>
      <c r="L95" s="2984">
        <v>0</v>
      </c>
      <c r="M95" s="2984">
        <f t="shared" si="30"/>
        <v>0</v>
      </c>
      <c r="N95" s="2984">
        <f t="shared" si="31"/>
        <v>0</v>
      </c>
    </row>
    <row r="96" spans="1:33" s="1939" customFormat="1" ht="36">
      <c r="A96" s="2988" t="s">
        <v>2839</v>
      </c>
      <c r="B96" s="2985">
        <f>估价对象房地状况!C19</f>
        <v>0</v>
      </c>
      <c r="C96" s="2977"/>
      <c r="D96" s="2978">
        <f t="shared" si="32"/>
        <v>0</v>
      </c>
      <c r="E96" s="2986"/>
      <c r="F96" s="2980"/>
      <c r="G96" s="2981"/>
      <c r="H96" s="2982" t="str">
        <f t="shared" si="27"/>
        <v>——</v>
      </c>
      <c r="I96" s="2983">
        <v>0.11</v>
      </c>
      <c r="J96" s="2984">
        <f t="shared" si="28"/>
        <v>0</v>
      </c>
      <c r="K96" s="2984">
        <f t="shared" si="29"/>
        <v>0</v>
      </c>
      <c r="L96" s="2984">
        <v>0</v>
      </c>
      <c r="M96" s="2984">
        <f t="shared" si="30"/>
        <v>0</v>
      </c>
      <c r="N96" s="2984">
        <f t="shared" si="31"/>
        <v>0</v>
      </c>
    </row>
    <row r="97" spans="1:25" s="1939" customFormat="1" ht="36.75">
      <c r="A97" s="2971" t="s">
        <v>2318</v>
      </c>
      <c r="B97" s="2989" t="s">
        <v>2319</v>
      </c>
      <c r="C97" s="2977"/>
      <c r="D97" s="2978">
        <f t="shared" si="32"/>
        <v>0</v>
      </c>
      <c r="E97" s="2986"/>
      <c r="F97" s="2980"/>
      <c r="G97" s="2981"/>
      <c r="H97" s="2982" t="str">
        <f t="shared" si="27"/>
        <v>——</v>
      </c>
      <c r="I97" s="2983">
        <v>0.05</v>
      </c>
      <c r="J97" s="2984">
        <f t="shared" si="28"/>
        <v>0</v>
      </c>
      <c r="K97" s="2984">
        <f t="shared" si="29"/>
        <v>0</v>
      </c>
      <c r="L97" s="2984">
        <v>0</v>
      </c>
      <c r="M97" s="2984">
        <f t="shared" si="30"/>
        <v>0</v>
      </c>
      <c r="N97" s="2984">
        <f t="shared" si="31"/>
        <v>0</v>
      </c>
    </row>
    <row r="98" spans="1:25" s="1939" customFormat="1" ht="24">
      <c r="A98" s="2971" t="s">
        <v>2320</v>
      </c>
      <c r="B98" s="2985">
        <f>估价对象房地状况!C24</f>
        <v>0</v>
      </c>
      <c r="C98" s="2977"/>
      <c r="D98" s="2978">
        <f t="shared" si="32"/>
        <v>0</v>
      </c>
      <c r="E98" s="2986"/>
      <c r="F98" s="2980"/>
      <c r="G98" s="2981"/>
      <c r="H98" s="2982" t="str">
        <f t="shared" si="27"/>
        <v>——</v>
      </c>
      <c r="I98" s="2983">
        <v>0.05</v>
      </c>
      <c r="J98" s="2984">
        <f t="shared" si="28"/>
        <v>0</v>
      </c>
      <c r="K98" s="2984">
        <f t="shared" si="29"/>
        <v>0</v>
      </c>
      <c r="L98" s="2984">
        <v>0</v>
      </c>
      <c r="M98" s="2984">
        <f t="shared" si="30"/>
        <v>0</v>
      </c>
      <c r="N98" s="2984">
        <f t="shared" si="31"/>
        <v>0</v>
      </c>
    </row>
    <row r="99" spans="1:25" s="1939" customFormat="1" ht="24">
      <c r="A99" s="2971" t="s">
        <v>2321</v>
      </c>
      <c r="B99" s="2990" t="s">
        <v>2322</v>
      </c>
      <c r="C99" s="2977"/>
      <c r="D99" s="2978">
        <f t="shared" si="32"/>
        <v>0</v>
      </c>
      <c r="E99" s="2986"/>
      <c r="F99" s="2980"/>
      <c r="G99" s="2981"/>
      <c r="H99" s="2982" t="str">
        <f t="shared" si="27"/>
        <v>——</v>
      </c>
      <c r="I99" s="2983">
        <v>0.06</v>
      </c>
      <c r="J99" s="2984">
        <f t="shared" si="28"/>
        <v>0</v>
      </c>
      <c r="K99" s="2984">
        <f t="shared" si="29"/>
        <v>0</v>
      </c>
      <c r="L99" s="2984">
        <v>0</v>
      </c>
      <c r="M99" s="2984">
        <f t="shared" si="30"/>
        <v>0</v>
      </c>
      <c r="N99" s="2984">
        <f t="shared" si="31"/>
        <v>0</v>
      </c>
    </row>
    <row r="100" spans="1:25" s="1939" customFormat="1" ht="25.5">
      <c r="A100" s="2971" t="s">
        <v>2323</v>
      </c>
      <c r="B100" s="2992" t="str">
        <f>估价对象房地状况!C21</f>
        <v>估价对象所在区域公共配套设施齐备情况</v>
      </c>
      <c r="C100" s="2977"/>
      <c r="D100" s="2978">
        <f t="shared" si="32"/>
        <v>0</v>
      </c>
      <c r="E100" s="2986"/>
      <c r="F100" s="2980"/>
      <c r="G100" s="2981"/>
      <c r="H100" s="2982" t="str">
        <f t="shared" si="27"/>
        <v>——</v>
      </c>
      <c r="I100" s="2983">
        <v>0.06</v>
      </c>
      <c r="J100" s="2984">
        <f t="shared" si="28"/>
        <v>0</v>
      </c>
      <c r="K100" s="2984">
        <f t="shared" si="29"/>
        <v>0</v>
      </c>
      <c r="L100" s="2984">
        <v>0</v>
      </c>
      <c r="M100" s="2984">
        <f t="shared" si="30"/>
        <v>0</v>
      </c>
      <c r="N100" s="2984">
        <f t="shared" si="31"/>
        <v>0</v>
      </c>
    </row>
    <row r="101" spans="1:25" s="1939" customFormat="1" ht="24">
      <c r="A101" s="2971" t="s">
        <v>2324</v>
      </c>
      <c r="B101" s="2992" t="str">
        <f>估价对象房地状况!C22</f>
        <v>估价对象所在区域基础设施水平</v>
      </c>
      <c r="C101" s="2977"/>
      <c r="D101" s="2978">
        <f t="shared" si="32"/>
        <v>0</v>
      </c>
      <c r="E101" s="2986"/>
      <c r="F101" s="2980"/>
      <c r="G101" s="2981"/>
      <c r="H101" s="2982" t="str">
        <f t="shared" si="27"/>
        <v>——</v>
      </c>
      <c r="I101" s="2983">
        <v>0.09</v>
      </c>
      <c r="J101" s="2984">
        <f t="shared" si="28"/>
        <v>0</v>
      </c>
      <c r="K101" s="2984">
        <f t="shared" si="29"/>
        <v>0</v>
      </c>
      <c r="L101" s="2984">
        <v>0</v>
      </c>
      <c r="M101" s="2984">
        <f t="shared" si="30"/>
        <v>0</v>
      </c>
      <c r="N101" s="2984">
        <f t="shared" si="31"/>
        <v>0</v>
      </c>
    </row>
    <row r="102" spans="1:25" s="1939" customFormat="1" ht="26.25" thickBot="1">
      <c r="A102" s="2993" t="s">
        <v>2325</v>
      </c>
      <c r="B102" s="2999" t="str">
        <f>估价对象房地状况!C20</f>
        <v>区域自然环境：；人文环境；综合评价环境状况一般</v>
      </c>
      <c r="C102" s="2977"/>
      <c r="D102" s="2978">
        <f t="shared" si="32"/>
        <v>0</v>
      </c>
      <c r="E102" s="2995"/>
      <c r="F102" s="2980"/>
      <c r="G102" s="2981"/>
      <c r="H102" s="2982" t="str">
        <f t="shared" si="27"/>
        <v>——</v>
      </c>
      <c r="I102" s="2996">
        <v>7.0000000000000007E-2</v>
      </c>
      <c r="J102" s="2984">
        <f t="shared" si="28"/>
        <v>0</v>
      </c>
      <c r="K102" s="2984">
        <f t="shared" si="29"/>
        <v>0</v>
      </c>
      <c r="L102" s="2984">
        <v>0</v>
      </c>
      <c r="M102" s="2984">
        <f t="shared" si="30"/>
        <v>0</v>
      </c>
      <c r="N102" s="2984">
        <f t="shared" si="31"/>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3">$I$3</f>
        <v>0</v>
      </c>
      <c r="E112" s="3018">
        <f t="shared" si="33"/>
        <v>0</v>
      </c>
      <c r="F112" s="3018">
        <f t="shared" si="33"/>
        <v>0</v>
      </c>
      <c r="G112" s="3018">
        <f t="shared" si="33"/>
        <v>0</v>
      </c>
      <c r="H112" s="3018">
        <f t="shared" si="33"/>
        <v>0</v>
      </c>
      <c r="I112" s="3018">
        <f t="shared" si="33"/>
        <v>0</v>
      </c>
      <c r="J112" s="3018">
        <f t="shared" si="33"/>
        <v>0</v>
      </c>
      <c r="K112" s="3018">
        <f t="shared" si="33"/>
        <v>0</v>
      </c>
      <c r="L112" s="3018">
        <f t="shared" si="33"/>
        <v>0</v>
      </c>
      <c r="M112" s="3018">
        <f t="shared" si="33"/>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4">(-0.7912*(F112^2)-11.3794*F112+8482)*(10^(-4))</f>
        <v>0.84820000000000007</v>
      </c>
      <c r="G113" s="3019">
        <f t="shared" si="34"/>
        <v>0.84820000000000007</v>
      </c>
      <c r="H113" s="3019">
        <f t="shared" si="34"/>
        <v>0.84820000000000007</v>
      </c>
      <c r="I113" s="3019">
        <f t="shared" si="34"/>
        <v>0.84820000000000007</v>
      </c>
      <c r="J113" s="3019">
        <f>(-0.989*(J112^2)-63.78*J112+7771)*(10^(-4))</f>
        <v>0.77710000000000001</v>
      </c>
      <c r="K113" s="3019">
        <f t="shared" ref="K113:N113" si="35">(-0.989*(K112^2)-63.78*K112+7771)*(10^(-4))</f>
        <v>0.77710000000000001</v>
      </c>
      <c r="L113" s="3019">
        <f t="shared" si="35"/>
        <v>0.77710000000000001</v>
      </c>
      <c r="M113" s="3019">
        <f t="shared" si="35"/>
        <v>0.77710000000000001</v>
      </c>
      <c r="N113" s="3019">
        <f t="shared" si="35"/>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5" thickBot="1"/>
    <row r="117" spans="1:14" ht="25.5" thickBot="1">
      <c r="A117" s="3020" t="s">
        <v>2342</v>
      </c>
      <c r="B117" s="3021">
        <f>G3</f>
        <v>1.2</v>
      </c>
      <c r="C117" s="3022" t="s">
        <v>2343</v>
      </c>
      <c r="D117" s="3023">
        <f>SUMPRODUCT((A119:A123=F117)*(B118:M118=H117)*B119:M123)</f>
        <v>0.63959999999999995</v>
      </c>
      <c r="E117" s="2695" t="s">
        <v>2198</v>
      </c>
      <c r="F117" s="3024" t="str">
        <f>E2</f>
        <v>工业</v>
      </c>
      <c r="G117" s="2695" t="s">
        <v>2199</v>
      </c>
      <c r="H117" s="3024" t="str">
        <f>G2</f>
        <v>六级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0.98360000000000003</v>
      </c>
      <c r="C119" s="3033">
        <f>B119</f>
        <v>0.98360000000000003</v>
      </c>
      <c r="D119" s="3033">
        <f>ROUND(0.949-0.014*B117,4)</f>
        <v>0.93220000000000003</v>
      </c>
      <c r="E119" s="3033">
        <f>D119</f>
        <v>0.93220000000000003</v>
      </c>
      <c r="F119" s="3033">
        <f>E119</f>
        <v>0.93220000000000003</v>
      </c>
      <c r="G119" s="3033">
        <f>F119</f>
        <v>0.93220000000000003</v>
      </c>
      <c r="H119" s="3033">
        <f>G119</f>
        <v>0.93220000000000003</v>
      </c>
      <c r="I119" s="3033">
        <f>ROUND(0.8486-0.018*B117,4)</f>
        <v>0.82699999999999996</v>
      </c>
      <c r="J119" s="3033">
        <f t="shared" ref="J119:M122" si="36">I119</f>
        <v>0.82699999999999996</v>
      </c>
      <c r="K119" s="3033">
        <f t="shared" si="36"/>
        <v>0.82699999999999996</v>
      </c>
      <c r="L119" s="3033">
        <f t="shared" si="36"/>
        <v>0.82699999999999996</v>
      </c>
      <c r="M119" s="3034">
        <f t="shared" si="36"/>
        <v>0.82699999999999996</v>
      </c>
    </row>
    <row r="120" spans="1:14">
      <c r="A120" s="3032" t="s">
        <v>2255</v>
      </c>
      <c r="B120" s="3033">
        <f>ROUND(0.993-0.0112*B117,4)</f>
        <v>0.97960000000000003</v>
      </c>
      <c r="C120" s="3033">
        <f>B120</f>
        <v>0.97960000000000003</v>
      </c>
      <c r="D120" s="3033">
        <f>ROUND(0.9415-0.0142*B117,4)</f>
        <v>0.92449999999999999</v>
      </c>
      <c r="E120" s="3033">
        <f t="shared" ref="E120:H121" si="37">D120</f>
        <v>0.92449999999999999</v>
      </c>
      <c r="F120" s="3033">
        <f t="shared" si="37"/>
        <v>0.92449999999999999</v>
      </c>
      <c r="G120" s="3033">
        <f t="shared" si="37"/>
        <v>0.92449999999999999</v>
      </c>
      <c r="H120" s="3033">
        <f t="shared" si="37"/>
        <v>0.92449999999999999</v>
      </c>
      <c r="I120" s="3033">
        <f>ROUND(0.838-0.0182*B117,4)</f>
        <v>0.81620000000000004</v>
      </c>
      <c r="J120" s="3033">
        <f t="shared" si="36"/>
        <v>0.81620000000000004</v>
      </c>
      <c r="K120" s="3033">
        <f t="shared" si="36"/>
        <v>0.81620000000000004</v>
      </c>
      <c r="L120" s="3033">
        <f t="shared" si="36"/>
        <v>0.81620000000000004</v>
      </c>
      <c r="M120" s="3034">
        <f t="shared" si="36"/>
        <v>0.81620000000000004</v>
      </c>
    </row>
    <row r="121" spans="1:14">
      <c r="A121" s="3032" t="s">
        <v>2256</v>
      </c>
      <c r="B121" s="3033">
        <f>ROUND(0.9448-0.0115*B117,4)</f>
        <v>0.93100000000000005</v>
      </c>
      <c r="C121" s="3033">
        <f>B121</f>
        <v>0.93100000000000005</v>
      </c>
      <c r="D121" s="3033">
        <f>ROUND(0.937-0.0145*B117,4)</f>
        <v>0.91959999999999997</v>
      </c>
      <c r="E121" s="3033">
        <f t="shared" si="37"/>
        <v>0.91959999999999997</v>
      </c>
      <c r="F121" s="3033">
        <f t="shared" si="37"/>
        <v>0.91959999999999997</v>
      </c>
      <c r="G121" s="3033">
        <f t="shared" si="37"/>
        <v>0.91959999999999997</v>
      </c>
      <c r="H121" s="3033">
        <f t="shared" si="37"/>
        <v>0.91959999999999997</v>
      </c>
      <c r="I121" s="3033">
        <f>ROUND(0.7965-0.0185*B117,4)</f>
        <v>0.77429999999999999</v>
      </c>
      <c r="J121" s="3033">
        <f t="shared" si="36"/>
        <v>0.77429999999999999</v>
      </c>
      <c r="K121" s="3033">
        <f t="shared" si="36"/>
        <v>0.77429999999999999</v>
      </c>
      <c r="L121" s="3033">
        <f t="shared" si="36"/>
        <v>0.77429999999999999</v>
      </c>
      <c r="M121" s="3034">
        <f t="shared" si="36"/>
        <v>0.77429999999999999</v>
      </c>
    </row>
    <row r="122" spans="1:14" ht="13.5" thickBot="1">
      <c r="A122" s="3035" t="s">
        <v>2257</v>
      </c>
      <c r="B122" s="3036">
        <f>ROUND(0.7836-0.012*B117,4)</f>
        <v>0.76919999999999999</v>
      </c>
      <c r="C122" s="3036">
        <f>B122</f>
        <v>0.76919999999999999</v>
      </c>
      <c r="D122" s="3036">
        <f>ROUND(0.753-0.015*B117,4)</f>
        <v>0.73499999999999999</v>
      </c>
      <c r="E122" s="3036">
        <f>D122</f>
        <v>0.73499999999999999</v>
      </c>
      <c r="F122" s="3036">
        <f>E122</f>
        <v>0.73499999999999999</v>
      </c>
      <c r="G122" s="3036">
        <f>ROUND(0.6612-0.018*B117,4)</f>
        <v>0.63959999999999995</v>
      </c>
      <c r="H122" s="3036">
        <f>G122</f>
        <v>0.63959999999999995</v>
      </c>
      <c r="I122" s="3036">
        <f>ROUND(0.5905-0.019*B117,4)</f>
        <v>0.56769999999999998</v>
      </c>
      <c r="J122" s="3036">
        <f t="shared" si="36"/>
        <v>0.56769999999999998</v>
      </c>
      <c r="K122" s="3036">
        <f t="shared" si="36"/>
        <v>0.56769999999999998</v>
      </c>
      <c r="L122" s="3036">
        <f t="shared" si="36"/>
        <v>0.56769999999999998</v>
      </c>
      <c r="M122" s="3037">
        <f t="shared" si="36"/>
        <v>0.56769999999999998</v>
      </c>
    </row>
    <row r="123" spans="1:14">
      <c r="A123" s="3038" t="s">
        <v>2926</v>
      </c>
      <c r="B123" s="3033">
        <f>ROUND(0.9404-0.0106*B117,4)</f>
        <v>0.92769999999999997</v>
      </c>
      <c r="C123" s="3033">
        <f>B123</f>
        <v>0.92769999999999997</v>
      </c>
      <c r="D123" s="3033">
        <f>ROUND(0.8955-0.0135*B117,4)</f>
        <v>0.87929999999999997</v>
      </c>
      <c r="E123" s="3033">
        <f t="shared" ref="E123" si="38">D123</f>
        <v>0.87929999999999997</v>
      </c>
      <c r="F123" s="3033">
        <f t="shared" ref="F123" si="39">E123</f>
        <v>0.87929999999999997</v>
      </c>
      <c r="G123" s="3033">
        <f t="shared" ref="G123" si="40">F123</f>
        <v>0.87929999999999997</v>
      </c>
      <c r="H123" s="3033">
        <f t="shared" ref="H123" si="41">G123</f>
        <v>0.87929999999999997</v>
      </c>
      <c r="I123" s="3033">
        <f>ROUND(0.7632-0.0166*B117,4)</f>
        <v>0.74329999999999996</v>
      </c>
      <c r="J123" s="3033">
        <f t="shared" ref="J123" si="42">I123</f>
        <v>0.74329999999999996</v>
      </c>
      <c r="K123" s="3033">
        <f t="shared" ref="K123" si="43">J123</f>
        <v>0.74329999999999996</v>
      </c>
      <c r="L123" s="3033">
        <f t="shared" ref="L123" si="44">K123</f>
        <v>0.74329999999999996</v>
      </c>
      <c r="M123" s="3034">
        <f t="shared" ref="M123" si="45">L123</f>
        <v>0.74329999999999996</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4.25" thickBot="1">
      <c r="A25" s="3647"/>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4.2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24">
      <c r="A107" s="3092">
        <v>35</v>
      </c>
      <c r="B107" s="3643"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c r="A113" s="3092">
        <v>41</v>
      </c>
      <c r="B113" s="3642" t="s">
        <v>495</v>
      </c>
      <c r="C113" s="3092" t="s">
        <v>496</v>
      </c>
      <c r="D113" s="3073" t="s">
        <v>497</v>
      </c>
      <c r="E113" s="3101">
        <v>0.1</v>
      </c>
      <c r="F113" s="3092">
        <v>15</v>
      </c>
    </row>
    <row r="114" spans="1:6">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c r="A120" s="3092">
        <v>48</v>
      </c>
      <c r="B120" s="3643" t="s">
        <v>502</v>
      </c>
      <c r="C120" s="3092" t="s">
        <v>503</v>
      </c>
      <c r="D120" s="3073" t="s">
        <v>504</v>
      </c>
      <c r="E120" s="3101">
        <v>0.1</v>
      </c>
      <c r="F120" s="3092">
        <v>15</v>
      </c>
    </row>
    <row r="121" spans="1:6">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2" t="s">
        <v>518</v>
      </c>
      <c r="C127" s="3092" t="s">
        <v>521</v>
      </c>
      <c r="D127" s="3073" t="s">
        <v>522</v>
      </c>
      <c r="E127" s="3101">
        <v>0.1</v>
      </c>
      <c r="F127" s="3092">
        <v>15</v>
      </c>
    </row>
    <row r="128" spans="1:6">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c r="A131" s="3092">
        <v>59</v>
      </c>
      <c r="B131" s="3642"/>
      <c r="C131" s="3092" t="s">
        <v>2830</v>
      </c>
      <c r="D131" s="3073" t="s">
        <v>2831</v>
      </c>
      <c r="E131" s="3101">
        <v>0.1</v>
      </c>
      <c r="F131" s="3092">
        <v>15</v>
      </c>
    </row>
    <row r="132" spans="1:6">
      <c r="A132" s="3092">
        <v>60</v>
      </c>
      <c r="B132" s="3643" t="s">
        <v>528</v>
      </c>
      <c r="C132" s="3092" t="s">
        <v>529</v>
      </c>
      <c r="D132" s="3073" t="s">
        <v>2834</v>
      </c>
      <c r="E132" s="3101">
        <v>0.1</v>
      </c>
      <c r="F132" s="3092">
        <v>15</v>
      </c>
    </row>
    <row r="133" spans="1:6">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2" t="s">
        <v>530</v>
      </c>
      <c r="C135" s="3092" t="s">
        <v>531</v>
      </c>
      <c r="D135" s="3073" t="s">
        <v>2836</v>
      </c>
      <c r="E135" s="3101">
        <v>0.1</v>
      </c>
      <c r="F135" s="3092">
        <v>15</v>
      </c>
    </row>
    <row r="136" spans="1:6">
      <c r="A136" s="3092">
        <v>64</v>
      </c>
      <c r="B136" s="3642"/>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N115" sqref="N115"/>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1.1748000000000001</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1.1174999999999999</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446</v>
      </c>
      <c r="C2" s="1940" t="s">
        <v>2357</v>
      </c>
      <c r="D2" s="1940" t="s">
        <v>2358</v>
      </c>
      <c r="E2" s="2291">
        <f ca="1">SUMIF(E6:E13,"&lt;&gt;#ref!",E6:E13)</f>
        <v>2852</v>
      </c>
      <c r="F2" s="2465"/>
      <c r="G2" s="2465"/>
      <c r="H2" s="2465"/>
      <c r="I2" s="2465"/>
      <c r="J2" s="2465"/>
      <c r="K2" s="2465"/>
      <c r="L2" s="2465"/>
      <c r="M2" s="2465"/>
      <c r="N2" s="2465"/>
      <c r="O2" s="2465"/>
      <c r="P2" s="2465"/>
    </row>
    <row r="3" spans="1:16" ht="15.75">
      <c r="A3" s="1940" t="s">
        <v>2359</v>
      </c>
      <c r="B3" s="2281">
        <f ca="1">ROUND(B2*10000/E2,0)</f>
        <v>1564</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446</v>
      </c>
      <c r="C6" s="1940" t="s">
        <v>2357</v>
      </c>
      <c r="D6" s="2465"/>
      <c r="E6" s="2291">
        <f ca="1">SUMIF(INDIRECT("'"&amp;A6&amp;"'"&amp;"!C:C"),"建筑面积",INDIRECT("'"&amp;A6&amp;"'"&amp;"!D:D"))</f>
        <v>2852</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D116" sqref="D116"/>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44728</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44728</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2022-06-16T07:27:26Z</dcterms:modified>
</cp:coreProperties>
</file>