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015" tabRatio="899" firstSheet="13"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工业" sheetId="37" r:id="rId22"/>
    <sheet name="Sheet1" sheetId="78"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21"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1">'比较法-工业'!$A$1:$K$48,'比较法-工业'!$A$51:$M$113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I41" i="37" l="1"/>
  <c r="G41" i="37"/>
  <c r="E41" i="37"/>
  <c r="I30" i="37"/>
  <c r="G30" i="37"/>
  <c r="E30" i="37"/>
  <c r="C30" i="37"/>
  <c r="I7" i="37"/>
  <c r="G7" i="37"/>
  <c r="E7" i="37"/>
  <c r="I5" i="37"/>
  <c r="G5" i="37"/>
  <c r="E5" i="37"/>
  <c r="Y6" i="1" l="1"/>
  <c r="N6" i="1"/>
  <c r="B29" i="1"/>
  <c r="F19" i="6"/>
  <c r="S8" i="78"/>
  <c r="S7" i="78"/>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D7" i="77" s="1"/>
  <c r="C26" i="77" s="1"/>
  <c r="R8" i="77"/>
  <c r="R7" i="77"/>
  <c r="R4" i="77"/>
  <c r="R3" i="77"/>
  <c r="R14" i="77" l="1"/>
  <c r="R24" i="77" s="1"/>
  <c r="R25" i="77"/>
  <c r="C32" i="77"/>
  <c r="C38" i="77" s="1"/>
  <c r="C39" i="77" s="1"/>
  <c r="D29" i="77"/>
  <c r="E23" i="77"/>
  <c r="D26" i="77"/>
  <c r="D32" i="77" s="1"/>
  <c r="C29" i="77"/>
  <c r="R35" i="77"/>
  <c r="U34" i="77" s="1"/>
  <c r="AH6" i="71"/>
  <c r="AG6" i="71"/>
  <c r="AE6" i="71"/>
  <c r="AF6" i="71" s="1"/>
  <c r="AD6" i="71"/>
  <c r="Q6" i="71"/>
  <c r="P6" i="71"/>
  <c r="O6" i="71"/>
  <c r="N6" i="71"/>
  <c r="R19" i="77" l="1"/>
  <c r="R5" i="77" s="1"/>
  <c r="U5" i="77" s="1"/>
  <c r="E26" i="77"/>
  <c r="E38" i="77"/>
  <c r="E39" i="77" s="1"/>
  <c r="C40" i="77" s="1"/>
  <c r="E29" i="77"/>
  <c r="AH7" i="71"/>
  <c r="AG7" i="71"/>
  <c r="AE7" i="71"/>
  <c r="AF7" i="71" s="1"/>
  <c r="AD7" i="71"/>
  <c r="Q7" i="71"/>
  <c r="P7" i="71"/>
  <c r="O7" i="71"/>
  <c r="N7" i="71"/>
  <c r="E32" i="77" l="1"/>
  <c r="B2" i="77"/>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c r="P22" i="71"/>
  <c r="O22" i="71"/>
  <c r="N22" i="71"/>
  <c r="A2" i="53"/>
  <c r="B19" i="72" s="1"/>
  <c r="K59" i="67"/>
  <c r="P61" i="67"/>
  <c r="K59" i="15"/>
  <c r="P61" i="15" s="1"/>
  <c r="P74" i="15"/>
  <c r="P74" i="67"/>
  <c r="D115" i="39"/>
  <c r="E115" i="39"/>
  <c r="F115" i="39"/>
  <c r="G115" i="39"/>
  <c r="H115" i="39"/>
  <c r="I115" i="39"/>
  <c r="J115" i="39"/>
  <c r="K115" i="39"/>
  <c r="L115" i="39"/>
  <c r="M115" i="39"/>
  <c r="C115" i="39"/>
  <c r="A21" i="62"/>
  <c r="A20" i="62"/>
  <c r="A22" i="51"/>
  <c r="A21" i="51"/>
  <c r="A20" i="51"/>
  <c r="B15" i="72" s="1"/>
  <c r="A15" i="62"/>
  <c r="A14" i="62"/>
  <c r="B60" i="72" s="1"/>
  <c r="A13" i="62"/>
  <c r="B59" i="72" s="1"/>
  <c r="A19" i="62"/>
  <c r="A12" i="62"/>
  <c r="B58" i="72" s="1"/>
  <c r="A120" i="9"/>
  <c r="H2" i="52"/>
  <c r="A1" i="52"/>
  <c r="A3" i="53"/>
  <c r="Q23" i="71"/>
  <c r="P23" i="71"/>
  <c r="O23" i="71"/>
  <c r="N23" i="71"/>
  <c r="A15" i="51"/>
  <c r="B12" i="72" s="1"/>
  <c r="C76" i="9"/>
  <c r="I107" i="40"/>
  <c r="K6" i="4"/>
  <c r="N56" i="9" s="1"/>
  <c r="B22" i="31"/>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c r="AH9" i="43"/>
  <c r="AH12" i="43" s="1"/>
  <c r="AG9" i="43"/>
  <c r="AF9" i="43"/>
  <c r="AF12" i="43" s="1"/>
  <c r="AE9" i="43"/>
  <c r="AE12" i="43"/>
  <c r="AD9" i="43"/>
  <c r="AC9" i="43"/>
  <c r="AB9" i="43"/>
  <c r="AA9" i="43"/>
  <c r="AA12" i="43"/>
  <c r="Z9" i="43"/>
  <c r="Z12" i="43" s="1"/>
  <c r="AA10" i="43"/>
  <c r="AE10" i="43"/>
  <c r="AI10" i="43"/>
  <c r="Z10" i="43"/>
  <c r="AF10" i="43"/>
  <c r="AH10" i="43"/>
  <c r="AJ10" i="43"/>
  <c r="K49" i="9"/>
  <c r="E107" i="9"/>
  <c r="A122" i="9" s="1"/>
  <c r="A8" i="52" s="1"/>
  <c r="B54" i="72" s="1"/>
  <c r="E111" i="9"/>
  <c r="A126" i="9"/>
  <c r="E109" i="9"/>
  <c r="A124" i="9"/>
  <c r="A10" i="52" s="1"/>
  <c r="B55" i="72" s="1"/>
  <c r="B44" i="72"/>
  <c r="B42" i="72"/>
  <c r="B69" i="72"/>
  <c r="B68" i="72"/>
  <c r="B63" i="72"/>
  <c r="B62" i="72"/>
  <c r="B16" i="72"/>
  <c r="B65" i="72"/>
  <c r="B67" i="72"/>
  <c r="B66" i="72"/>
  <c r="B10" i="72"/>
  <c r="C53" i="10"/>
  <c r="B51" i="10"/>
  <c r="A18" i="51"/>
  <c r="B13" i="72" s="1"/>
  <c r="C8" i="68"/>
  <c r="B49" i="48"/>
  <c r="B5" i="72"/>
  <c r="I19" i="43"/>
  <c r="D86" i="71"/>
  <c r="F85" i="71"/>
  <c r="F84" i="71" s="1"/>
  <c r="E85" i="71"/>
  <c r="E84" i="71" s="1"/>
  <c r="E83" i="71" s="1"/>
  <c r="C85" i="71"/>
  <c r="B85" i="71"/>
  <c r="B84" i="71" s="1"/>
  <c r="B83" i="71" s="1"/>
  <c r="F83" i="71"/>
  <c r="D82" i="71"/>
  <c r="F81" i="71"/>
  <c r="F80" i="71" s="1"/>
  <c r="F79" i="71" s="1"/>
  <c r="E81" i="71"/>
  <c r="E80" i="71" s="1"/>
  <c r="E79" i="71" s="1"/>
  <c r="C81" i="71"/>
  <c r="D81" i="71" s="1"/>
  <c r="B81" i="71"/>
  <c r="B80" i="71"/>
  <c r="B79" i="71" s="1"/>
  <c r="D78" i="71"/>
  <c r="Q77" i="71"/>
  <c r="P77" i="71"/>
  <c r="O77" i="71"/>
  <c r="N77" i="71"/>
  <c r="F77" i="71"/>
  <c r="V77" i="71"/>
  <c r="E77" i="71"/>
  <c r="U77" i="71" s="1"/>
  <c r="C77" i="71"/>
  <c r="B77" i="71"/>
  <c r="Q76" i="71"/>
  <c r="P76" i="71"/>
  <c r="O76" i="71"/>
  <c r="N76" i="71"/>
  <c r="F76" i="71"/>
  <c r="F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c r="C69" i="71"/>
  <c r="T69" i="71" s="1"/>
  <c r="B69" i="71"/>
  <c r="Q68" i="71"/>
  <c r="P68" i="71"/>
  <c r="O68" i="71"/>
  <c r="N68" i="71"/>
  <c r="F68" i="71"/>
  <c r="F67" i="71" s="1"/>
  <c r="Q67" i="71"/>
  <c r="P67" i="71"/>
  <c r="O67" i="71"/>
  <c r="N67" i="71"/>
  <c r="Q66" i="71"/>
  <c r="P66" i="71"/>
  <c r="O66" i="71"/>
  <c r="N66" i="71"/>
  <c r="D66" i="71"/>
  <c r="F65" i="71"/>
  <c r="V65" i="71"/>
  <c r="E65" i="71"/>
  <c r="C65" i="71"/>
  <c r="B65" i="71"/>
  <c r="S65" i="71"/>
  <c r="F64" i="71"/>
  <c r="F63" i="71" s="1"/>
  <c r="Q63" i="71"/>
  <c r="B64" i="71"/>
  <c r="D62" i="71"/>
  <c r="Q61" i="71"/>
  <c r="P61" i="71"/>
  <c r="O61" i="71"/>
  <c r="N61" i="71"/>
  <c r="Q60" i="71"/>
  <c r="P60" i="71"/>
  <c r="O60" i="71"/>
  <c r="N60" i="71"/>
  <c r="Q59" i="71"/>
  <c r="P59" i="71"/>
  <c r="O59" i="71"/>
  <c r="N59" i="71"/>
  <c r="Q58" i="71"/>
  <c r="F59" i="71"/>
  <c r="F60" i="71" s="1"/>
  <c r="F61" i="71"/>
  <c r="V61" i="71" s="1"/>
  <c r="P58" i="71"/>
  <c r="E59" i="71"/>
  <c r="O58" i="71"/>
  <c r="C59" i="71" s="1"/>
  <c r="N58" i="71"/>
  <c r="B59" i="71" s="1"/>
  <c r="B60" i="71"/>
  <c r="B61" i="71" s="1"/>
  <c r="S61" i="71" s="1"/>
  <c r="D58" i="71"/>
  <c r="Q57" i="71"/>
  <c r="P57" i="71"/>
  <c r="O57" i="71"/>
  <c r="N57" i="71"/>
  <c r="Q56" i="71"/>
  <c r="P56" i="71"/>
  <c r="O56" i="71"/>
  <c r="N56" i="71"/>
  <c r="Q55" i="71"/>
  <c r="P55" i="71"/>
  <c r="O55" i="71"/>
  <c r="N55" i="71"/>
  <c r="Q54" i="71"/>
  <c r="F55" i="71" s="1"/>
  <c r="F56" i="71"/>
  <c r="F57" i="71" s="1"/>
  <c r="V57" i="71"/>
  <c r="P54" i="71"/>
  <c r="E55" i="71"/>
  <c r="E56" i="71" s="1"/>
  <c r="E57" i="71" s="1"/>
  <c r="U57" i="71" s="1"/>
  <c r="O54" i="71"/>
  <c r="C55" i="71"/>
  <c r="D55" i="71" s="1"/>
  <c r="N54" i="71"/>
  <c r="B55" i="71"/>
  <c r="B56" i="71" s="1"/>
  <c r="B57" i="71"/>
  <c r="S57" i="71" s="1"/>
  <c r="D54" i="71"/>
  <c r="Q53" i="71"/>
  <c r="P53" i="71"/>
  <c r="O53" i="71"/>
  <c r="N53" i="71"/>
  <c r="Q52" i="71"/>
  <c r="P52" i="71"/>
  <c r="O52" i="71"/>
  <c r="N52" i="71"/>
  <c r="Q51" i="71"/>
  <c r="P51" i="71"/>
  <c r="O51" i="71"/>
  <c r="N51" i="71"/>
  <c r="C51" i="71"/>
  <c r="D51" i="71" s="1"/>
  <c r="Q50" i="71"/>
  <c r="F51" i="71" s="1"/>
  <c r="F52" i="71"/>
  <c r="F53" i="71" s="1"/>
  <c r="V53" i="71"/>
  <c r="P50" i="71"/>
  <c r="E51" i="71"/>
  <c r="E52" i="71" s="1"/>
  <c r="O50" i="71"/>
  <c r="N50" i="71"/>
  <c r="B51" i="71" s="1"/>
  <c r="B52" i="71" s="1"/>
  <c r="B53" i="71" s="1"/>
  <c r="S53" i="71" s="1"/>
  <c r="D50" i="71"/>
  <c r="Q49" i="71"/>
  <c r="P49" i="71"/>
  <c r="O49" i="71"/>
  <c r="N49" i="71"/>
  <c r="Q48" i="71"/>
  <c r="P48" i="71"/>
  <c r="O48" i="71"/>
  <c r="N48" i="71"/>
  <c r="Q47" i="71"/>
  <c r="P47" i="71"/>
  <c r="E48" i="71" s="1"/>
  <c r="E49" i="71" s="1"/>
  <c r="U49" i="71" s="1"/>
  <c r="O47" i="71"/>
  <c r="N47" i="71"/>
  <c r="Q46" i="71"/>
  <c r="F47" i="71"/>
  <c r="F48" i="71" s="1"/>
  <c r="F49" i="71" s="1"/>
  <c r="V49" i="71" s="1"/>
  <c r="P46" i="71"/>
  <c r="E47" i="71" s="1"/>
  <c r="O46" i="71"/>
  <c r="C47" i="71"/>
  <c r="D47" i="71" s="1"/>
  <c r="N46" i="71"/>
  <c r="B47" i="71"/>
  <c r="B48" i="71" s="1"/>
  <c r="B49" i="71" s="1"/>
  <c r="S49" i="71"/>
  <c r="D46" i="71"/>
  <c r="T45" i="71"/>
  <c r="Q45" i="71"/>
  <c r="P45" i="71"/>
  <c r="O45" i="71"/>
  <c r="N45" i="71"/>
  <c r="D45" i="71"/>
  <c r="Q44" i="71"/>
  <c r="P44" i="71"/>
  <c r="O44" i="71"/>
  <c r="N44" i="71"/>
  <c r="Q43" i="71"/>
  <c r="P43" i="71"/>
  <c r="O43" i="71"/>
  <c r="N43" i="71"/>
  <c r="F43" i="71"/>
  <c r="F44" i="71" s="1"/>
  <c r="F45" i="71" s="1"/>
  <c r="V45" i="71" s="1"/>
  <c r="Q42" i="71"/>
  <c r="P42" i="71"/>
  <c r="E43" i="71" s="1"/>
  <c r="E44" i="71" s="1"/>
  <c r="E45" i="71"/>
  <c r="U45" i="71" s="1"/>
  <c r="O42" i="71"/>
  <c r="C43" i="71"/>
  <c r="D43" i="71" s="1"/>
  <c r="N42" i="71"/>
  <c r="B43" i="71" s="1"/>
  <c r="B44" i="71" s="1"/>
  <c r="B45" i="71"/>
  <c r="S45" i="71" s="1"/>
  <c r="D42" i="71"/>
  <c r="Q41" i="71"/>
  <c r="P41" i="71"/>
  <c r="O41" i="71"/>
  <c r="N41" i="71"/>
  <c r="Q40" i="71"/>
  <c r="P40" i="71"/>
  <c r="O40" i="71"/>
  <c r="N40" i="71"/>
  <c r="Q39" i="71"/>
  <c r="P39" i="71"/>
  <c r="O39" i="71"/>
  <c r="N39" i="71"/>
  <c r="Q38" i="71"/>
  <c r="F39" i="71" s="1"/>
  <c r="F40" i="71" s="1"/>
  <c r="F41" i="71" s="1"/>
  <c r="V41" i="71" s="1"/>
  <c r="P38" i="71"/>
  <c r="E39" i="71"/>
  <c r="O38" i="71"/>
  <c r="C39" i="71"/>
  <c r="C40" i="71" s="1"/>
  <c r="D40" i="71" s="1"/>
  <c r="N38" i="71"/>
  <c r="B39" i="71"/>
  <c r="B40" i="71" s="1"/>
  <c r="B41" i="71"/>
  <c r="S41" i="71" s="1"/>
  <c r="D38" i="71"/>
  <c r="Q37" i="71"/>
  <c r="P37" i="71"/>
  <c r="O37" i="71"/>
  <c r="N37" i="71"/>
  <c r="AB36" i="71"/>
  <c r="Q36" i="71"/>
  <c r="P36" i="71"/>
  <c r="AA36" i="71"/>
  <c r="O36" i="71"/>
  <c r="N36" i="71"/>
  <c r="Q35" i="71"/>
  <c r="AB35" i="71" s="1"/>
  <c r="P35" i="71"/>
  <c r="O35" i="71"/>
  <c r="N35" i="71"/>
  <c r="Q34" i="71"/>
  <c r="P34" i="71"/>
  <c r="O34" i="71"/>
  <c r="N34" i="71"/>
  <c r="X32" i="71" s="1"/>
  <c r="D34" i="71"/>
  <c r="Q33" i="71"/>
  <c r="P33" i="71"/>
  <c r="AA33" i="71" s="1"/>
  <c r="O33" i="71"/>
  <c r="Y31" i="71" s="1"/>
  <c r="Y33" i="71"/>
  <c r="Z33" i="71" s="1"/>
  <c r="N33" i="71"/>
  <c r="Q32" i="71"/>
  <c r="P32" i="71"/>
  <c r="O32" i="71"/>
  <c r="Y32" i="71"/>
  <c r="Z32" i="71" s="1"/>
  <c r="N32" i="71"/>
  <c r="Q31" i="71"/>
  <c r="AB31" i="71"/>
  <c r="P31" i="71"/>
  <c r="O31" i="71"/>
  <c r="Z31" i="71"/>
  <c r="N31" i="71"/>
  <c r="F32" i="71"/>
  <c r="Q30" i="71"/>
  <c r="F31" i="71" s="1"/>
  <c r="P30" i="71"/>
  <c r="AA30" i="71" s="1"/>
  <c r="O30" i="71"/>
  <c r="N30" i="71"/>
  <c r="X30" i="71" s="1"/>
  <c r="D30" i="71"/>
  <c r="Q29" i="71"/>
  <c r="P29" i="71"/>
  <c r="O29" i="71"/>
  <c r="Y29" i="71"/>
  <c r="Z29" i="71" s="1"/>
  <c r="N29" i="71"/>
  <c r="X29" i="71" s="1"/>
  <c r="Q28" i="71"/>
  <c r="P28" i="71"/>
  <c r="O28" i="71"/>
  <c r="Y28" i="71" s="1"/>
  <c r="Z28" i="71" s="1"/>
  <c r="N28" i="71"/>
  <c r="Q27" i="71"/>
  <c r="P27" i="71"/>
  <c r="O27" i="71"/>
  <c r="Y26" i="71" s="1"/>
  <c r="Z26" i="71" s="1"/>
  <c r="N27" i="71"/>
  <c r="F27" i="71"/>
  <c r="F28" i="71" s="1"/>
  <c r="F29" i="71" s="1"/>
  <c r="V29" i="71"/>
  <c r="Q26" i="71"/>
  <c r="P26" i="71"/>
  <c r="O26" i="71"/>
  <c r="N26" i="71"/>
  <c r="D26" i="71"/>
  <c r="O25" i="71"/>
  <c r="N25" i="71"/>
  <c r="B27" i="71"/>
  <c r="B28" i="71" s="1"/>
  <c r="B29" i="71" s="1"/>
  <c r="S29" i="71" s="1"/>
  <c r="E27" i="71"/>
  <c r="B31" i="71"/>
  <c r="B32" i="71" s="1"/>
  <c r="B33" i="71" s="1"/>
  <c r="S33" i="71" s="1"/>
  <c r="E35" i="71"/>
  <c r="E36" i="71"/>
  <c r="E37" i="71" s="1"/>
  <c r="U37" i="71" s="1"/>
  <c r="AA34" i="71"/>
  <c r="N65" i="71"/>
  <c r="E31" i="71"/>
  <c r="E32" i="71" s="1"/>
  <c r="E33" i="71" s="1"/>
  <c r="U33" i="71" s="1"/>
  <c r="C27" i="71"/>
  <c r="AA27" i="71"/>
  <c r="C31" i="71"/>
  <c r="C32" i="71" s="1"/>
  <c r="D32" i="71" s="1"/>
  <c r="X31" i="71"/>
  <c r="C35" i="71"/>
  <c r="C36" i="71" s="1"/>
  <c r="D36" i="71" s="1"/>
  <c r="AA35" i="71"/>
  <c r="C25" i="71"/>
  <c r="C24" i="71" s="1"/>
  <c r="B25" i="71"/>
  <c r="B24" i="71"/>
  <c r="B23" i="71" s="1"/>
  <c r="C28" i="71"/>
  <c r="D28" i="71" s="1"/>
  <c r="D27" i="71"/>
  <c r="D35" i="71"/>
  <c r="C44" i="71"/>
  <c r="D44" i="71"/>
  <c r="C48" i="71"/>
  <c r="D48" i="71" s="1"/>
  <c r="P25" i="71"/>
  <c r="E53" i="71"/>
  <c r="U53" i="71" s="1"/>
  <c r="Q62" i="71"/>
  <c r="E64" i="71"/>
  <c r="E63" i="71" s="1"/>
  <c r="P63" i="71" s="1"/>
  <c r="Q25" i="71"/>
  <c r="C52" i="71"/>
  <c r="D52" i="71" s="1"/>
  <c r="C56" i="71"/>
  <c r="D56" i="71" s="1"/>
  <c r="C60" i="71"/>
  <c r="C61" i="71" s="1"/>
  <c r="T61" i="71" s="1"/>
  <c r="D59" i="71"/>
  <c r="N64" i="71"/>
  <c r="B63" i="71"/>
  <c r="Q64" i="71"/>
  <c r="T65" i="71"/>
  <c r="O65" i="71"/>
  <c r="D65" i="71"/>
  <c r="C64" i="71"/>
  <c r="O64" i="71" s="1"/>
  <c r="Q65" i="71"/>
  <c r="C68" i="71"/>
  <c r="D68" i="71" s="1"/>
  <c r="E68" i="71"/>
  <c r="E67" i="71"/>
  <c r="D69" i="71"/>
  <c r="C72" i="71"/>
  <c r="C71" i="71" s="1"/>
  <c r="E72" i="71"/>
  <c r="E71" i="71"/>
  <c r="D73" i="71"/>
  <c r="C76" i="71"/>
  <c r="C75" i="71" s="1"/>
  <c r="E76" i="71"/>
  <c r="E75" i="71"/>
  <c r="C80" i="71"/>
  <c r="D80" i="71" s="1"/>
  <c r="T25" i="71"/>
  <c r="S25" i="71"/>
  <c r="F25" i="71"/>
  <c r="F24" i="71"/>
  <c r="F23" i="71" s="1"/>
  <c r="AB24" i="71"/>
  <c r="AA24" i="71"/>
  <c r="C63" i="71"/>
  <c r="D63" i="71" s="1"/>
  <c r="D64" i="71"/>
  <c r="D60" i="71"/>
  <c r="D71" i="71"/>
  <c r="N62" i="71"/>
  <c r="N63" i="71"/>
  <c r="D76" i="71"/>
  <c r="D75" i="71"/>
  <c r="C53" i="71"/>
  <c r="T53" i="71" s="1"/>
  <c r="P64" i="71"/>
  <c r="C37" i="71"/>
  <c r="T37" i="71" s="1"/>
  <c r="C33" i="71"/>
  <c r="T33" i="71" s="1"/>
  <c r="D24" i="71"/>
  <c r="P62" i="71"/>
  <c r="O62" i="71"/>
  <c r="D33" i="71"/>
  <c r="D53" i="71"/>
  <c r="D61"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Q21" i="37"/>
  <c r="Z21" i="37" s="1"/>
  <c r="D77" i="37"/>
  <c r="E77" i="37" s="1"/>
  <c r="C21" i="37"/>
  <c r="Q21" i="34"/>
  <c r="Z21" i="34" s="1"/>
  <c r="D84" i="34"/>
  <c r="E84" i="34"/>
  <c r="F21" i="34"/>
  <c r="AA21" i="34" s="1"/>
  <c r="C21" i="34"/>
  <c r="Q21" i="33"/>
  <c r="Z21" i="33" s="1"/>
  <c r="D83" i="33"/>
  <c r="E83" i="33" s="1"/>
  <c r="C21" i="33"/>
  <c r="C21" i="21"/>
  <c r="Q21" i="21"/>
  <c r="Z21" i="21" s="1"/>
  <c r="H19" i="21"/>
  <c r="D83" i="21"/>
  <c r="F21" i="21"/>
  <c r="AA21" i="21" s="1"/>
  <c r="D81" i="21"/>
  <c r="G20" i="20"/>
  <c r="C25" i="40" s="1"/>
  <c r="B86" i="43"/>
  <c r="C22" i="20"/>
  <c r="B75" i="43" s="1"/>
  <c r="B55" i="43"/>
  <c r="B66" i="43"/>
  <c r="S25" i="40"/>
  <c r="S18" i="36"/>
  <c r="U18" i="36"/>
  <c r="S21" i="34"/>
  <c r="H25" i="40"/>
  <c r="AB25" i="40" s="1"/>
  <c r="J25" i="40"/>
  <c r="H29" i="39"/>
  <c r="AB29" i="39" s="1"/>
  <c r="J29" i="39"/>
  <c r="AC29" i="39" s="1"/>
  <c r="J18" i="36"/>
  <c r="AC18" i="36" s="1"/>
  <c r="F68" i="35"/>
  <c r="H18" i="35"/>
  <c r="AB18" i="35" s="1"/>
  <c r="S18" i="35"/>
  <c r="G68" i="35"/>
  <c r="J18" i="35"/>
  <c r="F77" i="37"/>
  <c r="G77" i="37" s="1"/>
  <c r="H21" i="37"/>
  <c r="F21" i="37"/>
  <c r="AA21" i="37" s="1"/>
  <c r="F84" i="34"/>
  <c r="H21" i="34"/>
  <c r="AB21" i="34" s="1"/>
  <c r="F83" i="33"/>
  <c r="H21" i="33"/>
  <c r="U21" i="33" s="1"/>
  <c r="F21" i="33"/>
  <c r="E83" i="21"/>
  <c r="F83" i="21" s="1"/>
  <c r="G83" i="21" s="1"/>
  <c r="S21" i="21"/>
  <c r="H1" i="69"/>
  <c r="AC25" i="40"/>
  <c r="W25" i="40"/>
  <c r="U29" i="39"/>
  <c r="W29" i="39"/>
  <c r="W18" i="36"/>
  <c r="AB21" i="37"/>
  <c r="U21" i="37"/>
  <c r="S21" i="37"/>
  <c r="U21" i="34"/>
  <c r="AB21" i="33"/>
  <c r="AA21" i="33"/>
  <c r="S21" i="33"/>
  <c r="AC18" i="35"/>
  <c r="W18" i="35"/>
  <c r="J21" i="37"/>
  <c r="AC21" i="37" s="1"/>
  <c r="G84" i="34"/>
  <c r="J21" i="34"/>
  <c r="AC21" i="34" s="1"/>
  <c r="G83" i="33"/>
  <c r="J21" i="33"/>
  <c r="AC21" i="33" s="1"/>
  <c r="H21" i="21"/>
  <c r="AB21" i="21" s="1"/>
  <c r="F38" i="69"/>
  <c r="E37" i="69"/>
  <c r="F36" i="69"/>
  <c r="F35" i="69"/>
  <c r="F21" i="69"/>
  <c r="F40" i="69" s="1"/>
  <c r="F20" i="69"/>
  <c r="F39" i="69" s="1"/>
  <c r="E10" i="69"/>
  <c r="E9" i="69"/>
  <c r="C7" i="69"/>
  <c r="W21" i="37"/>
  <c r="W21" i="33"/>
  <c r="J21" i="21"/>
  <c r="W21" i="21" s="1"/>
  <c r="F38" i="68"/>
  <c r="E37" i="68"/>
  <c r="F36" i="68"/>
  <c r="F35" i="68"/>
  <c r="F21" i="68"/>
  <c r="F40" i="68" s="1"/>
  <c r="F20" i="68"/>
  <c r="F39" i="68" s="1"/>
  <c r="E10" i="68"/>
  <c r="E9" i="68"/>
  <c r="C7" i="68"/>
  <c r="C5" i="68" s="1"/>
  <c r="Q72" i="67"/>
  <c r="Q59" i="67"/>
  <c r="Q58" i="67"/>
  <c r="Q51" i="67"/>
  <c r="J50" i="67"/>
  <c r="M47" i="67"/>
  <c r="D46" i="67"/>
  <c r="F33" i="67"/>
  <c r="F61" i="67"/>
  <c r="F23" i="67"/>
  <c r="D24" i="67" s="1"/>
  <c r="F21" i="67"/>
  <c r="F20" i="67"/>
  <c r="M19" i="67"/>
  <c r="F18" i="67"/>
  <c r="F17" i="67"/>
  <c r="F15" i="67"/>
  <c r="S2" i="4"/>
  <c r="C51" i="10" s="1"/>
  <c r="A13" i="51" s="1"/>
  <c r="B11" i="72" s="1"/>
  <c r="S1" i="4"/>
  <c r="A4" i="51" s="1"/>
  <c r="B6" i="72" s="1"/>
  <c r="B1" i="4"/>
  <c r="B37" i="48" s="1"/>
  <c r="B2" i="72" s="1"/>
  <c r="D1" i="43"/>
  <c r="F113" i="43"/>
  <c r="N99" i="43"/>
  <c r="N108" i="43" s="1"/>
  <c r="D99" i="43"/>
  <c r="D100"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F15" i="4"/>
  <c r="F8" i="1"/>
  <c r="F9" i="1"/>
  <c r="F10" i="1"/>
  <c r="G10" i="1" s="1"/>
  <c r="F11" i="1"/>
  <c r="G11" i="1" s="1"/>
  <c r="F12" i="1"/>
  <c r="F13" i="1"/>
  <c r="G13" i="1" s="1"/>
  <c r="D6" i="1"/>
  <c r="D9" i="1"/>
  <c r="D10" i="1"/>
  <c r="D11" i="1"/>
  <c r="D12" i="1"/>
  <c r="G12" i="1" s="1"/>
  <c r="D13" i="1"/>
  <c r="D7" i="1"/>
  <c r="D8" i="1"/>
  <c r="A7" i="1"/>
  <c r="B7" i="1" s="1"/>
  <c r="A8" i="1"/>
  <c r="B8" i="1"/>
  <c r="E8" i="1" s="1"/>
  <c r="A9" i="1"/>
  <c r="A10" i="1"/>
  <c r="A11" i="1"/>
  <c r="B11" i="1" s="1"/>
  <c r="E11" i="1" s="1"/>
  <c r="A12" i="1"/>
  <c r="A13" i="1"/>
  <c r="A6" i="1"/>
  <c r="F3" i="35"/>
  <c r="E7" i="1"/>
  <c r="K10" i="1"/>
  <c r="M10" i="1" s="1"/>
  <c r="O10" i="1" s="1"/>
  <c r="P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G68" i="3" s="1"/>
  <c r="H68" i="3"/>
  <c r="BT67" i="3"/>
  <c r="BS67" i="3"/>
  <c r="BR67" i="3"/>
  <c r="BQ67" i="3"/>
  <c r="BP67" i="3"/>
  <c r="BO67" i="3"/>
  <c r="BN67" i="3"/>
  <c r="BM67" i="3"/>
  <c r="BL67" i="3" s="1"/>
  <c r="BK67" i="3"/>
  <c r="BJ67" i="3"/>
  <c r="BI67" i="3"/>
  <c r="BH67" i="3"/>
  <c r="BG67" i="3"/>
  <c r="BF67" i="3"/>
  <c r="BE67" i="3"/>
  <c r="BD67" i="3"/>
  <c r="BC67" i="3"/>
  <c r="BA67" i="3" s="1"/>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G63" i="3" s="1"/>
  <c r="H63" i="3"/>
  <c r="BT62" i="3"/>
  <c r="BS62" i="3"/>
  <c r="BR62" i="3"/>
  <c r="BQ62" i="3"/>
  <c r="BP62" i="3"/>
  <c r="BO62" i="3"/>
  <c r="BN62" i="3"/>
  <c r="BM62" i="3"/>
  <c r="BL62" i="3" s="1"/>
  <c r="BK62" i="3"/>
  <c r="BJ62" i="3"/>
  <c r="BI62" i="3"/>
  <c r="BH62" i="3"/>
  <c r="BG62" i="3"/>
  <c r="BF62" i="3"/>
  <c r="BE62" i="3"/>
  <c r="BD62" i="3"/>
  <c r="BC62" i="3"/>
  <c r="BA62" i="3" s="1"/>
  <c r="AZ62" i="3" s="1"/>
  <c r="BB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G58" i="3" s="1"/>
  <c r="H58" i="3"/>
  <c r="BT57" i="3"/>
  <c r="BS57" i="3"/>
  <c r="BR57" i="3"/>
  <c r="BQ57" i="3"/>
  <c r="BP57" i="3"/>
  <c r="BO57" i="3"/>
  <c r="BN57" i="3"/>
  <c r="BM57" i="3"/>
  <c r="BL57" i="3"/>
  <c r="BK57" i="3"/>
  <c r="BJ57" i="3"/>
  <c r="BI57" i="3"/>
  <c r="BH57" i="3"/>
  <c r="BG57" i="3"/>
  <c r="BF57" i="3"/>
  <c r="BE57" i="3"/>
  <c r="BD57" i="3"/>
  <c r="BC57" i="3"/>
  <c r="BA57" i="3" s="1"/>
  <c r="AZ57" i="3" s="1"/>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c r="BK49" i="3"/>
  <c r="BJ49" i="3"/>
  <c r="BI49" i="3"/>
  <c r="BH49" i="3"/>
  <c r="BG49" i="3"/>
  <c r="BF49" i="3"/>
  <c r="BE49" i="3"/>
  <c r="BD49" i="3"/>
  <c r="BA49" i="3" s="1"/>
  <c r="AZ49" i="3" s="1"/>
  <c r="BC49" i="3"/>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L46" i="3" s="1"/>
  <c r="BK46" i="3"/>
  <c r="BJ46" i="3"/>
  <c r="BI46" i="3"/>
  <c r="BH46" i="3"/>
  <c r="BG46" i="3"/>
  <c r="BF46" i="3"/>
  <c r="BE46" i="3"/>
  <c r="BD46" i="3"/>
  <c r="BC46" i="3"/>
  <c r="BA46" i="3" s="1"/>
  <c r="AZ46" i="3" s="1"/>
  <c r="BB46" i="3"/>
  <c r="AX46" i="3"/>
  <c r="AW46" i="3"/>
  <c r="AV46" i="3"/>
  <c r="AC46" i="3"/>
  <c r="H46" i="3"/>
  <c r="G46" i="3" s="1"/>
  <c r="BT45" i="3"/>
  <c r="BS45" i="3"/>
  <c r="BR45" i="3"/>
  <c r="BQ45" i="3"/>
  <c r="BP45" i="3"/>
  <c r="BO45" i="3"/>
  <c r="BL45" i="3" s="1"/>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L44" i="3" s="1"/>
  <c r="BM44" i="3"/>
  <c r="BK44" i="3"/>
  <c r="BJ44" i="3"/>
  <c r="BI44" i="3"/>
  <c r="BH44" i="3"/>
  <c r="BG44" i="3"/>
  <c r="BF44" i="3"/>
  <c r="BE44" i="3"/>
  <c r="BD44" i="3"/>
  <c r="BC44" i="3"/>
  <c r="BB44" i="3"/>
  <c r="BA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G42" i="3" s="1"/>
  <c r="H42" i="3"/>
  <c r="BT41" i="3"/>
  <c r="BS41" i="3"/>
  <c r="BR41" i="3"/>
  <c r="BQ41" i="3"/>
  <c r="BP41" i="3"/>
  <c r="BO41" i="3"/>
  <c r="BN41" i="3"/>
  <c r="BM41" i="3"/>
  <c r="BL41" i="3"/>
  <c r="BK41" i="3"/>
  <c r="BJ41" i="3"/>
  <c r="BI41" i="3"/>
  <c r="BH41" i="3"/>
  <c r="BG41" i="3"/>
  <c r="BF41" i="3"/>
  <c r="BE41" i="3"/>
  <c r="BD41" i="3"/>
  <c r="BC41" i="3"/>
  <c r="BA41" i="3" s="1"/>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A39" i="3" s="1"/>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L36" i="3" s="1"/>
  <c r="BM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G35" i="3" s="1"/>
  <c r="H35" i="3"/>
  <c r="BT34" i="3"/>
  <c r="BS34" i="3"/>
  <c r="BR34" i="3"/>
  <c r="BQ34" i="3"/>
  <c r="BP34" i="3"/>
  <c r="BO34" i="3"/>
  <c r="BN34" i="3"/>
  <c r="BM34" i="3"/>
  <c r="BL34" i="3" s="1"/>
  <c r="BK34" i="3"/>
  <c r="BJ34" i="3"/>
  <c r="BI34" i="3"/>
  <c r="BH34" i="3"/>
  <c r="BG34" i="3"/>
  <c r="BF34" i="3"/>
  <c r="BE34" i="3"/>
  <c r="BD34" i="3"/>
  <c r="BC34" i="3"/>
  <c r="BA34" i="3" s="1"/>
  <c r="AZ34" i="3" s="1"/>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G30" i="3" s="1"/>
  <c r="H30" i="3"/>
  <c r="BT29" i="3"/>
  <c r="BS29" i="3"/>
  <c r="BR29" i="3"/>
  <c r="BQ29" i="3"/>
  <c r="BP29" i="3"/>
  <c r="BO29" i="3"/>
  <c r="BN29" i="3"/>
  <c r="BM29" i="3"/>
  <c r="BL29" i="3" s="1"/>
  <c r="BK29" i="3"/>
  <c r="BJ29" i="3"/>
  <c r="BI29" i="3"/>
  <c r="BH29" i="3"/>
  <c r="BG29" i="3"/>
  <c r="BF29" i="3"/>
  <c r="BE29" i="3"/>
  <c r="BD29" i="3"/>
  <c r="BC29" i="3"/>
  <c r="BA29" i="3" s="1"/>
  <c r="BB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G28" i="3" s="1"/>
  <c r="H28" i="3"/>
  <c r="BT27" i="3"/>
  <c r="BS27" i="3"/>
  <c r="BR27" i="3"/>
  <c r="BQ27" i="3"/>
  <c r="BP27" i="3"/>
  <c r="BO27" i="3"/>
  <c r="BN27" i="3"/>
  <c r="BM27" i="3"/>
  <c r="BL27" i="3" s="1"/>
  <c r="BK27" i="3"/>
  <c r="BJ27" i="3"/>
  <c r="BI27" i="3"/>
  <c r="BH27" i="3"/>
  <c r="BG27" i="3"/>
  <c r="BF27" i="3"/>
  <c r="BE27" i="3"/>
  <c r="BD27" i="3"/>
  <c r="BC27" i="3"/>
  <c r="BA27" i="3" s="1"/>
  <c r="BB27" i="3"/>
  <c r="AX27" i="3"/>
  <c r="AW27" i="3"/>
  <c r="AV27" i="3"/>
  <c r="AC27" i="3"/>
  <c r="H27" i="3"/>
  <c r="G27" i="3" s="1"/>
  <c r="BT26" i="3"/>
  <c r="BS26" i="3"/>
  <c r="BR26" i="3"/>
  <c r="BQ26" i="3"/>
  <c r="BP26" i="3"/>
  <c r="BO26" i="3"/>
  <c r="BN26" i="3"/>
  <c r="BL26" i="3" s="1"/>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G25" i="3" s="1"/>
  <c r="H25" i="3"/>
  <c r="BT24" i="3"/>
  <c r="BS24" i="3"/>
  <c r="BR24" i="3"/>
  <c r="BQ24" i="3"/>
  <c r="BP24" i="3"/>
  <c r="BO24" i="3"/>
  <c r="BN24" i="3"/>
  <c r="BM24" i="3"/>
  <c r="BL24" i="3" s="1"/>
  <c r="BK24" i="3"/>
  <c r="BJ24" i="3"/>
  <c r="BI24" i="3"/>
  <c r="BH24" i="3"/>
  <c r="BG24" i="3"/>
  <c r="BF24" i="3"/>
  <c r="BE24" i="3"/>
  <c r="BD24" i="3"/>
  <c r="BC24" i="3"/>
  <c r="BA24" i="3" s="1"/>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G22" i="3" s="1"/>
  <c r="H22" i="3"/>
  <c r="BT21" i="3"/>
  <c r="BS21" i="3"/>
  <c r="BR21" i="3"/>
  <c r="BQ21" i="3"/>
  <c r="BP21" i="3"/>
  <c r="BO21" i="3"/>
  <c r="BN21" i="3"/>
  <c r="BM21" i="3"/>
  <c r="BL21" i="3" s="1"/>
  <c r="BK21" i="3"/>
  <c r="BJ21" i="3"/>
  <c r="BI21" i="3"/>
  <c r="BH21" i="3"/>
  <c r="BG21" i="3"/>
  <c r="BF21" i="3"/>
  <c r="BE21" i="3"/>
  <c r="BD21" i="3"/>
  <c r="BC21" i="3"/>
  <c r="BA21" i="3" s="1"/>
  <c r="BB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G20" i="3" s="1"/>
  <c r="H20" i="3"/>
  <c r="BT19" i="3"/>
  <c r="BS19" i="3"/>
  <c r="BR19" i="3"/>
  <c r="BQ19" i="3"/>
  <c r="BP19" i="3"/>
  <c r="BO19" i="3"/>
  <c r="BN19" i="3"/>
  <c r="BM19" i="3"/>
  <c r="BL19" i="3" s="1"/>
  <c r="BK19" i="3"/>
  <c r="BJ19" i="3"/>
  <c r="BI19" i="3"/>
  <c r="BH19" i="3"/>
  <c r="BG19" i="3"/>
  <c r="BF19" i="3"/>
  <c r="BE19" i="3"/>
  <c r="BD19" i="3"/>
  <c r="BC19" i="3"/>
  <c r="BA19" i="3" s="1"/>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G207" i="3" s="1"/>
  <c r="H207" i="3"/>
  <c r="BT206" i="3"/>
  <c r="BS206" i="3"/>
  <c r="BR206" i="3"/>
  <c r="BQ206" i="3"/>
  <c r="BP206" i="3"/>
  <c r="BO206" i="3"/>
  <c r="BN206" i="3"/>
  <c r="BM206" i="3"/>
  <c r="BL206" i="3" s="1"/>
  <c r="BK206" i="3"/>
  <c r="BJ206" i="3"/>
  <c r="BI206" i="3"/>
  <c r="BH206" i="3"/>
  <c r="BG206" i="3"/>
  <c r="BF206" i="3"/>
  <c r="BE206" i="3"/>
  <c r="BD206" i="3"/>
  <c r="BC206" i="3"/>
  <c r="BA206" i="3" s="1"/>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G200" i="3" s="1"/>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L197" i="3" s="1"/>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G194" i="3" s="1"/>
  <c r="H194" i="3"/>
  <c r="BT193" i="3"/>
  <c r="BS193" i="3"/>
  <c r="BR193" i="3"/>
  <c r="BQ193" i="3"/>
  <c r="BP193" i="3"/>
  <c r="BO193" i="3"/>
  <c r="BN193" i="3"/>
  <c r="BM193" i="3"/>
  <c r="BL193" i="3" s="1"/>
  <c r="BK193" i="3"/>
  <c r="BJ193" i="3"/>
  <c r="BI193" i="3"/>
  <c r="BH193" i="3"/>
  <c r="BG193" i="3"/>
  <c r="BF193" i="3"/>
  <c r="BE193" i="3"/>
  <c r="BD193" i="3"/>
  <c r="BC193" i="3"/>
  <c r="BA193" i="3" s="1"/>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L191" i="3" s="1"/>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L190" i="3" s="1"/>
  <c r="BK190" i="3"/>
  <c r="BJ190" i="3"/>
  <c r="BI190" i="3"/>
  <c r="BH190" i="3"/>
  <c r="BG190" i="3"/>
  <c r="BF190" i="3"/>
  <c r="BE190" i="3"/>
  <c r="BD190" i="3"/>
  <c r="BC190" i="3"/>
  <c r="BA190" i="3" s="1"/>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G188" i="3" s="1"/>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L185" i="3" s="1"/>
  <c r="BM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A184" i="3" s="1"/>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A178" i="3" s="1"/>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L173" i="3" s="1"/>
  <c r="BK173" i="3"/>
  <c r="BJ173" i="3"/>
  <c r="BI173" i="3"/>
  <c r="BH173" i="3"/>
  <c r="BG173" i="3"/>
  <c r="BF173" i="3"/>
  <c r="BE173" i="3"/>
  <c r="BD173" i="3"/>
  <c r="BC173" i="3"/>
  <c r="BA173" i="3" s="1"/>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A172" i="3" s="1"/>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L170" i="3" s="1"/>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L165" i="3" s="1"/>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G162" i="3" s="1"/>
  <c r="H162" i="3"/>
  <c r="BT161" i="3"/>
  <c r="BS161" i="3"/>
  <c r="BR161" i="3"/>
  <c r="BQ161" i="3"/>
  <c r="BP161" i="3"/>
  <c r="BO161" i="3"/>
  <c r="BN161" i="3"/>
  <c r="BM161" i="3"/>
  <c r="BL161" i="3" s="1"/>
  <c r="BK161" i="3"/>
  <c r="BJ161" i="3"/>
  <c r="BI161" i="3"/>
  <c r="BH161" i="3"/>
  <c r="BG161" i="3"/>
  <c r="BF161" i="3"/>
  <c r="BE161" i="3"/>
  <c r="BD161" i="3"/>
  <c r="BC161" i="3"/>
  <c r="BA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L158" i="3" s="1"/>
  <c r="BK158" i="3"/>
  <c r="BJ158" i="3"/>
  <c r="BI158" i="3"/>
  <c r="BH158" i="3"/>
  <c r="BG158" i="3"/>
  <c r="BF158" i="3"/>
  <c r="BE158" i="3"/>
  <c r="BD158" i="3"/>
  <c r="BC158" i="3"/>
  <c r="BA158" i="3" s="1"/>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L150" i="3" s="1"/>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L146" i="3" s="1"/>
  <c r="BN146" i="3"/>
  <c r="BM146" i="3"/>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G142" i="3" s="1"/>
  <c r="H142" i="3"/>
  <c r="BT141" i="3"/>
  <c r="BS141" i="3"/>
  <c r="BR141" i="3"/>
  <c r="BQ141" i="3"/>
  <c r="BP141" i="3"/>
  <c r="BO141" i="3"/>
  <c r="BN141" i="3"/>
  <c r="BM141" i="3"/>
  <c r="BL141" i="3" s="1"/>
  <c r="BK141" i="3"/>
  <c r="BJ141" i="3"/>
  <c r="BI141" i="3"/>
  <c r="BH141" i="3"/>
  <c r="BG141" i="3"/>
  <c r="BF141" i="3"/>
  <c r="BE141" i="3"/>
  <c r="BD141" i="3"/>
  <c r="BC141" i="3"/>
  <c r="BA141" i="3" s="1"/>
  <c r="AZ141" i="3" s="1"/>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L139" i="3" s="1"/>
  <c r="BM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K138" i="3"/>
  <c r="BJ138" i="3"/>
  <c r="BI138" i="3"/>
  <c r="BH138" i="3"/>
  <c r="BG138" i="3"/>
  <c r="BF138" i="3"/>
  <c r="BE138" i="3"/>
  <c r="BD138" i="3"/>
  <c r="BC138" i="3"/>
  <c r="BA138" i="3" s="1"/>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A130" i="3" s="1"/>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G124" i="3" s="1"/>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L119" i="3" s="1"/>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M118" i="3"/>
  <c r="BK118" i="3"/>
  <c r="BJ118" i="3"/>
  <c r="BI118" i="3"/>
  <c r="BH118" i="3"/>
  <c r="BG118" i="3"/>
  <c r="BF118" i="3"/>
  <c r="BE118" i="3"/>
  <c r="BD118" i="3"/>
  <c r="BC118" i="3"/>
  <c r="BA118" i="3" s="1"/>
  <c r="BB118" i="3"/>
  <c r="AX118" i="3"/>
  <c r="AW118" i="3"/>
  <c r="AV118" i="3"/>
  <c r="AC118" i="3"/>
  <c r="H118" i="3"/>
  <c r="G118" i="3" s="1"/>
  <c r="BT117" i="3"/>
  <c r="BS117" i="3"/>
  <c r="BR117" i="3"/>
  <c r="BQ117" i="3"/>
  <c r="BP117" i="3"/>
  <c r="BO117" i="3"/>
  <c r="BN117" i="3"/>
  <c r="BL117" i="3" s="1"/>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G114" i="3" s="1"/>
  <c r="H114" i="3"/>
  <c r="BT113" i="3"/>
  <c r="BS113" i="3"/>
  <c r="BR113" i="3"/>
  <c r="BQ113" i="3"/>
  <c r="BP113" i="3"/>
  <c r="BO113" i="3"/>
  <c r="BN113" i="3"/>
  <c r="BM113" i="3"/>
  <c r="BL113" i="3" s="1"/>
  <c r="BK113" i="3"/>
  <c r="BJ113" i="3"/>
  <c r="BI113" i="3"/>
  <c r="BH113" i="3"/>
  <c r="BG113" i="3"/>
  <c r="BF113" i="3"/>
  <c r="BE113" i="3"/>
  <c r="BD113" i="3"/>
  <c r="BC113" i="3"/>
  <c r="BA113" i="3" s="1"/>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G301" i="3" s="1"/>
  <c r="H301" i="3"/>
  <c r="BT300" i="3"/>
  <c r="BS300" i="3"/>
  <c r="BR300" i="3"/>
  <c r="BQ300" i="3"/>
  <c r="BP300" i="3"/>
  <c r="BO300" i="3"/>
  <c r="BN300" i="3"/>
  <c r="BM300" i="3"/>
  <c r="BL300" i="3" s="1"/>
  <c r="BK300" i="3"/>
  <c r="BJ300" i="3"/>
  <c r="BI300" i="3"/>
  <c r="BH300" i="3"/>
  <c r="BG300" i="3"/>
  <c r="BF300" i="3"/>
  <c r="BE300" i="3"/>
  <c r="BD300" i="3"/>
  <c r="BC300" i="3"/>
  <c r="BA300" i="3" s="1"/>
  <c r="BB300" i="3"/>
  <c r="AX300" i="3"/>
  <c r="AW300" i="3"/>
  <c r="AV300" i="3"/>
  <c r="AC300" i="3"/>
  <c r="H300" i="3"/>
  <c r="G300" i="3" s="1"/>
  <c r="BT299" i="3"/>
  <c r="BS299" i="3"/>
  <c r="BR299" i="3"/>
  <c r="BQ299" i="3"/>
  <c r="BP299" i="3"/>
  <c r="BO299" i="3"/>
  <c r="BN299" i="3"/>
  <c r="BL299" i="3" s="1"/>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G298" i="3" s="1"/>
  <c r="H298" i="3"/>
  <c r="BT297" i="3"/>
  <c r="BS297" i="3"/>
  <c r="BR297" i="3"/>
  <c r="BQ297" i="3"/>
  <c r="BP297" i="3"/>
  <c r="BO297" i="3"/>
  <c r="BN297" i="3"/>
  <c r="BM297" i="3"/>
  <c r="BL297" i="3" s="1"/>
  <c r="BK297" i="3"/>
  <c r="BJ297" i="3"/>
  <c r="BI297" i="3"/>
  <c r="BH297" i="3"/>
  <c r="BG297" i="3"/>
  <c r="BF297" i="3"/>
  <c r="BE297" i="3"/>
  <c r="BD297" i="3"/>
  <c r="BC297" i="3"/>
  <c r="BA297" i="3" s="1"/>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s="1"/>
  <c r="BK295" i="3"/>
  <c r="BJ295" i="3"/>
  <c r="BI295" i="3"/>
  <c r="BH295" i="3"/>
  <c r="BG295" i="3"/>
  <c r="BF295" i="3"/>
  <c r="BE295" i="3"/>
  <c r="BD295" i="3"/>
  <c r="BC295" i="3"/>
  <c r="BA295" i="3" s="1"/>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G293" i="3" s="1"/>
  <c r="H293" i="3"/>
  <c r="BT292" i="3"/>
  <c r="BS292" i="3"/>
  <c r="BR292" i="3"/>
  <c r="BQ292" i="3"/>
  <c r="BP292" i="3"/>
  <c r="BO292" i="3"/>
  <c r="BN292" i="3"/>
  <c r="BM292" i="3"/>
  <c r="BL292" i="3" s="1"/>
  <c r="BK292" i="3"/>
  <c r="BJ292" i="3"/>
  <c r="BI292" i="3"/>
  <c r="BH292" i="3"/>
  <c r="BG292" i="3"/>
  <c r="BF292" i="3"/>
  <c r="BE292" i="3"/>
  <c r="BD292" i="3"/>
  <c r="BC292" i="3"/>
  <c r="BA292" i="3" s="1"/>
  <c r="BB292" i="3"/>
  <c r="AX292" i="3"/>
  <c r="AW292" i="3"/>
  <c r="AV292" i="3"/>
  <c r="AC292" i="3"/>
  <c r="H292" i="3"/>
  <c r="G292" i="3" s="1"/>
  <c r="BT291" i="3"/>
  <c r="BS291" i="3"/>
  <c r="BR291" i="3"/>
  <c r="BQ291" i="3"/>
  <c r="BP291" i="3"/>
  <c r="BO291" i="3"/>
  <c r="BN291" i="3"/>
  <c r="BL291" i="3" s="1"/>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L289" i="3" s="1"/>
  <c r="BK289" i="3"/>
  <c r="BJ289" i="3"/>
  <c r="BI289" i="3"/>
  <c r="BH289" i="3"/>
  <c r="BG289" i="3"/>
  <c r="BF289" i="3"/>
  <c r="BE289" i="3"/>
  <c r="BD289" i="3"/>
  <c r="BC289" i="3"/>
  <c r="BA289" i="3" s="1"/>
  <c r="BB289" i="3"/>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A284" i="3" s="1"/>
  <c r="BB284" i="3"/>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A280" i="3" s="1"/>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A279" i="3" s="1"/>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L277" i="3" s="1"/>
  <c r="AZ277" i="3" s="1"/>
  <c r="BM277" i="3"/>
  <c r="BK277" i="3"/>
  <c r="BJ277" i="3"/>
  <c r="BI277" i="3"/>
  <c r="BH277" i="3"/>
  <c r="BG277" i="3"/>
  <c r="BF277" i="3"/>
  <c r="BE277" i="3"/>
  <c r="BD277" i="3"/>
  <c r="BC277" i="3"/>
  <c r="BB277" i="3"/>
  <c r="BA277" i="3" s="1"/>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A276" i="3" s="1"/>
  <c r="BB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G273" i="3" s="1"/>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L270" i="3" s="1"/>
  <c r="BM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A269" i="3" s="1"/>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A267" i="3" s="1"/>
  <c r="AZ267" i="3" s="1"/>
  <c r="BB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N262" i="3"/>
  <c r="BM262" i="3"/>
  <c r="BL262" i="3"/>
  <c r="BK262" i="3"/>
  <c r="BJ262" i="3"/>
  <c r="BI262" i="3"/>
  <c r="BH262" i="3"/>
  <c r="BG262" i="3"/>
  <c r="BF262" i="3"/>
  <c r="BE262" i="3"/>
  <c r="BD262" i="3"/>
  <c r="BC262" i="3"/>
  <c r="BA262" i="3" s="1"/>
  <c r="AZ262" i="3" s="1"/>
  <c r="BB262" i="3"/>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c r="BT243" i="3"/>
  <c r="BS243" i="3"/>
  <c r="BR243" i="3"/>
  <c r="BQ243" i="3"/>
  <c r="BP243" i="3"/>
  <c r="BO243" i="3"/>
  <c r="BN243" i="3"/>
  <c r="BM243" i="3"/>
  <c r="BL243" i="3"/>
  <c r="BK243" i="3"/>
  <c r="BJ243" i="3"/>
  <c r="BI243" i="3"/>
  <c r="BH243" i="3"/>
  <c r="BG243" i="3"/>
  <c r="BF243" i="3"/>
  <c r="BE243" i="3"/>
  <c r="BD243" i="3"/>
  <c r="BA243" i="3" s="1"/>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L240" i="3" s="1"/>
  <c r="BN240" i="3"/>
  <c r="BM240" i="3"/>
  <c r="BK240" i="3"/>
  <c r="BJ240" i="3"/>
  <c r="BI240" i="3"/>
  <c r="BH240" i="3"/>
  <c r="BG240" i="3"/>
  <c r="BF240" i="3"/>
  <c r="BE240" i="3"/>
  <c r="BD240" i="3"/>
  <c r="BC240" i="3"/>
  <c r="BB240" i="3"/>
  <c r="BA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A238" i="3" s="1"/>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A236" i="3" s="1"/>
  <c r="AZ236" i="3" s="1"/>
  <c r="BC236" i="3"/>
  <c r="BB236" i="3"/>
  <c r="AX236" i="3"/>
  <c r="AW236" i="3"/>
  <c r="AV236" i="3"/>
  <c r="AC236" i="3"/>
  <c r="H236" i="3"/>
  <c r="G236" i="3" s="1"/>
  <c r="BT235" i="3"/>
  <c r="BS235" i="3"/>
  <c r="BR235" i="3"/>
  <c r="BQ235" i="3"/>
  <c r="BP235" i="3"/>
  <c r="BO235" i="3"/>
  <c r="BL235" i="3" s="1"/>
  <c r="BN235" i="3"/>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L233" i="3" s="1"/>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L231" i="3" s="1"/>
  <c r="BN231" i="3"/>
  <c r="BM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L228" i="3" s="1"/>
  <c r="BN228" i="3"/>
  <c r="BM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A226" i="3" s="1"/>
  <c r="AZ226" i="3" s="1"/>
  <c r="BC226" i="3"/>
  <c r="BB226" i="3"/>
  <c r="AX226" i="3"/>
  <c r="AW226" i="3"/>
  <c r="AV226" i="3"/>
  <c r="AC226" i="3"/>
  <c r="H226" i="3"/>
  <c r="G226" i="3" s="1"/>
  <c r="BT225" i="3"/>
  <c r="BS225" i="3"/>
  <c r="BR225" i="3"/>
  <c r="BQ225" i="3"/>
  <c r="BP225" i="3"/>
  <c r="BO225" i="3"/>
  <c r="BL225" i="3" s="1"/>
  <c r="BN225" i="3"/>
  <c r="BM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A223" i="3" s="1"/>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c r="BK221" i="3"/>
  <c r="BJ221" i="3"/>
  <c r="BI221" i="3"/>
  <c r="BH221" i="3"/>
  <c r="BG221" i="3"/>
  <c r="BF221" i="3"/>
  <c r="BE221" i="3"/>
  <c r="BD221" i="3"/>
  <c r="BA221" i="3" s="1"/>
  <c r="AZ221" i="3" s="1"/>
  <c r="BC221" i="3"/>
  <c r="BB221" i="3"/>
  <c r="AX221" i="3"/>
  <c r="AW221" i="3"/>
  <c r="AV221" i="3"/>
  <c r="AC221" i="3"/>
  <c r="H221" i="3"/>
  <c r="G221" i="3" s="1"/>
  <c r="BT220" i="3"/>
  <c r="BS220" i="3"/>
  <c r="BR220" i="3"/>
  <c r="BQ220" i="3"/>
  <c r="BP220" i="3"/>
  <c r="BO220" i="3"/>
  <c r="BN220" i="3"/>
  <c r="BL220" i="3" s="1"/>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L217" i="3" s="1"/>
  <c r="BN217" i="3"/>
  <c r="BM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L214" i="3" s="1"/>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L212" i="3" s="1"/>
  <c r="BN212" i="3"/>
  <c r="BM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A209" i="3" s="1"/>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A396" i="3" s="1"/>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A354" i="3" s="1"/>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A348" i="3" s="1"/>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A333" i="3" s="1"/>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L491" i="3" s="1"/>
  <c r="BK491" i="3"/>
  <c r="BJ491" i="3"/>
  <c r="BI491" i="3"/>
  <c r="BH491" i="3"/>
  <c r="BG491" i="3"/>
  <c r="BF491" i="3"/>
  <c r="BE491" i="3"/>
  <c r="BD491" i="3"/>
  <c r="BC491" i="3"/>
  <c r="BA491" i="3" s="1"/>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G490" i="3" s="1"/>
  <c r="H490" i="3"/>
  <c r="BT489" i="3"/>
  <c r="BS489" i="3"/>
  <c r="BR489" i="3"/>
  <c r="BQ489" i="3"/>
  <c r="BP489" i="3"/>
  <c r="BO489" i="3"/>
  <c r="BN489" i="3"/>
  <c r="BM489" i="3"/>
  <c r="BL489" i="3" s="1"/>
  <c r="BK489" i="3"/>
  <c r="BJ489" i="3"/>
  <c r="BI489" i="3"/>
  <c r="BH489" i="3"/>
  <c r="BG489" i="3"/>
  <c r="BF489" i="3"/>
  <c r="BE489" i="3"/>
  <c r="BD489" i="3"/>
  <c r="BC489" i="3"/>
  <c r="BA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c r="AX484" i="3"/>
  <c r="AW484" i="3"/>
  <c r="AV484" i="3"/>
  <c r="AC484" i="3"/>
  <c r="G484" i="3" s="1"/>
  <c r="H484" i="3"/>
  <c r="BT483" i="3"/>
  <c r="BS483" i="3"/>
  <c r="BR483" i="3"/>
  <c r="BQ483" i="3"/>
  <c r="BP483" i="3"/>
  <c r="BO483" i="3"/>
  <c r="BN483" i="3"/>
  <c r="BM483" i="3"/>
  <c r="BK483" i="3"/>
  <c r="BJ483" i="3"/>
  <c r="BI483" i="3"/>
  <c r="BH483" i="3"/>
  <c r="BG483" i="3"/>
  <c r="BF483" i="3"/>
  <c r="BE483" i="3"/>
  <c r="BD483" i="3"/>
  <c r="BC483" i="3"/>
  <c r="BA483" i="3" s="1"/>
  <c r="BB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A479" i="3" s="1"/>
  <c r="BB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L476" i="3" s="1"/>
  <c r="AZ476" i="3" s="1"/>
  <c r="BM476" i="3"/>
  <c r="BK476" i="3"/>
  <c r="BJ476" i="3"/>
  <c r="BI476" i="3"/>
  <c r="BH476" i="3"/>
  <c r="BG476" i="3"/>
  <c r="BF476" i="3"/>
  <c r="BE476" i="3"/>
  <c r="BD476" i="3"/>
  <c r="BC476" i="3"/>
  <c r="BB476" i="3"/>
  <c r="BA476" i="3" s="1"/>
  <c r="AX476" i="3"/>
  <c r="AW476" i="3"/>
  <c r="AV476" i="3"/>
  <c r="AC476" i="3"/>
  <c r="G476" i="3" s="1"/>
  <c r="H476" i="3"/>
  <c r="BT475" i="3"/>
  <c r="BS475" i="3"/>
  <c r="BR475" i="3"/>
  <c r="BQ475" i="3"/>
  <c r="BP475" i="3"/>
  <c r="BO475" i="3"/>
  <c r="BN475" i="3"/>
  <c r="BM475" i="3"/>
  <c r="BK475" i="3"/>
  <c r="BJ475" i="3"/>
  <c r="BI475" i="3"/>
  <c r="BH475" i="3"/>
  <c r="BG475" i="3"/>
  <c r="BF475" i="3"/>
  <c r="BE475" i="3"/>
  <c r="BD475" i="3"/>
  <c r="BC475" i="3"/>
  <c r="BA475" i="3" s="1"/>
  <c r="BB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G473" i="3" s="1"/>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G471" i="3" s="1"/>
  <c r="H471" i="3"/>
  <c r="BT470" i="3"/>
  <c r="BS470" i="3"/>
  <c r="BR470" i="3"/>
  <c r="BQ470" i="3"/>
  <c r="BP470" i="3"/>
  <c r="BO470" i="3"/>
  <c r="BN470" i="3"/>
  <c r="BM470" i="3"/>
  <c r="BL470" i="3" s="1"/>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AZ469" i="3" s="1"/>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G467" i="3" s="1"/>
  <c r="H467" i="3"/>
  <c r="BT466" i="3"/>
  <c r="BS466" i="3"/>
  <c r="BR466" i="3"/>
  <c r="BQ466" i="3"/>
  <c r="BP466" i="3"/>
  <c r="BO466" i="3"/>
  <c r="BN466" i="3"/>
  <c r="BM466" i="3"/>
  <c r="BL466" i="3" s="1"/>
  <c r="BK466" i="3"/>
  <c r="BJ466" i="3"/>
  <c r="BI466" i="3"/>
  <c r="BH466" i="3"/>
  <c r="BG466" i="3"/>
  <c r="BF466" i="3"/>
  <c r="BE466" i="3"/>
  <c r="BD466" i="3"/>
  <c r="BC466" i="3"/>
  <c r="BA466" i="3" s="1"/>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G464" i="3" s="1"/>
  <c r="H464" i="3"/>
  <c r="BT463" i="3"/>
  <c r="BS463" i="3"/>
  <c r="BR463" i="3"/>
  <c r="BQ463" i="3"/>
  <c r="BP463" i="3"/>
  <c r="BO463" i="3"/>
  <c r="BN463" i="3"/>
  <c r="BM463" i="3"/>
  <c r="BL463" i="3" s="1"/>
  <c r="BK463" i="3"/>
  <c r="BJ463" i="3"/>
  <c r="BI463" i="3"/>
  <c r="BH463" i="3"/>
  <c r="BG463" i="3"/>
  <c r="BF463" i="3"/>
  <c r="BE463" i="3"/>
  <c r="BD463" i="3"/>
  <c r="BC463" i="3"/>
  <c r="BA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A462" i="3" s="1"/>
  <c r="AZ462" i="3" s="1"/>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G460" i="3" s="1"/>
  <c r="H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A458" i="3" s="1"/>
  <c r="AZ458" i="3" s="1"/>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G457" i="3" s="1"/>
  <c r="H457" i="3"/>
  <c r="BT456" i="3"/>
  <c r="BS456" i="3"/>
  <c r="BR456" i="3"/>
  <c r="BQ456" i="3"/>
  <c r="BP456" i="3"/>
  <c r="BO456" i="3"/>
  <c r="BN456" i="3"/>
  <c r="BM456" i="3"/>
  <c r="BL456" i="3" s="1"/>
  <c r="BK456" i="3"/>
  <c r="BJ456" i="3"/>
  <c r="BI456" i="3"/>
  <c r="BH456" i="3"/>
  <c r="BG456" i="3"/>
  <c r="BF456" i="3"/>
  <c r="BE456" i="3"/>
  <c r="BD456" i="3"/>
  <c r="BC456" i="3"/>
  <c r="BA456" i="3" s="1"/>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BA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BA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A424" i="3" s="1"/>
  <c r="AZ424" i="3" s="1"/>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G421" i="3" s="1"/>
  <c r="H421" i="3"/>
  <c r="BT420" i="3"/>
  <c r="BS420" i="3"/>
  <c r="BR420" i="3"/>
  <c r="BQ420" i="3"/>
  <c r="BP420" i="3"/>
  <c r="BO420" i="3"/>
  <c r="BN420" i="3"/>
  <c r="BM420" i="3"/>
  <c r="BL420" i="3" s="1"/>
  <c r="BK420" i="3"/>
  <c r="BJ420" i="3"/>
  <c r="BI420" i="3"/>
  <c r="BH420" i="3"/>
  <c r="BG420" i="3"/>
  <c r="BF420" i="3"/>
  <c r="BE420" i="3"/>
  <c r="BD420" i="3"/>
  <c r="BC420" i="3"/>
  <c r="BA420" i="3" s="1"/>
  <c r="AZ420" i="3" s="1"/>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A419" i="3" s="1"/>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G411" i="3" s="1"/>
  <c r="H411" i="3"/>
  <c r="BT410" i="3"/>
  <c r="BS410" i="3"/>
  <c r="BR410" i="3"/>
  <c r="BQ410" i="3"/>
  <c r="BP410" i="3"/>
  <c r="BO410" i="3"/>
  <c r="BN410" i="3"/>
  <c r="BM410" i="3"/>
  <c r="BL410" i="3" s="1"/>
  <c r="BK410" i="3"/>
  <c r="BJ410" i="3"/>
  <c r="BI410" i="3"/>
  <c r="BH410" i="3"/>
  <c r="BG410" i="3"/>
  <c r="BF410" i="3"/>
  <c r="BE410" i="3"/>
  <c r="BD410" i="3"/>
  <c r="BC410" i="3"/>
  <c r="BA410" i="3" s="1"/>
  <c r="AZ410" i="3" s="1"/>
  <c r="BB410" i="3"/>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G408" i="3" s="1"/>
  <c r="H408" i="3"/>
  <c r="BT407" i="3"/>
  <c r="BS407" i="3"/>
  <c r="BR407" i="3"/>
  <c r="BQ407" i="3"/>
  <c r="BP407" i="3"/>
  <c r="BO407" i="3"/>
  <c r="BN407" i="3"/>
  <c r="BM407" i="3"/>
  <c r="BL407" i="3" s="1"/>
  <c r="BK407" i="3"/>
  <c r="BJ407" i="3"/>
  <c r="BI407" i="3"/>
  <c r="BH407" i="3"/>
  <c r="BG407" i="3"/>
  <c r="BF407" i="3"/>
  <c r="BE407" i="3"/>
  <c r="BD407" i="3"/>
  <c r="BC407" i="3"/>
  <c r="BA407" i="3" s="1"/>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AZ406" i="3" s="1"/>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G404" i="3" s="1"/>
  <c r="H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A402" i="3" s="1"/>
  <c r="AZ402" i="3" s="1"/>
  <c r="BB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G401" i="3" s="1"/>
  <c r="H401" i="3"/>
  <c r="BT400" i="3"/>
  <c r="BS400" i="3"/>
  <c r="BR400" i="3"/>
  <c r="BQ400" i="3"/>
  <c r="BP400" i="3"/>
  <c r="BO400" i="3"/>
  <c r="BN400" i="3"/>
  <c r="BM400" i="3"/>
  <c r="BL400" i="3" s="1"/>
  <c r="BK400" i="3"/>
  <c r="BJ400" i="3"/>
  <c r="BI400" i="3"/>
  <c r="BH400" i="3"/>
  <c r="BG400" i="3"/>
  <c r="BF400" i="3"/>
  <c r="BE400" i="3"/>
  <c r="BD400" i="3"/>
  <c r="BC400" i="3"/>
  <c r="BA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B61" i="72"/>
  <c r="L20" i="4"/>
  <c r="A5" i="62"/>
  <c r="B72" i="72" s="1"/>
  <c r="A4" i="62"/>
  <c r="B70" i="72" s="1"/>
  <c r="F33" i="9"/>
  <c r="B13" i="53"/>
  <c r="B29" i="72" s="1"/>
  <c r="R35" i="4"/>
  <c r="Q35" i="4"/>
  <c r="P35" i="4"/>
  <c r="O35" i="4"/>
  <c r="N35" i="4"/>
  <c r="M35" i="4"/>
  <c r="L35" i="4"/>
  <c r="K34" i="4"/>
  <c r="T34" i="4" s="1"/>
  <c r="I15" i="4"/>
  <c r="H15" i="4"/>
  <c r="G15" i="4"/>
  <c r="E15" i="4"/>
  <c r="D15" i="4"/>
  <c r="F7" i="1"/>
  <c r="G7" i="1" s="1"/>
  <c r="L21" i="4"/>
  <c r="F19" i="4"/>
  <c r="F2" i="52"/>
  <c r="B50" i="72" s="1"/>
  <c r="D2" i="52"/>
  <c r="B46" i="72" s="1"/>
  <c r="B8" i="53"/>
  <c r="B23" i="72" s="1"/>
  <c r="L4" i="9"/>
  <c r="B17"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c r="E48" i="37"/>
  <c r="F48" i="37" s="1"/>
  <c r="I55" i="34"/>
  <c r="J55" i="34"/>
  <c r="G55" i="34"/>
  <c r="H55" i="34" s="1"/>
  <c r="E55" i="34"/>
  <c r="F55" i="34"/>
  <c r="I48" i="40"/>
  <c r="J48" i="40" s="1"/>
  <c r="G48" i="40"/>
  <c r="H48" i="40"/>
  <c r="E48" i="40"/>
  <c r="F48" i="40" s="1"/>
  <c r="I53" i="39"/>
  <c r="J53" i="39"/>
  <c r="G53" i="39"/>
  <c r="H53" i="39" s="1"/>
  <c r="E53" i="39"/>
  <c r="F53" i="39"/>
  <c r="I42" i="36"/>
  <c r="J42" i="36" s="1"/>
  <c r="G42" i="36"/>
  <c r="H42" i="36"/>
  <c r="E42" i="36"/>
  <c r="F42" i="36" s="1"/>
  <c r="I44" i="35"/>
  <c r="J44" i="35"/>
  <c r="G44" i="35"/>
  <c r="H44" i="35" s="1"/>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s="1"/>
  <c r="I87" i="35" s="1"/>
  <c r="J87" i="35" s="1"/>
  <c r="K87" i="35" s="1"/>
  <c r="L87" i="35" s="1"/>
  <c r="M87" i="35" s="1"/>
  <c r="H34" i="37"/>
  <c r="D101" i="37"/>
  <c r="F34" i="37"/>
  <c r="D99" i="37"/>
  <c r="E99" i="37"/>
  <c r="F99" i="37"/>
  <c r="G99" i="37" s="1"/>
  <c r="H99" i="37" s="1"/>
  <c r="I99" i="37" s="1"/>
  <c r="J99" i="37" s="1"/>
  <c r="K99" i="37" s="1"/>
  <c r="L99" i="37" s="1"/>
  <c r="M99" i="37" s="1"/>
  <c r="H42" i="34"/>
  <c r="J42" i="34"/>
  <c r="W42" i="34"/>
  <c r="F42" i="34"/>
  <c r="J38" i="34"/>
  <c r="W38" i="34" s="1"/>
  <c r="D114" i="34"/>
  <c r="F38" i="34"/>
  <c r="S38" i="34" s="1"/>
  <c r="D112" i="34"/>
  <c r="E112" i="34"/>
  <c r="F112" i="34"/>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s="1"/>
  <c r="H76" i="40" s="1"/>
  <c r="I76" i="40" s="1"/>
  <c r="J76" i="40" s="1"/>
  <c r="K76" i="40" s="1"/>
  <c r="L76" i="40" s="1"/>
  <c r="M76" i="40" s="1"/>
  <c r="B120" i="40"/>
  <c r="F40" i="40" s="1"/>
  <c r="B118" i="40"/>
  <c r="J39" i="40"/>
  <c r="B116" i="40"/>
  <c r="F38" i="40"/>
  <c r="AA38" i="40" s="1"/>
  <c r="D115" i="40"/>
  <c r="E115" i="40"/>
  <c r="F115" i="40" s="1"/>
  <c r="G115" i="40" s="1"/>
  <c r="H115" i="40" s="1"/>
  <c r="I115" i="40" s="1"/>
  <c r="J115" i="40" s="1"/>
  <c r="K115" i="40" s="1"/>
  <c r="L115" i="40" s="1"/>
  <c r="M115" i="40" s="1"/>
  <c r="D113" i="40"/>
  <c r="E113" i="40" s="1"/>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c r="B101" i="40"/>
  <c r="J31" i="40" s="1"/>
  <c r="AC31" i="40" s="1"/>
  <c r="D100" i="40"/>
  <c r="E100" i="40"/>
  <c r="F100" i="40" s="1"/>
  <c r="G100" i="40" s="1"/>
  <c r="H100" i="40" s="1"/>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c r="F86" i="40" s="1"/>
  <c r="G86" i="40" s="1"/>
  <c r="D84" i="40"/>
  <c r="E84" i="40"/>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AB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c r="Q27" i="40"/>
  <c r="Z27" i="40" s="1"/>
  <c r="Q23" i="40"/>
  <c r="Z23" i="40" s="1"/>
  <c r="Q21" i="40"/>
  <c r="Z21" i="40" s="1"/>
  <c r="Q19" i="40"/>
  <c r="Z19" i="40" s="1"/>
  <c r="Q17" i="40"/>
  <c r="Z17" i="40" s="1"/>
  <c r="Q15" i="40"/>
  <c r="Z15" i="40" s="1"/>
  <c r="Q14" i="40"/>
  <c r="Z14" i="40" s="1"/>
  <c r="Q13" i="40"/>
  <c r="Z13" i="40"/>
  <c r="Q12" i="40"/>
  <c r="Z12" i="40" s="1"/>
  <c r="Q11" i="40"/>
  <c r="Z11" i="40" s="1"/>
  <c r="Q10" i="40"/>
  <c r="Z10" i="40" s="1"/>
  <c r="Q9" i="40"/>
  <c r="Z9" i="40" s="1"/>
  <c r="J9" i="40"/>
  <c r="W9" i="40" s="1"/>
  <c r="H9" i="40"/>
  <c r="AB9" i="40" s="1"/>
  <c r="F9" i="40"/>
  <c r="S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F25" i="37" s="1"/>
  <c r="AA25" i="37" s="1"/>
  <c r="B110" i="37"/>
  <c r="J39" i="37"/>
  <c r="AC39" i="37" s="1"/>
  <c r="B108" i="37"/>
  <c r="C23" i="37"/>
  <c r="C19" i="37"/>
  <c r="C17" i="37"/>
  <c r="C15" i="37"/>
  <c r="B112" i="37"/>
  <c r="D107" i="37"/>
  <c r="E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c r="F30" i="37"/>
  <c r="AA30" i="37" s="1"/>
  <c r="Q29" i="37"/>
  <c r="Z29" i="37"/>
  <c r="H29" i="37"/>
  <c r="AB29" i="37" s="1"/>
  <c r="Q28" i="37"/>
  <c r="Z28" i="37"/>
  <c r="Q27" i="37"/>
  <c r="Z27" i="37" s="1"/>
  <c r="Q26" i="37"/>
  <c r="Z26" i="37"/>
  <c r="J26" i="37"/>
  <c r="AC26" i="37" s="1"/>
  <c r="H26" i="37"/>
  <c r="AB26" i="37"/>
  <c r="F26" i="37"/>
  <c r="AA26" i="37" s="1"/>
  <c r="Q25" i="37"/>
  <c r="Z25" i="37"/>
  <c r="J25" i="37"/>
  <c r="AC25" i="37" s="1"/>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s="1"/>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s="1"/>
  <c r="B91" i="36"/>
  <c r="F32" i="36"/>
  <c r="B95" i="36"/>
  <c r="H34" i="36" s="1"/>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H23" i="36" s="1"/>
  <c r="AB23" i="36" s="1"/>
  <c r="D70" i="36"/>
  <c r="H22" i="36"/>
  <c r="AB22" i="36"/>
  <c r="D68" i="36"/>
  <c r="E68" i="36" s="1"/>
  <c r="F68" i="36" s="1"/>
  <c r="G68" i="36" s="1"/>
  <c r="D64" i="36"/>
  <c r="E64" i="36" s="1"/>
  <c r="F64" i="36" s="1"/>
  <c r="G64" i="36" s="1"/>
  <c r="J16" i="36"/>
  <c r="W16" i="36" s="1"/>
  <c r="D62" i="36"/>
  <c r="E62" i="36"/>
  <c r="F62" i="36"/>
  <c r="G62" i="36" s="1"/>
  <c r="B59" i="36"/>
  <c r="B57" i="36"/>
  <c r="J12" i="36"/>
  <c r="B55" i="36"/>
  <c r="F54" i="36"/>
  <c r="G54" i="36"/>
  <c r="H54" i="36"/>
  <c r="I54" i="36" s="1"/>
  <c r="C51" i="36"/>
  <c r="P37" i="36"/>
  <c r="P36" i="36"/>
  <c r="V35" i="36"/>
  <c r="T35" i="36"/>
  <c r="R35" i="36"/>
  <c r="P35" i="36"/>
  <c r="Q34" i="36"/>
  <c r="Z34" i="36" s="1"/>
  <c r="Q33" i="36"/>
  <c r="Z33" i="36"/>
  <c r="Q32" i="36"/>
  <c r="Z32" i="36" s="1"/>
  <c r="Q31" i="36"/>
  <c r="Z31" i="36"/>
  <c r="Q30" i="36"/>
  <c r="Z30" i="36" s="1"/>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c r="Q9" i="36"/>
  <c r="Z9" i="36" s="1"/>
  <c r="J9" i="36"/>
  <c r="AC9" i="36"/>
  <c r="H9" i="36"/>
  <c r="AB9" i="36" s="1"/>
  <c r="F9" i="36"/>
  <c r="AA9" i="36"/>
  <c r="J8" i="36"/>
  <c r="AC8" i="36" s="1"/>
  <c r="H8" i="36"/>
  <c r="U8" i="36"/>
  <c r="F8" i="36"/>
  <c r="AA8" i="36" s="1"/>
  <c r="D89" i="35"/>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c r="AB36" i="35"/>
  <c r="B99" i="35"/>
  <c r="B97" i="35"/>
  <c r="J34" i="35" s="1"/>
  <c r="B77" i="35"/>
  <c r="B75" i="35"/>
  <c r="J24" i="35" s="1"/>
  <c r="AC24" i="35" s="1"/>
  <c r="B73" i="35"/>
  <c r="J23" i="35" s="1"/>
  <c r="AC23" i="35" s="1"/>
  <c r="H23" i="35"/>
  <c r="U23" i="35" s="1"/>
  <c r="B57" i="35"/>
  <c r="B61" i="35"/>
  <c r="B59" i="35"/>
  <c r="H12" i="35" s="1"/>
  <c r="U12" i="35" s="1"/>
  <c r="B131" i="34"/>
  <c r="B129" i="34"/>
  <c r="B127" i="34"/>
  <c r="B99" i="34"/>
  <c r="B97" i="34"/>
  <c r="B95" i="34"/>
  <c r="B93" i="34"/>
  <c r="B75" i="34"/>
  <c r="B73" i="34"/>
  <c r="B71" i="34"/>
  <c r="F12" i="34" s="1"/>
  <c r="B130" i="33"/>
  <c r="B128" i="33"/>
  <c r="B126" i="33"/>
  <c r="B98" i="33"/>
  <c r="B96" i="33"/>
  <c r="B94" i="33"/>
  <c r="B74" i="33"/>
  <c r="B72" i="33"/>
  <c r="B70" i="33"/>
  <c r="J12" i="33"/>
  <c r="D96" i="35"/>
  <c r="E96" i="35"/>
  <c r="F96" i="35"/>
  <c r="G96" i="35"/>
  <c r="D94" i="35"/>
  <c r="E94" i="35"/>
  <c r="F94" i="35"/>
  <c r="G94" i="35"/>
  <c r="H94" i="35" s="1"/>
  <c r="I94" i="35" s="1"/>
  <c r="J94" i="35" s="1"/>
  <c r="K94" i="35" s="1"/>
  <c r="L94" i="35" s="1"/>
  <c r="M94" i="35" s="1"/>
  <c r="D84" i="35"/>
  <c r="E84" i="35"/>
  <c r="F84" i="35" s="1"/>
  <c r="G84" i="35" s="1"/>
  <c r="H84" i="35" s="1"/>
  <c r="I84" i="35" s="1"/>
  <c r="J84" i="35" s="1"/>
  <c r="K84" i="35" s="1"/>
  <c r="L84" i="35" s="1"/>
  <c r="M84" i="35" s="1"/>
  <c r="D80" i="35"/>
  <c r="E80" i="35"/>
  <c r="F80" i="35"/>
  <c r="G80" i="35"/>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c r="I56" i="35"/>
  <c r="C53" i="35"/>
  <c r="J9" i="35"/>
  <c r="P39" i="35"/>
  <c r="P38" i="35"/>
  <c r="V37" i="35"/>
  <c r="T37" i="35"/>
  <c r="R37" i="35"/>
  <c r="P37" i="35"/>
  <c r="Q36" i="35"/>
  <c r="Z36" i="35"/>
  <c r="J36" i="35"/>
  <c r="AC36" i="35"/>
  <c r="Q35" i="35"/>
  <c r="Z35" i="35"/>
  <c r="Q34" i="35"/>
  <c r="Z34" i="35"/>
  <c r="H34" i="35"/>
  <c r="AB34" i="35"/>
  <c r="Q33" i="35"/>
  <c r="Z33" i="35"/>
  <c r="Q32" i="35"/>
  <c r="Z32" i="35"/>
  <c r="H32" i="35"/>
  <c r="AB32" i="35"/>
  <c r="F32" i="35"/>
  <c r="AA32" i="35"/>
  <c r="Q31" i="35"/>
  <c r="Z31" i="35"/>
  <c r="AC31" i="35"/>
  <c r="AB31" i="35"/>
  <c r="AA31" i="35"/>
  <c r="Q30" i="35"/>
  <c r="Z30" i="35" s="1"/>
  <c r="Q29" i="35"/>
  <c r="Z29" i="35"/>
  <c r="Q28" i="35"/>
  <c r="Z28" i="35" s="1"/>
  <c r="J28" i="35"/>
  <c r="AC28" i="35"/>
  <c r="H28" i="35"/>
  <c r="AB28" i="35" s="1"/>
  <c r="F28" i="35"/>
  <c r="AA28" i="35"/>
  <c r="Q27" i="35"/>
  <c r="Z27" i="35" s="1"/>
  <c r="Q26" i="35"/>
  <c r="Z26" i="35"/>
  <c r="Q25" i="35"/>
  <c r="Z25" i="35" s="1"/>
  <c r="Q24" i="35"/>
  <c r="Z24" i="35"/>
  <c r="Q23" i="35"/>
  <c r="Z23" i="35" s="1"/>
  <c r="Q22" i="35"/>
  <c r="Z22" i="35" s="1"/>
  <c r="Q20" i="35"/>
  <c r="Z20" i="35"/>
  <c r="Q16" i="35"/>
  <c r="Z16" i="35" s="1"/>
  <c r="Q14" i="35"/>
  <c r="Z14" i="35"/>
  <c r="Q13" i="35"/>
  <c r="Z13" i="35" s="1"/>
  <c r="Q12" i="35"/>
  <c r="Z12" i="35"/>
  <c r="J12" i="35"/>
  <c r="W12" i="35" s="1"/>
  <c r="F12" i="35"/>
  <c r="S12" i="35" s="1"/>
  <c r="Q11" i="35"/>
  <c r="Z11" i="35"/>
  <c r="Q10" i="35"/>
  <c r="Z10" i="35" s="1"/>
  <c r="Q9" i="35"/>
  <c r="Z9" i="35"/>
  <c r="J8" i="35"/>
  <c r="W8" i="35" s="1"/>
  <c r="H8" i="35"/>
  <c r="AB8" i="35"/>
  <c r="F8" i="35"/>
  <c r="AA8" i="35" s="1"/>
  <c r="D120" i="34"/>
  <c r="E120" i="34"/>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c r="G126" i="34"/>
  <c r="D124" i="34"/>
  <c r="E124" i="34"/>
  <c r="F124" i="34"/>
  <c r="G124" i="34"/>
  <c r="H124" i="34" s="1"/>
  <c r="I124" i="34" s="1"/>
  <c r="J124" i="34" s="1"/>
  <c r="K124" i="34" s="1"/>
  <c r="L124" i="34" s="1"/>
  <c r="M124" i="34" s="1"/>
  <c r="H43" i="34"/>
  <c r="AB43" i="34"/>
  <c r="D118" i="34"/>
  <c r="E118" i="34"/>
  <c r="F118" i="34"/>
  <c r="G118" i="34"/>
  <c r="D116" i="34"/>
  <c r="E116" i="34"/>
  <c r="F116" i="34"/>
  <c r="G116" i="34"/>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c r="Q14" i="34"/>
  <c r="Z14" i="34" s="1"/>
  <c r="Q13" i="34"/>
  <c r="Z13" i="34"/>
  <c r="Q12" i="34"/>
  <c r="Z12" i="34" s="1"/>
  <c r="J12" i="34"/>
  <c r="W12" i="34"/>
  <c r="H12" i="34"/>
  <c r="Q11" i="34"/>
  <c r="Z11" i="34"/>
  <c r="Q10" i="34"/>
  <c r="Z10" i="34"/>
  <c r="F10" i="34"/>
  <c r="AA10" i="34"/>
  <c r="Q9" i="34"/>
  <c r="Z9" i="34"/>
  <c r="J9" i="34"/>
  <c r="AC9" i="34"/>
  <c r="F9" i="34"/>
  <c r="AA9" i="34"/>
  <c r="J8" i="34"/>
  <c r="AC8" i="34" s="1"/>
  <c r="H8" i="34"/>
  <c r="U8" i="34"/>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J9" i="33" s="1"/>
  <c r="AC9" i="33" s="1"/>
  <c r="H54" i="33"/>
  <c r="F54" i="33"/>
  <c r="P49" i="33"/>
  <c r="P48" i="33"/>
  <c r="V47" i="33"/>
  <c r="T47" i="33"/>
  <c r="R47" i="33"/>
  <c r="P47" i="33"/>
  <c r="Q46" i="33"/>
  <c r="Z46" i="33" s="1"/>
  <c r="Q45" i="33"/>
  <c r="Z45" i="33"/>
  <c r="Q44" i="33"/>
  <c r="Z44" i="33" s="1"/>
  <c r="Q43" i="33"/>
  <c r="Z43" i="33"/>
  <c r="Q42" i="33"/>
  <c r="Z42" i="33" s="1"/>
  <c r="J42" i="33"/>
  <c r="AC42" i="33"/>
  <c r="AC41" i="33"/>
  <c r="W41" i="33"/>
  <c r="Q41" i="33"/>
  <c r="Z41" i="33"/>
  <c r="Q40" i="33"/>
  <c r="Z40" i="33" s="1"/>
  <c r="J40" i="33"/>
  <c r="AC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H9" i="33"/>
  <c r="AB9" i="33"/>
  <c r="J8" i="33"/>
  <c r="AC8" i="33"/>
  <c r="H8" i="33"/>
  <c r="AB8" i="33"/>
  <c r="F8" i="33"/>
  <c r="AA8" i="33" s="1"/>
  <c r="M102" i="21"/>
  <c r="D102" i="21"/>
  <c r="E102" i="21"/>
  <c r="F102" i="21"/>
  <c r="G102" i="21"/>
  <c r="H102" i="21"/>
  <c r="I102" i="21"/>
  <c r="J102" i="21"/>
  <c r="K102" i="21"/>
  <c r="L102" i="21"/>
  <c r="C102" i="21"/>
  <c r="C63" i="21"/>
  <c r="F9" i="21" s="1"/>
  <c r="G18" i="20"/>
  <c r="B88" i="43"/>
  <c r="G19" i="20"/>
  <c r="B85" i="43" s="1"/>
  <c r="G16" i="20"/>
  <c r="B82" i="43"/>
  <c r="G15" i="20"/>
  <c r="B81" i="43" s="1"/>
  <c r="C24" i="20"/>
  <c r="B73" i="43"/>
  <c r="C21" i="20"/>
  <c r="B74" i="43" s="1"/>
  <c r="C20" i="20"/>
  <c r="B77" i="43"/>
  <c r="C18" i="20"/>
  <c r="B71" i="43" s="1"/>
  <c r="C17" i="20"/>
  <c r="B59" i="43"/>
  <c r="C16" i="20"/>
  <c r="C17" i="39" s="1"/>
  <c r="C15" i="20"/>
  <c r="B70" i="43"/>
  <c r="E54" i="21"/>
  <c r="F54" i="21" s="1"/>
  <c r="I54" i="21"/>
  <c r="J54" i="21"/>
  <c r="G54" i="21"/>
  <c r="H54" i="21" s="1"/>
  <c r="D125" i="21"/>
  <c r="E125" i="21"/>
  <c r="F125" i="21" s="1"/>
  <c r="G125" i="21" s="1"/>
  <c r="D123" i="21"/>
  <c r="E123" i="21"/>
  <c r="F123" i="21" s="1"/>
  <c r="G123" i="21" s="1"/>
  <c r="F42" i="21"/>
  <c r="AA42" i="21"/>
  <c r="D119" i="21"/>
  <c r="F40" i="21"/>
  <c r="AA40" i="21" s="1"/>
  <c r="D117" i="21"/>
  <c r="E117" i="21"/>
  <c r="F117" i="21" s="1"/>
  <c r="G117" i="21" s="1"/>
  <c r="D115" i="21"/>
  <c r="E115" i="21"/>
  <c r="F115" i="21" s="1"/>
  <c r="G115" i="21" s="1"/>
  <c r="H115" i="21" s="1"/>
  <c r="I115" i="21" s="1"/>
  <c r="J115" i="21" s="1"/>
  <c r="K115" i="21" s="1"/>
  <c r="L115" i="21" s="1"/>
  <c r="M115" i="21" s="1"/>
  <c r="D113" i="21"/>
  <c r="E113" i="21" s="1"/>
  <c r="F113" i="21" s="1"/>
  <c r="G113" i="21" s="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s="1"/>
  <c r="H66" i="21" s="1"/>
  <c r="I66" i="21" s="1"/>
  <c r="D111" i="21"/>
  <c r="E111" i="21"/>
  <c r="F111" i="21"/>
  <c r="C111" i="21"/>
  <c r="D79" i="21"/>
  <c r="E79" i="21" s="1"/>
  <c r="F79" i="21" s="1"/>
  <c r="G79" i="21" s="1"/>
  <c r="D85" i="21"/>
  <c r="F19" i="21"/>
  <c r="AA19" i="21" s="1"/>
  <c r="E81" i="21"/>
  <c r="F81" i="21"/>
  <c r="G81" i="21"/>
  <c r="D77" i="21"/>
  <c r="E77" i="21"/>
  <c r="B130" i="21"/>
  <c r="B128" i="21"/>
  <c r="J45" i="21" s="1"/>
  <c r="W45" i="21" s="1"/>
  <c r="B126" i="21"/>
  <c r="B98" i="21"/>
  <c r="H31" i="21" s="1"/>
  <c r="B96" i="21"/>
  <c r="B94" i="21"/>
  <c r="J29" i="21"/>
  <c r="AC29" i="21" s="1"/>
  <c r="B92" i="21"/>
  <c r="B90" i="21"/>
  <c r="J27" i="21"/>
  <c r="W27" i="21" s="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I4" i="6"/>
  <c r="G3" i="43"/>
  <c r="F22" i="43" s="1"/>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36" i="35"/>
  <c r="W22" i="35"/>
  <c r="S31" i="35"/>
  <c r="U34" i="35"/>
  <c r="F36" i="34"/>
  <c r="J35" i="34"/>
  <c r="W9" i="34"/>
  <c r="S34" i="34"/>
  <c r="U34" i="34"/>
  <c r="H39" i="33"/>
  <c r="AB39" i="33"/>
  <c r="F26" i="33"/>
  <c r="AA26" i="33"/>
  <c r="U33" i="33"/>
  <c r="U35" i="33"/>
  <c r="S40" i="33"/>
  <c r="W33" i="33"/>
  <c r="W39" i="33"/>
  <c r="H39" i="37"/>
  <c r="AB39" i="37"/>
  <c r="S27" i="35"/>
  <c r="F11" i="40"/>
  <c r="AA11" i="40" s="1"/>
  <c r="H11" i="40"/>
  <c r="AB11" i="40" s="1"/>
  <c r="W8" i="40"/>
  <c r="AB39" i="40"/>
  <c r="AA9" i="40"/>
  <c r="AC9" i="40"/>
  <c r="U9" i="40"/>
  <c r="S34" i="40"/>
  <c r="U38"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B12" i="35"/>
  <c r="AB12" i="36"/>
  <c r="W32" i="40"/>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s="1"/>
  <c r="H16" i="35"/>
  <c r="U16" i="35"/>
  <c r="F16" i="35"/>
  <c r="S16" i="35" s="1"/>
  <c r="H14" i="35"/>
  <c r="AB14" i="35"/>
  <c r="J29" i="35"/>
  <c r="H33" i="35"/>
  <c r="AB33" i="35" s="1"/>
  <c r="AC8" i="35"/>
  <c r="J20" i="35"/>
  <c r="W20" i="35" s="1"/>
  <c r="F35" i="37"/>
  <c r="S35" i="37"/>
  <c r="E101" i="37"/>
  <c r="F101" i="37" s="1"/>
  <c r="G101" i="37" s="1"/>
  <c r="H101" i="37"/>
  <c r="I101" i="37" s="1"/>
  <c r="J101" i="37" s="1"/>
  <c r="K101" i="37" s="1"/>
  <c r="L101" i="37" s="1"/>
  <c r="M101" i="37" s="1"/>
  <c r="J34" i="37"/>
  <c r="W34" i="37" s="1"/>
  <c r="S10" i="37"/>
  <c r="AA39" i="37"/>
  <c r="AB34" i="37"/>
  <c r="J33" i="37"/>
  <c r="AC33" i="37" s="1"/>
  <c r="U42" i="34"/>
  <c r="H40" i="34"/>
  <c r="U40" i="34" s="1"/>
  <c r="E114" i="34"/>
  <c r="H36" i="34"/>
  <c r="U36" i="34" s="1"/>
  <c r="F37" i="34"/>
  <c r="AA37" i="34"/>
  <c r="S35" i="34"/>
  <c r="F28" i="34"/>
  <c r="AA28" i="34" s="1"/>
  <c r="F27" i="34"/>
  <c r="AA27" i="34" s="1"/>
  <c r="F25" i="34"/>
  <c r="S25" i="34" s="1"/>
  <c r="H23" i="34"/>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s="1"/>
  <c r="AC11" i="40"/>
  <c r="S12" i="36"/>
  <c r="AA12" i="36"/>
  <c r="AB30" i="36"/>
  <c r="AC34" i="36"/>
  <c r="U30" i="35"/>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c r="J25" i="34"/>
  <c r="AC25" i="34" s="1"/>
  <c r="F23" i="34"/>
  <c r="AA23" i="34" s="1"/>
  <c r="J19" i="34"/>
  <c r="AC19" i="34" s="1"/>
  <c r="F17" i="34"/>
  <c r="AA17" i="34"/>
  <c r="J17" i="34"/>
  <c r="W17" i="34" s="1"/>
  <c r="AB17" i="34"/>
  <c r="AA15" i="34"/>
  <c r="S15" i="34"/>
  <c r="F113" i="33"/>
  <c r="G113" i="33" s="1"/>
  <c r="H113" i="33" s="1"/>
  <c r="I113" i="33" s="1"/>
  <c r="J113" i="33" s="1"/>
  <c r="K113" i="33" s="1"/>
  <c r="L113" i="33" s="1"/>
  <c r="M113" i="33" s="1"/>
  <c r="H37" i="33"/>
  <c r="AB37" i="33"/>
  <c r="H15" i="33"/>
  <c r="AB15" i="33" s="1"/>
  <c r="H11" i="33"/>
  <c r="AB11" i="33" s="1"/>
  <c r="F28" i="40"/>
  <c r="AA28" i="40" s="1"/>
  <c r="AA29" i="35"/>
  <c r="AA42" i="34"/>
  <c r="S42" i="34"/>
  <c r="AC38" i="34"/>
  <c r="AA38" i="34"/>
  <c r="J37" i="34"/>
  <c r="AC37" i="34" s="1"/>
  <c r="J11" i="33"/>
  <c r="W11" i="33"/>
  <c r="S28" i="34"/>
  <c r="U23" i="40"/>
  <c r="H123" i="21"/>
  <c r="I123" i="21"/>
  <c r="J123" i="21" s="1"/>
  <c r="K123" i="21" s="1"/>
  <c r="L123" i="21" s="1"/>
  <c r="M123" i="21" s="1"/>
  <c r="J42" i="21"/>
  <c r="AC42" i="21" s="1"/>
  <c r="H42" i="21"/>
  <c r="U42" i="21" s="1"/>
  <c r="J44" i="34"/>
  <c r="F44" i="34"/>
  <c r="AA44" i="34"/>
  <c r="J10" i="35"/>
  <c r="W10" i="35"/>
  <c r="BL587" i="3"/>
  <c r="J14" i="21"/>
  <c r="W14" i="21" s="1"/>
  <c r="F14" i="21"/>
  <c r="S14" i="21" s="1"/>
  <c r="H14" i="21"/>
  <c r="U14" i="21" s="1"/>
  <c r="H28" i="21"/>
  <c r="AB28" i="21" s="1"/>
  <c r="F28" i="21"/>
  <c r="AA28" i="21"/>
  <c r="J28" i="21"/>
  <c r="W28" i="21" s="1"/>
  <c r="H30" i="21"/>
  <c r="U30" i="21"/>
  <c r="F30" i="21"/>
  <c r="S30" i="21" s="1"/>
  <c r="J30" i="21"/>
  <c r="AC30" i="21" s="1"/>
  <c r="J44" i="21"/>
  <c r="AC44" i="21" s="1"/>
  <c r="H44" i="21"/>
  <c r="U44" i="21" s="1"/>
  <c r="F44" i="21"/>
  <c r="AA44" i="21" s="1"/>
  <c r="H46" i="21"/>
  <c r="U46" i="21"/>
  <c r="J46" i="21"/>
  <c r="W46" i="21" s="1"/>
  <c r="F46" i="21"/>
  <c r="AA46" i="21"/>
  <c r="E119" i="21"/>
  <c r="F119" i="21" s="1"/>
  <c r="G119" i="21" s="1"/>
  <c r="H119" i="21" s="1"/>
  <c r="I119" i="21" s="1"/>
  <c r="J119" i="21" s="1"/>
  <c r="K119" i="21" s="1"/>
  <c r="L119" i="21" s="1"/>
  <c r="M119" i="21" s="1"/>
  <c r="H26" i="33"/>
  <c r="U26" i="33" s="1"/>
  <c r="H28" i="33"/>
  <c r="U28" i="33"/>
  <c r="F28" i="33"/>
  <c r="AA28" i="33" s="1"/>
  <c r="J28" i="33"/>
  <c r="W28" i="33"/>
  <c r="F33" i="35"/>
  <c r="S33" i="35" s="1"/>
  <c r="J33" i="35"/>
  <c r="AC33" i="35"/>
  <c r="F30" i="35"/>
  <c r="S30" i="35" s="1"/>
  <c r="E89" i="35"/>
  <c r="F89" i="35"/>
  <c r="G89" i="35"/>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c r="J29" i="33"/>
  <c r="AC29" i="33" s="1"/>
  <c r="H29" i="33"/>
  <c r="U29" i="33"/>
  <c r="F29" i="33"/>
  <c r="S29" i="33" s="1"/>
  <c r="J31" i="33"/>
  <c r="W31" i="33"/>
  <c r="H31" i="33"/>
  <c r="F31" i="33"/>
  <c r="H45" i="33"/>
  <c r="U45" i="33"/>
  <c r="J45" i="33"/>
  <c r="W45" i="33" s="1"/>
  <c r="F45" i="33"/>
  <c r="AA45" i="33"/>
  <c r="J14" i="34"/>
  <c r="W14" i="34" s="1"/>
  <c r="F14" i="34"/>
  <c r="S14" i="34"/>
  <c r="H14" i="34"/>
  <c r="H30" i="34"/>
  <c r="F30" i="34"/>
  <c r="S30" i="34"/>
  <c r="J30" i="34"/>
  <c r="W30" i="34" s="1"/>
  <c r="H32" i="34"/>
  <c r="F32" i="34"/>
  <c r="J32" i="34"/>
  <c r="W32" i="34" s="1"/>
  <c r="H46" i="34"/>
  <c r="U46" i="34"/>
  <c r="F46" i="34"/>
  <c r="J46" i="34"/>
  <c r="H11" i="35"/>
  <c r="U11" i="35"/>
  <c r="J11" i="35"/>
  <c r="AC11" i="35" s="1"/>
  <c r="F11" i="35"/>
  <c r="S11" i="35"/>
  <c r="J26" i="36"/>
  <c r="W26" i="36" s="1"/>
  <c r="H28" i="36"/>
  <c r="U28" i="36"/>
  <c r="H32" i="36"/>
  <c r="AB32" i="36" s="1"/>
  <c r="J32" i="36"/>
  <c r="W32" i="36"/>
  <c r="J11" i="36"/>
  <c r="W11" i="36" s="1"/>
  <c r="H11" i="36"/>
  <c r="U11" i="36"/>
  <c r="F11" i="36"/>
  <c r="AA11" i="36" s="1"/>
  <c r="H13" i="36"/>
  <c r="AB13" i="36"/>
  <c r="J13" i="36"/>
  <c r="F13" i="36"/>
  <c r="S13" i="36" s="1"/>
  <c r="E89" i="37"/>
  <c r="F89" i="37" s="1"/>
  <c r="G89" i="37" s="1"/>
  <c r="H89" i="37" s="1"/>
  <c r="I89" i="37" s="1"/>
  <c r="J89" i="37" s="1"/>
  <c r="K89" i="37" s="1"/>
  <c r="L89" i="37" s="1"/>
  <c r="M89" i="37" s="1"/>
  <c r="J29" i="37"/>
  <c r="W29" i="37" s="1"/>
  <c r="F29" i="37"/>
  <c r="S29" i="37"/>
  <c r="F105" i="37"/>
  <c r="G105" i="37" s="1"/>
  <c r="H36" i="37"/>
  <c r="AB36" i="37" s="1"/>
  <c r="F107" i="37"/>
  <c r="J37" i="37"/>
  <c r="AC37" i="37" s="1"/>
  <c r="H37" i="37"/>
  <c r="U37" i="37"/>
  <c r="H40" i="37"/>
  <c r="U40" i="37" s="1"/>
  <c r="J40" i="37"/>
  <c r="AC40" i="37"/>
  <c r="F40" i="37"/>
  <c r="AA40" i="37" s="1"/>
  <c r="AC12" i="40"/>
  <c r="W12" i="40"/>
  <c r="H14" i="33"/>
  <c r="U14" i="33" s="1"/>
  <c r="F14" i="33"/>
  <c r="S14" i="33"/>
  <c r="J14" i="33"/>
  <c r="H30" i="33"/>
  <c r="AB30" i="33" s="1"/>
  <c r="F30" i="33"/>
  <c r="J30" i="33"/>
  <c r="H44" i="33"/>
  <c r="J44" i="33"/>
  <c r="AC44" i="33"/>
  <c r="F44" i="33"/>
  <c r="AA44" i="33" s="1"/>
  <c r="J46" i="33"/>
  <c r="AC46" i="33"/>
  <c r="F46" i="33"/>
  <c r="AA46" i="33" s="1"/>
  <c r="H46" i="33"/>
  <c r="AB46" i="33"/>
  <c r="H13" i="34"/>
  <c r="U13" i="34" s="1"/>
  <c r="J13" i="34"/>
  <c r="W13" i="34"/>
  <c r="F13" i="34"/>
  <c r="AA13" i="34" s="1"/>
  <c r="J29" i="34"/>
  <c r="F29" i="34"/>
  <c r="S29" i="34"/>
  <c r="H29" i="34"/>
  <c r="AB29" i="34" s="1"/>
  <c r="J31" i="34"/>
  <c r="W31" i="34" s="1"/>
  <c r="AC31" i="34"/>
  <c r="H31" i="34"/>
  <c r="AB31" i="34" s="1"/>
  <c r="F31" i="34"/>
  <c r="S31" i="34"/>
  <c r="H45" i="34"/>
  <c r="U45" i="34" s="1"/>
  <c r="J45" i="34"/>
  <c r="W45" i="34"/>
  <c r="F45" i="34"/>
  <c r="S45" i="34" s="1"/>
  <c r="H47" i="34"/>
  <c r="U47" i="34"/>
  <c r="F47" i="34"/>
  <c r="S47" i="34" s="1"/>
  <c r="J47" i="34"/>
  <c r="AC47" i="34"/>
  <c r="F13" i="35"/>
  <c r="S13" i="35" s="1"/>
  <c r="J13" i="35"/>
  <c r="AC13" i="35"/>
  <c r="H13" i="35"/>
  <c r="U13" i="35" s="1"/>
  <c r="J25" i="35"/>
  <c r="W25" i="35"/>
  <c r="F25" i="35"/>
  <c r="S25" i="35" s="1"/>
  <c r="H25" i="35"/>
  <c r="AB25" i="35"/>
  <c r="J35" i="35"/>
  <c r="AC35" i="35" s="1"/>
  <c r="F35" i="35"/>
  <c r="AA35" i="35"/>
  <c r="H35" i="35"/>
  <c r="AB35" i="35" s="1"/>
  <c r="J25" i="36"/>
  <c r="W25" i="36"/>
  <c r="F25" i="36"/>
  <c r="S25" i="36" s="1"/>
  <c r="H25" i="36"/>
  <c r="AB25" i="36"/>
  <c r="H13" i="37"/>
  <c r="AB13" i="37" s="1"/>
  <c r="F13" i="37"/>
  <c r="S13" i="37"/>
  <c r="J13" i="37"/>
  <c r="W13" i="37" s="1"/>
  <c r="F28" i="37"/>
  <c r="AA28" i="37"/>
  <c r="J28" i="37"/>
  <c r="AC28" i="37" s="1"/>
  <c r="H28" i="37"/>
  <c r="U28" i="37"/>
  <c r="H38" i="37"/>
  <c r="AB38" i="37" s="1"/>
  <c r="J38" i="37"/>
  <c r="AC38" i="37"/>
  <c r="F38" i="37"/>
  <c r="S38" i="37" s="1"/>
  <c r="F43" i="39"/>
  <c r="AA43" i="39"/>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S14" i="37"/>
  <c r="F27" i="37"/>
  <c r="AA27" i="37" s="1"/>
  <c r="F13" i="39"/>
  <c r="J13" i="39"/>
  <c r="W13" i="39" s="1"/>
  <c r="H13" i="39"/>
  <c r="H14" i="40"/>
  <c r="AB14" i="40" s="1"/>
  <c r="J14" i="40"/>
  <c r="W14" i="40"/>
  <c r="F14" i="40"/>
  <c r="AA14" i="40" s="1"/>
  <c r="J14" i="37"/>
  <c r="AC14" i="37"/>
  <c r="J27" i="37"/>
  <c r="AC27" i="37" s="1"/>
  <c r="AA13" i="35"/>
  <c r="U31" i="34"/>
  <c r="U46" i="33"/>
  <c r="AA14" i="33"/>
  <c r="J36" i="37"/>
  <c r="AC36" i="37" s="1"/>
  <c r="AB11" i="36"/>
  <c r="AB11" i="35"/>
  <c r="J10" i="36"/>
  <c r="AC10" i="36" s="1"/>
  <c r="AB26" i="33"/>
  <c r="AB30" i="21"/>
  <c r="AA14" i="37"/>
  <c r="AC13" i="36"/>
  <c r="W13" i="36"/>
  <c r="S11" i="36"/>
  <c r="W11" i="35"/>
  <c r="AB46" i="34"/>
  <c r="AC30" i="34"/>
  <c r="AA14" i="34"/>
  <c r="S45" i="33"/>
  <c r="AB45" i="33"/>
  <c r="AB31" i="33"/>
  <c r="U31" i="33"/>
  <c r="W29" i="33"/>
  <c r="U13" i="33"/>
  <c r="AC28" i="21"/>
  <c r="S44" i="34"/>
  <c r="BA586" i="3"/>
  <c r="BA585" i="3"/>
  <c r="AZ585" i="3" s="1"/>
  <c r="F17" i="21"/>
  <c r="AA17" i="21" s="1"/>
  <c r="H17" i="21"/>
  <c r="AB17" i="2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s="1"/>
  <c r="BL578" i="3"/>
  <c r="BL574" i="3"/>
  <c r="BL570" i="3"/>
  <c r="AZ570" i="3" s="1"/>
  <c r="BL566" i="3"/>
  <c r="AZ566" i="3" s="1"/>
  <c r="BL562" i="3"/>
  <c r="BL556" i="3"/>
  <c r="BL552" i="3"/>
  <c r="BL544" i="3"/>
  <c r="AZ544" i="3" s="1"/>
  <c r="BL540" i="3"/>
  <c r="BL536" i="3"/>
  <c r="G533" i="3"/>
  <c r="BL532" i="3"/>
  <c r="AZ532" i="3" s="1"/>
  <c r="G529" i="3"/>
  <c r="BL528" i="3"/>
  <c r="G525" i="3"/>
  <c r="BL524" i="3"/>
  <c r="AZ524" i="3" s="1"/>
  <c r="BL518" i="3"/>
  <c r="BL514" i="3"/>
  <c r="BL510" i="3"/>
  <c r="BL504" i="3"/>
  <c r="BL500" i="3"/>
  <c r="BL496" i="3"/>
  <c r="G493" i="3"/>
  <c r="BA584" i="3"/>
  <c r="BA582" i="3"/>
  <c r="BA580" i="3"/>
  <c r="AZ580" i="3"/>
  <c r="BA578" i="3"/>
  <c r="AZ578" i="3"/>
  <c r="BA576" i="3"/>
  <c r="AZ576" i="3"/>
  <c r="BA574" i="3"/>
  <c r="AZ574" i="3"/>
  <c r="BA572" i="3"/>
  <c r="AZ572" i="3"/>
  <c r="BA570" i="3"/>
  <c r="BA568" i="3"/>
  <c r="AZ568" i="3"/>
  <c r="BA566" i="3"/>
  <c r="BA564" i="3"/>
  <c r="AZ564" i="3"/>
  <c r="BA562" i="3"/>
  <c r="AZ562" i="3"/>
  <c r="BA560" i="3"/>
  <c r="AZ560" i="3" s="1"/>
  <c r="BA558" i="3"/>
  <c r="AZ558" i="3" s="1"/>
  <c r="BA556" i="3"/>
  <c r="AZ556" i="3"/>
  <c r="BA554" i="3"/>
  <c r="AZ554" i="3" s="1"/>
  <c r="BA552" i="3"/>
  <c r="AZ552" i="3"/>
  <c r="BA548" i="3"/>
  <c r="AZ548" i="3" s="1"/>
  <c r="BA546" i="3"/>
  <c r="BA544" i="3"/>
  <c r="BA542" i="3"/>
  <c r="AZ542" i="3" s="1"/>
  <c r="BA540" i="3"/>
  <c r="AZ540" i="3"/>
  <c r="BA538" i="3"/>
  <c r="AZ538" i="3" s="1"/>
  <c r="BA536" i="3"/>
  <c r="AZ536" i="3"/>
  <c r="BA534" i="3"/>
  <c r="AZ534" i="3" s="1"/>
  <c r="BA532" i="3"/>
  <c r="BA530" i="3"/>
  <c r="BA528" i="3"/>
  <c r="AZ528" i="3"/>
  <c r="BA526" i="3"/>
  <c r="AZ526" i="3"/>
  <c r="BA524" i="3"/>
  <c r="BA522" i="3"/>
  <c r="BA520" i="3"/>
  <c r="AZ520" i="3" s="1"/>
  <c r="BA518" i="3"/>
  <c r="AZ518" i="3"/>
  <c r="BA516" i="3"/>
  <c r="AZ516" i="3"/>
  <c r="BA514" i="3"/>
  <c r="BA512" i="3"/>
  <c r="AZ512" i="3"/>
  <c r="BA510" i="3"/>
  <c r="AZ510" i="3" s="1"/>
  <c r="BA508" i="3"/>
  <c r="AZ508" i="3" s="1"/>
  <c r="BA506" i="3"/>
  <c r="BA504" i="3"/>
  <c r="AZ504" i="3" s="1"/>
  <c r="BA502" i="3"/>
  <c r="BA500" i="3"/>
  <c r="BA498" i="3"/>
  <c r="AZ498" i="3" s="1"/>
  <c r="BA496" i="3"/>
  <c r="BA494" i="3"/>
  <c r="BA587" i="3"/>
  <c r="AZ587" i="3" s="1"/>
  <c r="BA583" i="3"/>
  <c r="BA581" i="3"/>
  <c r="BA579" i="3"/>
  <c r="BA577" i="3"/>
  <c r="BA575" i="3"/>
  <c r="BA573" i="3"/>
  <c r="AZ573" i="3" s="1"/>
  <c r="BA571" i="3"/>
  <c r="BA569" i="3"/>
  <c r="BA567" i="3"/>
  <c r="BA565" i="3"/>
  <c r="AZ565" i="3" s="1"/>
  <c r="BA563" i="3"/>
  <c r="BA561" i="3"/>
  <c r="BA559" i="3"/>
  <c r="AZ559" i="3" s="1"/>
  <c r="BA555" i="3"/>
  <c r="BA553" i="3"/>
  <c r="BA549" i="3"/>
  <c r="BA547" i="3"/>
  <c r="BA545" i="3"/>
  <c r="AZ545" i="3" s="1"/>
  <c r="BA543" i="3"/>
  <c r="BA541" i="3"/>
  <c r="BA539" i="3"/>
  <c r="BA537" i="3"/>
  <c r="BA535" i="3"/>
  <c r="BA533" i="3"/>
  <c r="BA531" i="3"/>
  <c r="BA529" i="3"/>
  <c r="AZ529" i="3" s="1"/>
  <c r="BA527" i="3"/>
  <c r="BA525" i="3"/>
  <c r="BA523" i="3"/>
  <c r="BA519" i="3"/>
  <c r="AZ519" i="3" s="1"/>
  <c r="BA517" i="3"/>
  <c r="BA515" i="3"/>
  <c r="AZ515" i="3" s="1"/>
  <c r="BA513" i="3"/>
  <c r="BA511" i="3"/>
  <c r="AZ511" i="3" s="1"/>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c r="BQ557" i="3"/>
  <c r="BL557" i="3"/>
  <c r="AZ557" i="3" s="1"/>
  <c r="BQ583" i="3"/>
  <c r="BL583" i="3"/>
  <c r="AZ583" i="3"/>
  <c r="BQ581" i="3"/>
  <c r="BL581" i="3" s="1"/>
  <c r="AZ581" i="3" s="1"/>
  <c r="BQ579" i="3"/>
  <c r="BL579" i="3"/>
  <c r="AZ579" i="3"/>
  <c r="BQ577" i="3"/>
  <c r="BL577" i="3"/>
  <c r="AZ577" i="3"/>
  <c r="BQ575" i="3"/>
  <c r="BL575" i="3" s="1"/>
  <c r="BQ573" i="3"/>
  <c r="BL573" i="3"/>
  <c r="BQ571" i="3"/>
  <c r="BL571" i="3"/>
  <c r="AZ571" i="3"/>
  <c r="BQ569" i="3"/>
  <c r="BL569" i="3"/>
  <c r="AZ569" i="3"/>
  <c r="BQ567" i="3"/>
  <c r="BL567" i="3" s="1"/>
  <c r="BQ565" i="3"/>
  <c r="BL565" i="3"/>
  <c r="BQ563" i="3"/>
  <c r="BL563" i="3"/>
  <c r="BQ561" i="3"/>
  <c r="BL561" i="3" s="1"/>
  <c r="AZ561" i="3" s="1"/>
  <c r="BQ559" i="3"/>
  <c r="BL559" i="3"/>
  <c r="G559" i="3"/>
  <c r="G555" i="3"/>
  <c r="G553" i="3"/>
  <c r="G549" i="3"/>
  <c r="G547" i="3"/>
  <c r="G545" i="3"/>
  <c r="G543" i="3"/>
  <c r="G541" i="3"/>
  <c r="G539" i="3"/>
  <c r="G537" i="3"/>
  <c r="BQ555" i="3"/>
  <c r="BL555" i="3" s="1"/>
  <c r="BQ553" i="3"/>
  <c r="BL553" i="3"/>
  <c r="AZ553" i="3" s="1"/>
  <c r="BQ551" i="3"/>
  <c r="BL551" i="3"/>
  <c r="BQ549" i="3"/>
  <c r="BQ547" i="3"/>
  <c r="BL547" i="3"/>
  <c r="AZ547" i="3"/>
  <c r="BQ545" i="3"/>
  <c r="BL545" i="3" s="1"/>
  <c r="BQ543" i="3"/>
  <c r="BL543" i="3"/>
  <c r="AZ543" i="3" s="1"/>
  <c r="BQ541" i="3"/>
  <c r="BL541" i="3"/>
  <c r="AZ541" i="3"/>
  <c r="BQ539" i="3"/>
  <c r="BL539" i="3"/>
  <c r="AZ539" i="3"/>
  <c r="BQ537" i="3"/>
  <c r="BL537" i="3" s="1"/>
  <c r="BQ535" i="3"/>
  <c r="BL535" i="3"/>
  <c r="AZ535" i="3" s="1"/>
  <c r="BQ533" i="3"/>
  <c r="BL533" i="3"/>
  <c r="AZ533" i="3"/>
  <c r="BQ531" i="3"/>
  <c r="BL531" i="3"/>
  <c r="AZ531" i="3"/>
  <c r="BQ529" i="3"/>
  <c r="BL529" i="3" s="1"/>
  <c r="BQ527" i="3"/>
  <c r="BL527" i="3"/>
  <c r="AZ527" i="3" s="1"/>
  <c r="BQ525" i="3"/>
  <c r="BL525" i="3"/>
  <c r="AZ525" i="3"/>
  <c r="BQ523" i="3"/>
  <c r="BL523" i="3"/>
  <c r="AZ523" i="3"/>
  <c r="BA521" i="3"/>
  <c r="AZ521" i="3" s="1"/>
  <c r="AC521" i="3"/>
  <c r="G521" i="3"/>
  <c r="BQ521" i="3"/>
  <c r="BL521" i="3" s="1"/>
  <c r="BL520" i="3"/>
  <c r="G519" i="3"/>
  <c r="G517" i="3"/>
  <c r="G515" i="3"/>
  <c r="G513" i="3"/>
  <c r="G511" i="3"/>
  <c r="BQ519" i="3"/>
  <c r="BL519" i="3"/>
  <c r="BQ517" i="3"/>
  <c r="BL517" i="3" s="1"/>
  <c r="AZ517" i="3" s="1"/>
  <c r="BQ515" i="3"/>
  <c r="BL515" i="3"/>
  <c r="BQ513" i="3"/>
  <c r="BL513" i="3"/>
  <c r="AZ513" i="3"/>
  <c r="BQ511" i="3"/>
  <c r="BL511" i="3"/>
  <c r="BA509" i="3"/>
  <c r="AC509" i="3"/>
  <c r="BQ509" i="3"/>
  <c r="BL509" i="3"/>
  <c r="BL508" i="3"/>
  <c r="G507" i="3"/>
  <c r="G505" i="3"/>
  <c r="G503" i="3"/>
  <c r="G501" i="3"/>
  <c r="G499" i="3"/>
  <c r="G497" i="3"/>
  <c r="G495" i="3"/>
  <c r="BQ507" i="3"/>
  <c r="BL507" i="3"/>
  <c r="AZ507" i="3"/>
  <c r="BQ505" i="3"/>
  <c r="BL505" i="3" s="1"/>
  <c r="AZ505" i="3" s="1"/>
  <c r="BQ503" i="3"/>
  <c r="BL503" i="3"/>
  <c r="BQ501" i="3"/>
  <c r="BL501" i="3"/>
  <c r="BQ499" i="3"/>
  <c r="BL499" i="3" s="1"/>
  <c r="AZ499" i="3" s="1"/>
  <c r="BQ497" i="3"/>
  <c r="BL497" i="3"/>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s="1"/>
  <c r="F22" i="36"/>
  <c r="S22" i="36"/>
  <c r="F26" i="36"/>
  <c r="S26" i="36" s="1"/>
  <c r="H27" i="34"/>
  <c r="AB27" i="34"/>
  <c r="H35" i="34"/>
  <c r="U35" i="34" s="1"/>
  <c r="F41" i="34"/>
  <c r="S41" i="34"/>
  <c r="H41" i="34"/>
  <c r="U41" i="34" s="1"/>
  <c r="J41" i="34"/>
  <c r="AC41" i="34"/>
  <c r="F10" i="35"/>
  <c r="S10" i="35" s="1"/>
  <c r="F24" i="35"/>
  <c r="AA24" i="35"/>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c r="I107" i="37" s="1"/>
  <c r="J107" i="37" s="1"/>
  <c r="K107" i="37" s="1"/>
  <c r="L107" i="37" s="1"/>
  <c r="M107" i="37" s="1"/>
  <c r="H37" i="21"/>
  <c r="U37" i="21" s="1"/>
  <c r="S42" i="21"/>
  <c r="H19" i="34"/>
  <c r="AB19" i="34" s="1"/>
  <c r="F36" i="35"/>
  <c r="S36" i="35"/>
  <c r="J9" i="37"/>
  <c r="W9" i="37" s="1"/>
  <c r="H9" i="37"/>
  <c r="AB9" i="37"/>
  <c r="F9" i="37"/>
  <c r="S9" i="37" s="1"/>
  <c r="J12" i="37"/>
  <c r="W12" i="37"/>
  <c r="H12" i="37"/>
  <c r="AB12" i="37" s="1"/>
  <c r="F12" i="37"/>
  <c r="S12" i="37"/>
  <c r="E71" i="37"/>
  <c r="F71" i="37" s="1"/>
  <c r="G71" i="37" s="1"/>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c r="J15" i="37"/>
  <c r="W15" i="37" s="1"/>
  <c r="AT6" i="3"/>
  <c r="H5" i="3"/>
  <c r="AA25" i="21"/>
  <c r="C12" i="43"/>
  <c r="H19" i="40"/>
  <c r="U19" i="40"/>
  <c r="F88" i="40"/>
  <c r="G88" i="40" s="1"/>
  <c r="F19" i="40"/>
  <c r="S19" i="40"/>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W35" i="40"/>
  <c r="A118" i="9"/>
  <c r="A4" i="52"/>
  <c r="B41" i="72" s="1"/>
  <c r="J11" i="39"/>
  <c r="W11" i="39" s="1"/>
  <c r="F11" i="39"/>
  <c r="AA11" i="39"/>
  <c r="A12" i="52"/>
  <c r="B56" i="72" s="1"/>
  <c r="S11" i="39"/>
  <c r="G4" i="4"/>
  <c r="I4" i="4"/>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AZ311" i="3" s="1"/>
  <c r="G319" i="3"/>
  <c r="BL320" i="3"/>
  <c r="G321" i="3"/>
  <c r="BL322" i="3"/>
  <c r="BA324" i="3"/>
  <c r="AZ324" i="3" s="1"/>
  <c r="BA325" i="3"/>
  <c r="BL325" i="3"/>
  <c r="AZ325" i="3" s="1"/>
  <c r="G326" i="3"/>
  <c r="BA327" i="3"/>
  <c r="G335" i="3"/>
  <c r="BL336" i="3"/>
  <c r="G337" i="3"/>
  <c r="BL338" i="3"/>
  <c r="BA340" i="3"/>
  <c r="AZ340" i="3"/>
  <c r="BA341" i="3"/>
  <c r="BL341" i="3"/>
  <c r="BA343" i="3"/>
  <c r="BA345" i="3"/>
  <c r="BL355" i="3"/>
  <c r="G356" i="3"/>
  <c r="BL357" i="3"/>
  <c r="BA359" i="3"/>
  <c r="AZ359" i="3" s="1"/>
  <c r="BA360" i="3"/>
  <c r="BL360" i="3"/>
  <c r="G361" i="3"/>
  <c r="BA362" i="3"/>
  <c r="AZ362" i="3" s="1"/>
  <c r="G370" i="3"/>
  <c r="BL371" i="3"/>
  <c r="G372" i="3"/>
  <c r="BL373" i="3"/>
  <c r="BA375" i="3"/>
  <c r="AZ375" i="3"/>
  <c r="BA376" i="3"/>
  <c r="AZ376" i="3" s="1"/>
  <c r="BL376" i="3"/>
  <c r="G377" i="3"/>
  <c r="BA378" i="3"/>
  <c r="AZ378" i="3" s="1"/>
  <c r="BL378" i="3"/>
  <c r="G379" i="3"/>
  <c r="BA380" i="3"/>
  <c r="G388" i="3"/>
  <c r="BL389" i="3"/>
  <c r="G390" i="3"/>
  <c r="BL391" i="3"/>
  <c r="BA393" i="3"/>
  <c r="AZ393" i="3" s="1"/>
  <c r="BA394" i="3"/>
  <c r="BL394" i="3"/>
  <c r="AZ394" i="3" s="1"/>
  <c r="G113" i="3"/>
  <c r="BA115" i="3"/>
  <c r="AZ115" i="3" s="1"/>
  <c r="BL116" i="3"/>
  <c r="AZ116" i="3" s="1"/>
  <c r="G117" i="3"/>
  <c r="BA119" i="3"/>
  <c r="AZ119" i="3"/>
  <c r="BL120" i="3"/>
  <c r="G121" i="3"/>
  <c r="BA123" i="3"/>
  <c r="BL124" i="3"/>
  <c r="AZ124" i="3" s="1"/>
  <c r="G125" i="3"/>
  <c r="BA127" i="3"/>
  <c r="AZ127" i="3" s="1"/>
  <c r="BL128" i="3"/>
  <c r="G129" i="3"/>
  <c r="BA131" i="3"/>
  <c r="AZ131" i="3" s="1"/>
  <c r="BL132" i="3"/>
  <c r="G133" i="3"/>
  <c r="BA135" i="3"/>
  <c r="AZ135" i="3" s="1"/>
  <c r="BL136" i="3"/>
  <c r="G137" i="3"/>
  <c r="BA139" i="3"/>
  <c r="AZ139" i="3" s="1"/>
  <c r="BL140" i="3"/>
  <c r="G141" i="3"/>
  <c r="BA143" i="3"/>
  <c r="AZ143" i="3" s="1"/>
  <c r="BL144" i="3"/>
  <c r="AZ144" i="3" s="1"/>
  <c r="G145" i="3"/>
  <c r="BA147" i="3"/>
  <c r="AZ147" i="3" s="1"/>
  <c r="BL148" i="3"/>
  <c r="AZ148" i="3" s="1"/>
  <c r="G149" i="3"/>
  <c r="BA151" i="3"/>
  <c r="AZ151" i="3"/>
  <c r="BL152" i="3"/>
  <c r="AZ152" i="3" s="1"/>
  <c r="G153" i="3"/>
  <c r="BA155" i="3"/>
  <c r="AZ155" i="3"/>
  <c r="BL156" i="3"/>
  <c r="AZ156" i="3" s="1"/>
  <c r="G157" i="3"/>
  <c r="BA159" i="3"/>
  <c r="AZ159" i="3" s="1"/>
  <c r="BL160" i="3"/>
  <c r="G161" i="3"/>
  <c r="BA163" i="3"/>
  <c r="AZ163" i="3" s="1"/>
  <c r="BL164" i="3"/>
  <c r="AZ164" i="3" s="1"/>
  <c r="G165" i="3"/>
  <c r="BA167" i="3"/>
  <c r="AZ167" i="3" s="1"/>
  <c r="BL168" i="3"/>
  <c r="G169" i="3"/>
  <c r="BA171" i="3"/>
  <c r="AZ171" i="3" s="1"/>
  <c r="BL172" i="3"/>
  <c r="AZ172" i="3"/>
  <c r="G173" i="3"/>
  <c r="BA175" i="3"/>
  <c r="AZ175" i="3" s="1"/>
  <c r="BL176" i="3"/>
  <c r="AZ176" i="3" s="1"/>
  <c r="G177" i="3"/>
  <c r="BA179" i="3"/>
  <c r="AZ179" i="3" s="1"/>
  <c r="BL180" i="3"/>
  <c r="AZ180" i="3" s="1"/>
  <c r="G181" i="3"/>
  <c r="BA183" i="3"/>
  <c r="AZ183" i="3"/>
  <c r="BL184" i="3"/>
  <c r="AZ184" i="3" s="1"/>
  <c r="G185" i="3"/>
  <c r="BA187" i="3"/>
  <c r="AZ187" i="3"/>
  <c r="BL188" i="3"/>
  <c r="AZ188" i="3" s="1"/>
  <c r="G189" i="3"/>
  <c r="BA191" i="3"/>
  <c r="AZ191" i="3" s="1"/>
  <c r="BL192" i="3"/>
  <c r="G193" i="3"/>
  <c r="BA195" i="3"/>
  <c r="AZ195" i="3" s="1"/>
  <c r="BL196" i="3"/>
  <c r="AZ196" i="3" s="1"/>
  <c r="G197" i="3"/>
  <c r="BA199" i="3"/>
  <c r="AZ199" i="3" s="1"/>
  <c r="BL200" i="3"/>
  <c r="G201" i="3"/>
  <c r="BA203" i="3"/>
  <c r="AZ203" i="3" s="1"/>
  <c r="BL204" i="3"/>
  <c r="AZ204" i="3"/>
  <c r="AZ39" i="3"/>
  <c r="AZ43" i="3"/>
  <c r="AZ51" i="3"/>
  <c r="AZ59" i="3"/>
  <c r="AZ67" i="3"/>
  <c r="AZ136" i="3"/>
  <c r="AZ160" i="3"/>
  <c r="AZ168" i="3"/>
  <c r="AZ192" i="3"/>
  <c r="AZ200" i="3"/>
  <c r="AZ97" i="3"/>
  <c r="AZ101" i="3"/>
  <c r="AZ109" i="3"/>
  <c r="AZ128" i="3"/>
  <c r="G534" i="3"/>
  <c r="G530" i="3"/>
  <c r="G522" i="3"/>
  <c r="G516" i="3"/>
  <c r="G512" i="3"/>
  <c r="G506" i="3"/>
  <c r="G498" i="3"/>
  <c r="G494" i="3"/>
  <c r="G16" i="3"/>
  <c r="G15" i="3"/>
  <c r="BA304" i="3"/>
  <c r="AZ304" i="3" s="1"/>
  <c r="BA305" i="3"/>
  <c r="AZ305" i="3"/>
  <c r="BL305" i="3"/>
  <c r="G306" i="3"/>
  <c r="G309" i="3"/>
  <c r="BL310" i="3"/>
  <c r="BA312" i="3"/>
  <c r="AZ312" i="3" s="1"/>
  <c r="BA313" i="3"/>
  <c r="BL313" i="3"/>
  <c r="AZ313" i="3" s="1"/>
  <c r="G314" i="3"/>
  <c r="G317" i="3"/>
  <c r="BL318" i="3"/>
  <c r="BA320" i="3"/>
  <c r="AZ320" i="3" s="1"/>
  <c r="BA321" i="3"/>
  <c r="AZ321" i="3"/>
  <c r="BL321" i="3"/>
  <c r="G322" i="3"/>
  <c r="G325" i="3"/>
  <c r="BL326" i="3"/>
  <c r="BA328" i="3"/>
  <c r="AZ328" i="3" s="1"/>
  <c r="BA329" i="3"/>
  <c r="BL329" i="3"/>
  <c r="AZ329" i="3" s="1"/>
  <c r="G330" i="3"/>
  <c r="G333" i="3"/>
  <c r="BL334" i="3"/>
  <c r="BA336" i="3"/>
  <c r="AZ336" i="3" s="1"/>
  <c r="BA337" i="3"/>
  <c r="AZ337" i="3"/>
  <c r="BL337" i="3"/>
  <c r="G338" i="3"/>
  <c r="G341" i="3"/>
  <c r="BA342" i="3"/>
  <c r="AZ342" i="3" s="1"/>
  <c r="BL342" i="3"/>
  <c r="BA344" i="3"/>
  <c r="BL344" i="3"/>
  <c r="AZ344" i="3" s="1"/>
  <c r="BA346" i="3"/>
  <c r="AZ346" i="3" s="1"/>
  <c r="BA347" i="3"/>
  <c r="AZ347" i="3" s="1"/>
  <c r="BL347" i="3"/>
  <c r="G350" i="3"/>
  <c r="BA351" i="3"/>
  <c r="AZ351" i="3" s="1"/>
  <c r="BL351" i="3"/>
  <c r="G352" i="3"/>
  <c r="G354" i="3"/>
  <c r="BA355" i="3"/>
  <c r="AZ355" i="3" s="1"/>
  <c r="BA356" i="3"/>
  <c r="BL356" i="3"/>
  <c r="AZ356" i="3" s="1"/>
  <c r="G357" i="3"/>
  <c r="G360" i="3"/>
  <c r="BL361" i="3"/>
  <c r="BA363" i="3"/>
  <c r="AZ363" i="3" s="1"/>
  <c r="BA364" i="3"/>
  <c r="BL364" i="3"/>
  <c r="G365" i="3"/>
  <c r="G368" i="3"/>
  <c r="BL369" i="3"/>
  <c r="BA371" i="3"/>
  <c r="AZ371" i="3"/>
  <c r="BA372" i="3"/>
  <c r="AZ372" i="3" s="1"/>
  <c r="BL372" i="3"/>
  <c r="G373" i="3"/>
  <c r="G376" i="3"/>
  <c r="BL377" i="3"/>
  <c r="BL379" i="3"/>
  <c r="BA381" i="3"/>
  <c r="AZ381" i="3" s="1"/>
  <c r="BA382" i="3"/>
  <c r="BL382" i="3"/>
  <c r="G383" i="3"/>
  <c r="G386" i="3"/>
  <c r="BL387" i="3"/>
  <c r="BA389" i="3"/>
  <c r="AZ389" i="3"/>
  <c r="BA390" i="3"/>
  <c r="AZ390" i="3" s="1"/>
  <c r="BL390" i="3"/>
  <c r="G391" i="3"/>
  <c r="G394"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s="1"/>
  <c r="BL311" i="3"/>
  <c r="G312" i="3"/>
  <c r="BA314" i="3"/>
  <c r="AZ314" i="3" s="1"/>
  <c r="BL315" i="3"/>
  <c r="AZ315" i="3" s="1"/>
  <c r="G316" i="3"/>
  <c r="BA318" i="3"/>
  <c r="AZ318" i="3"/>
  <c r="BL319" i="3"/>
  <c r="G320" i="3"/>
  <c r="BA322" i="3"/>
  <c r="AZ322" i="3"/>
  <c r="BL323" i="3"/>
  <c r="AZ323" i="3" s="1"/>
  <c r="G324" i="3"/>
  <c r="BA326" i="3"/>
  <c r="AZ326" i="3" s="1"/>
  <c r="BL327" i="3"/>
  <c r="AZ327" i="3" s="1"/>
  <c r="G328" i="3"/>
  <c r="BA330" i="3"/>
  <c r="AZ330" i="3" s="1"/>
  <c r="BL331" i="3"/>
  <c r="AZ331" i="3"/>
  <c r="G332" i="3"/>
  <c r="BA334" i="3"/>
  <c r="AZ334" i="3" s="1"/>
  <c r="BL335" i="3"/>
  <c r="G336" i="3"/>
  <c r="BA338" i="3"/>
  <c r="AZ338" i="3" s="1"/>
  <c r="BL339" i="3"/>
  <c r="AZ339" i="3" s="1"/>
  <c r="G340" i="3"/>
  <c r="BL343" i="3"/>
  <c r="G344" i="3"/>
  <c r="G348" i="3"/>
  <c r="G355" i="3"/>
  <c r="AZ209" i="3"/>
  <c r="AZ214" i="3"/>
  <c r="AZ218" i="3"/>
  <c r="AZ222" i="3"/>
  <c r="AZ319" i="3"/>
  <c r="G342" i="3"/>
  <c r="BL345" i="3"/>
  <c r="AZ345" i="3"/>
  <c r="G346" i="3"/>
  <c r="AZ348" i="3"/>
  <c r="BL349" i="3"/>
  <c r="AZ349" i="3"/>
  <c r="BL352" i="3"/>
  <c r="AZ352" i="3" s="1"/>
  <c r="G353" i="3"/>
  <c r="BA357" i="3"/>
  <c r="AZ357" i="3"/>
  <c r="BL358" i="3"/>
  <c r="AZ358" i="3" s="1"/>
  <c r="G359" i="3"/>
  <c r="BA361" i="3"/>
  <c r="AZ361" i="3" s="1"/>
  <c r="BL362" i="3"/>
  <c r="G363" i="3"/>
  <c r="BA365" i="3"/>
  <c r="AZ365" i="3" s="1"/>
  <c r="BL366" i="3"/>
  <c r="AZ366" i="3" s="1"/>
  <c r="G367" i="3"/>
  <c r="BA369" i="3"/>
  <c r="AZ369" i="3" s="1"/>
  <c r="BL370" i="3"/>
  <c r="G371" i="3"/>
  <c r="BA373" i="3"/>
  <c r="AZ373" i="3" s="1"/>
  <c r="BL374" i="3"/>
  <c r="AZ374" i="3"/>
  <c r="G375" i="3"/>
  <c r="BA377" i="3"/>
  <c r="AZ377" i="3" s="1"/>
  <c r="AZ229" i="3"/>
  <c r="AZ233" i="3"/>
  <c r="AZ237" i="3"/>
  <c r="AZ241" i="3"/>
  <c r="AZ245" i="3"/>
  <c r="AZ249" i="3"/>
  <c r="AZ253" i="3"/>
  <c r="AZ257" i="3"/>
  <c r="AZ261" i="3"/>
  <c r="AZ265" i="3"/>
  <c r="AZ269" i="3"/>
  <c r="AZ273" i="3"/>
  <c r="AZ370" i="3"/>
  <c r="BA379" i="3"/>
  <c r="AZ379" i="3" s="1"/>
  <c r="BL380" i="3"/>
  <c r="G381" i="3"/>
  <c r="BA383" i="3"/>
  <c r="AZ383" i="3" s="1"/>
  <c r="BL384" i="3"/>
  <c r="G385" i="3"/>
  <c r="BA387" i="3"/>
  <c r="AZ387" i="3" s="1"/>
  <c r="BL388" i="3"/>
  <c r="G389" i="3"/>
  <c r="BA391" i="3"/>
  <c r="BL392" i="3"/>
  <c r="G393" i="3"/>
  <c r="AZ279" i="3"/>
  <c r="AZ283" i="3"/>
  <c r="AZ287" i="3"/>
  <c r="AZ291" i="3"/>
  <c r="AZ295" i="3"/>
  <c r="AZ299" i="3"/>
  <c r="BO5" i="3"/>
  <c r="BM5" i="3"/>
  <c r="BJ5" i="3"/>
  <c r="BH5" i="3"/>
  <c r="BF5" i="3"/>
  <c r="BD5" i="3"/>
  <c r="AZ309" i="3"/>
  <c r="AZ317" i="3"/>
  <c r="AZ333" i="3"/>
  <c r="AZ341" i="3"/>
  <c r="BQ5" i="3"/>
  <c r="AC5" i="3"/>
  <c r="AZ549" i="3"/>
  <c r="AZ506" i="3"/>
  <c r="AZ496" i="3"/>
  <c r="G548" i="3"/>
  <c r="G538" i="3"/>
  <c r="G520" i="3"/>
  <c r="G502" i="3"/>
  <c r="BS5" i="3"/>
  <c r="BP5" i="3"/>
  <c r="BN5" i="3"/>
  <c r="AZ343" i="3"/>
  <c r="BK5" i="3"/>
  <c r="BI5" i="3"/>
  <c r="BG5" i="3"/>
  <c r="BE5" i="3"/>
  <c r="BC5" i="3"/>
  <c r="G17" i="3"/>
  <c r="BA17" i="3"/>
  <c r="BT5" i="3"/>
  <c r="AZ350" i="3"/>
  <c r="AZ360" i="3"/>
  <c r="AZ364" i="3"/>
  <c r="AZ368" i="3"/>
  <c r="BA15" i="3"/>
  <c r="AZ15" i="3"/>
  <c r="BR5" i="3"/>
  <c r="AZ380" i="3"/>
  <c r="AZ384" i="3"/>
  <c r="AZ388" i="3"/>
  <c r="AZ392" i="3"/>
  <c r="AZ396" i="3"/>
  <c r="AZ509" i="3"/>
  <c r="G509" i="3"/>
  <c r="BL493" i="3"/>
  <c r="AZ493" i="3" s="1"/>
  <c r="AZ491" i="3"/>
  <c r="AZ382" i="3"/>
  <c r="U36" i="40"/>
  <c r="F36" i="43"/>
  <c r="F81" i="43"/>
  <c r="H83" i="43" s="1"/>
  <c r="H113" i="43"/>
  <c r="F48" i="43"/>
  <c r="H52" i="43"/>
  <c r="F70" i="43"/>
  <c r="M11" i="43"/>
  <c r="D17" i="43"/>
  <c r="F39" i="43"/>
  <c r="I17" i="43"/>
  <c r="F35" i="43"/>
  <c r="J17" i="43"/>
  <c r="F6" i="1"/>
  <c r="U17" i="39"/>
  <c r="S14" i="35"/>
  <c r="U43" i="21"/>
  <c r="U35" i="21"/>
  <c r="AC35" i="21"/>
  <c r="U10" i="21"/>
  <c r="G8" i="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c r="W12" i="36"/>
  <c r="AC12" i="36"/>
  <c r="H20" i="36"/>
  <c r="U20" i="36"/>
  <c r="J20" i="36"/>
  <c r="W20" i="36" s="1"/>
  <c r="W24" i="36"/>
  <c r="J27" i="36"/>
  <c r="W27" i="36"/>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c r="F96" i="37"/>
  <c r="H27" i="40"/>
  <c r="U27" i="40" s="1"/>
  <c r="J27" i="40"/>
  <c r="AC27" i="40"/>
  <c r="F27" i="40"/>
  <c r="S27" i="40" s="1"/>
  <c r="J30" i="40"/>
  <c r="AC30" i="40" s="1"/>
  <c r="F30" i="40"/>
  <c r="AA30" i="40" s="1"/>
  <c r="AC21" i="40"/>
  <c r="S31" i="39"/>
  <c r="S11" i="40"/>
  <c r="E98" i="40"/>
  <c r="F98" i="40"/>
  <c r="G98" i="40" s="1"/>
  <c r="H98" i="40" s="1"/>
  <c r="I98" i="40" s="1"/>
  <c r="J98" i="40" s="1"/>
  <c r="K98" i="40" s="1"/>
  <c r="L98" i="40" s="1"/>
  <c r="M98" i="40" s="1"/>
  <c r="F10" i="33"/>
  <c r="S10" i="33"/>
  <c r="F34" i="33"/>
  <c r="S34" i="33" s="1"/>
  <c r="H34" i="33"/>
  <c r="U34" i="33" s="1"/>
  <c r="F35" i="33"/>
  <c r="S35" i="33" s="1"/>
  <c r="F39" i="34"/>
  <c r="S39" i="34" s="1"/>
  <c r="J39" i="34"/>
  <c r="W39" i="34" s="1"/>
  <c r="F40" i="34"/>
  <c r="S40" i="34"/>
  <c r="F43" i="34"/>
  <c r="AA43" i="34" s="1"/>
  <c r="H44" i="34"/>
  <c r="AB44" i="34" s="1"/>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8" i="3"/>
  <c r="AZ296" i="3"/>
  <c r="AZ114" i="3"/>
  <c r="AZ117" i="3"/>
  <c r="AZ21" i="3"/>
  <c r="AZ29" i="3"/>
  <c r="AZ31" i="3"/>
  <c r="AZ33" i="3"/>
  <c r="AZ37" i="3"/>
  <c r="AZ50" i="3"/>
  <c r="AZ66" i="3"/>
  <c r="AZ72" i="3"/>
  <c r="AZ74" i="3"/>
  <c r="AZ77" i="3"/>
  <c r="AZ82" i="3"/>
  <c r="AZ86" i="3"/>
  <c r="AZ94" i="3"/>
  <c r="H50" i="43"/>
  <c r="I20" i="43"/>
  <c r="F23" i="39"/>
  <c r="AA23" i="39" s="1"/>
  <c r="H27" i="36"/>
  <c r="U27" i="36"/>
  <c r="F27" i="36"/>
  <c r="AA27" i="36" s="1"/>
  <c r="H33" i="34"/>
  <c r="U33" i="34" s="1"/>
  <c r="F32" i="37"/>
  <c r="AA32" i="37" s="1"/>
  <c r="G96" i="37"/>
  <c r="H96" i="37"/>
  <c r="I96" i="37" s="1"/>
  <c r="J96" i="37" s="1"/>
  <c r="K96" i="37" s="1"/>
  <c r="L96" i="37" s="1"/>
  <c r="M96" i="37" s="1"/>
  <c r="F20" i="36"/>
  <c r="AA20" i="36"/>
  <c r="J33" i="34"/>
  <c r="AC33" i="34"/>
  <c r="H23" i="39"/>
  <c r="U23" i="39" s="1"/>
  <c r="D48" i="9"/>
  <c r="M52" i="9" s="1"/>
  <c r="H86" i="43"/>
  <c r="H82" i="43"/>
  <c r="H87" i="43"/>
  <c r="K9" i="1"/>
  <c r="M9" i="1" s="1"/>
  <c r="AE9" i="1"/>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6" i="3"/>
  <c r="AZ297" i="3"/>
  <c r="AZ149" i="3"/>
  <c r="AZ157" i="3"/>
  <c r="AZ165" i="3"/>
  <c r="AZ173" i="3"/>
  <c r="AZ181" i="3"/>
  <c r="AZ189" i="3"/>
  <c r="AZ197" i="3"/>
  <c r="AZ19" i="3"/>
  <c r="AZ26" i="3"/>
  <c r="AZ35" i="3"/>
  <c r="AZ41" i="3"/>
  <c r="S12" i="1"/>
  <c r="AR12" i="1" s="1"/>
  <c r="R12" i="1"/>
  <c r="B12" i="1"/>
  <c r="E12" i="1"/>
  <c r="S10" i="1"/>
  <c r="AQ10" i="1" s="1"/>
  <c r="R10" i="1"/>
  <c r="B10" i="1"/>
  <c r="E10" i="1" s="1"/>
  <c r="AZ80" i="3"/>
  <c r="AZ84" i="3"/>
  <c r="AZ88" i="3"/>
  <c r="K12" i="1"/>
  <c r="M12" i="1" s="1"/>
  <c r="O12" i="1" s="1"/>
  <c r="S13" i="1"/>
  <c r="AR13" i="1" s="1"/>
  <c r="R13" i="1"/>
  <c r="S11" i="1"/>
  <c r="AQ11" i="1" s="1"/>
  <c r="R11" i="1"/>
  <c r="S9" i="1"/>
  <c r="AR9" i="1" s="1"/>
  <c r="R9" i="1"/>
  <c r="J51" i="67"/>
  <c r="C42" i="1"/>
  <c r="H100" i="43"/>
  <c r="AC34" i="33"/>
  <c r="AA34" i="33"/>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c r="F23" i="21"/>
  <c r="S23" i="21" s="1"/>
  <c r="E85" i="21"/>
  <c r="AC11" i="21"/>
  <c r="AA14" i="21"/>
  <c r="AB8" i="21"/>
  <c r="S8" i="21"/>
  <c r="M3" i="43"/>
  <c r="M1" i="43"/>
  <c r="N8" i="43"/>
  <c r="D120" i="9"/>
  <c r="D121" i="9" s="1"/>
  <c r="D7" i="52" s="1"/>
  <c r="C18" i="9"/>
  <c r="D18" i="9" s="1"/>
  <c r="F34" i="67"/>
  <c r="F62" i="67" s="1"/>
  <c r="M20" i="67"/>
  <c r="F34" i="15"/>
  <c r="F62" i="15" s="1"/>
  <c r="G13" i="3"/>
  <c r="BL17" i="3"/>
  <c r="AZ17" i="3"/>
  <c r="BL13" i="3"/>
  <c r="J56" i="9"/>
  <c r="J57" i="9" s="1"/>
  <c r="J59" i="9" s="1"/>
  <c r="J61" i="9" s="1"/>
  <c r="U29" i="34"/>
  <c r="E5" i="6"/>
  <c r="D9" i="11" s="1"/>
  <c r="C9" i="11" s="1"/>
  <c r="E32" i="6"/>
  <c r="L19" i="6"/>
  <c r="G1" i="68"/>
  <c r="K1" i="12"/>
  <c r="AQ12" i="1"/>
  <c r="E19" i="69"/>
  <c r="G22" i="69"/>
  <c r="G26" i="12"/>
  <c r="C100" i="43"/>
  <c r="E81" i="43"/>
  <c r="B79" i="43"/>
  <c r="E48" i="43"/>
  <c r="B46" i="43"/>
  <c r="E70" i="43"/>
  <c r="B68" i="43" s="1"/>
  <c r="F100" i="43"/>
  <c r="H17" i="43"/>
  <c r="H85" i="43"/>
  <c r="H81" i="43"/>
  <c r="H84" i="43"/>
  <c r="H88" i="43"/>
  <c r="H53" i="43"/>
  <c r="H78" i="43"/>
  <c r="H71" i="43"/>
  <c r="C17" i="43"/>
  <c r="F33" i="43"/>
  <c r="K17" i="43"/>
  <c r="F34" i="43"/>
  <c r="N6" i="43"/>
  <c r="C6" i="43"/>
  <c r="N3" i="43"/>
  <c r="F38" i="43"/>
  <c r="F37" i="43"/>
  <c r="M9" i="43"/>
  <c r="N5" i="43"/>
  <c r="M12" i="43"/>
  <c r="B19" i="53"/>
  <c r="B37" i="72" s="1"/>
  <c r="C7" i="39"/>
  <c r="C67" i="39" s="1"/>
  <c r="C69" i="39" s="1"/>
  <c r="C7" i="35"/>
  <c r="C7" i="40"/>
  <c r="C63" i="40" s="1"/>
  <c r="M47" i="9"/>
  <c r="T35" i="4"/>
  <c r="A19" i="51" s="1"/>
  <c r="B14" i="72" s="1"/>
  <c r="C59" i="34"/>
  <c r="D59" i="34" s="1"/>
  <c r="E59" i="34" s="1"/>
  <c r="F59" i="34" s="1"/>
  <c r="G59" i="34" s="1"/>
  <c r="H59" i="34" s="1"/>
  <c r="C48" i="35"/>
  <c r="D48" i="35" s="1"/>
  <c r="C4" i="12"/>
  <c r="H66" i="43"/>
  <c r="H65" i="43"/>
  <c r="H64" i="43"/>
  <c r="H63" i="43"/>
  <c r="H55" i="43"/>
  <c r="H56" i="43"/>
  <c r="H72" i="43"/>
  <c r="L20" i="6"/>
  <c r="B6" i="1"/>
  <c r="E6" i="1"/>
  <c r="S8" i="1"/>
  <c r="AR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s="1"/>
  <c r="AA26" i="21"/>
  <c r="AB14" i="21"/>
  <c r="AB46" i="21"/>
  <c r="U40" i="21"/>
  <c r="AB31" i="21"/>
  <c r="U31" i="21"/>
  <c r="AC15" i="21"/>
  <c r="U13" i="21"/>
  <c r="AB13" i="21"/>
  <c r="W8" i="21"/>
  <c r="S35" i="21"/>
  <c r="AB37" i="21"/>
  <c r="J37" i="21"/>
  <c r="W37" i="21"/>
  <c r="H15" i="21"/>
  <c r="U15" i="21" s="1"/>
  <c r="J17" i="21"/>
  <c r="AC17" i="21"/>
  <c r="AC19" i="21"/>
  <c r="W39" i="21"/>
  <c r="AC14" i="21"/>
  <c r="W30" i="21"/>
  <c r="S46" i="21"/>
  <c r="H45" i="21"/>
  <c r="U45" i="21"/>
  <c r="F29" i="21"/>
  <c r="AA29" i="21" s="1"/>
  <c r="S29" i="21"/>
  <c r="F13" i="21"/>
  <c r="AA13" i="21"/>
  <c r="AC38" i="21"/>
  <c r="H32" i="21"/>
  <c r="AB32" i="21" s="1"/>
  <c r="H9" i="21"/>
  <c r="J9" i="21"/>
  <c r="J32" i="21"/>
  <c r="W32" i="21" s="1"/>
  <c r="F32" i="21"/>
  <c r="AA32" i="21" s="1"/>
  <c r="AA31" i="21"/>
  <c r="U17" i="21"/>
  <c r="W29" i="21"/>
  <c r="S19" i="21"/>
  <c r="S9" i="21"/>
  <c r="AA9" i="21"/>
  <c r="K141" i="21"/>
  <c r="K144" i="21"/>
  <c r="K143" i="21"/>
  <c r="U27" i="21"/>
  <c r="AB25" i="21"/>
  <c r="AB44" i="21"/>
  <c r="AA30" i="21"/>
  <c r="W13" i="21"/>
  <c r="W42" i="21"/>
  <c r="AC45" i="21"/>
  <c r="F10" i="21"/>
  <c r="K145" i="21"/>
  <c r="W17" i="21"/>
  <c r="W25"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E4" i="4"/>
  <c r="B5" i="62" s="1"/>
  <c r="B73" i="72" s="1"/>
  <c r="C4" i="4"/>
  <c r="M6" i="1"/>
  <c r="O6" i="1" s="1"/>
  <c r="D9" i="69"/>
  <c r="C9" i="69" s="1"/>
  <c r="S7" i="1"/>
  <c r="T7" i="1" s="1"/>
  <c r="E7" i="70"/>
  <c r="AA39" i="40"/>
  <c r="S39" i="40"/>
  <c r="S12" i="33"/>
  <c r="AA12" i="33"/>
  <c r="J32" i="39"/>
  <c r="W32" i="39" s="1"/>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AC23" i="37" s="1"/>
  <c r="G79" i="37"/>
  <c r="J10" i="37"/>
  <c r="I60" i="37"/>
  <c r="G63" i="37"/>
  <c r="H11" i="37"/>
  <c r="U11" i="37" s="1"/>
  <c r="AB10" i="37"/>
  <c r="U10" i="37"/>
  <c r="G70" i="34"/>
  <c r="H70" i="34" s="1"/>
  <c r="I70" i="34" s="1"/>
  <c r="J70" i="34" s="1"/>
  <c r="K70" i="34" s="1"/>
  <c r="L70" i="34" s="1"/>
  <c r="H11" i="34"/>
  <c r="AB10" i="34"/>
  <c r="U10" i="34"/>
  <c r="J10" i="34"/>
  <c r="AC10" i="34" s="1"/>
  <c r="I67" i="34"/>
  <c r="AB41" i="33"/>
  <c r="U41" i="33"/>
  <c r="W35" i="33"/>
  <c r="AC35" i="33"/>
  <c r="H111" i="33"/>
  <c r="I111" i="33" s="1"/>
  <c r="J111" i="33" s="1"/>
  <c r="K111" i="33" s="1"/>
  <c r="L111" i="33" s="1"/>
  <c r="M111" i="33" s="1"/>
  <c r="J36" i="33"/>
  <c r="W36" i="33" s="1"/>
  <c r="H36" i="33"/>
  <c r="S36" i="33"/>
  <c r="AA36" i="33"/>
  <c r="AC32" i="33"/>
  <c r="W32" i="33"/>
  <c r="U27" i="33"/>
  <c r="AB27" i="33"/>
  <c r="G91" i="33"/>
  <c r="H91" i="33" s="1"/>
  <c r="I91" i="33"/>
  <c r="J91" i="33" s="1"/>
  <c r="K91" i="33" s="1"/>
  <c r="L91" i="33" s="1"/>
  <c r="M91" i="33" s="1"/>
  <c r="J27" i="33"/>
  <c r="AC27" i="33" s="1"/>
  <c r="U25" i="33"/>
  <c r="AB25" i="33"/>
  <c r="S25" i="33"/>
  <c r="AA25" i="33"/>
  <c r="G87" i="33"/>
  <c r="H87" i="33" s="1"/>
  <c r="I87" i="33"/>
  <c r="J87" i="33" s="1"/>
  <c r="K87" i="33" s="1"/>
  <c r="L87" i="33" s="1"/>
  <c r="M87" i="33" s="1"/>
  <c r="J25" i="33"/>
  <c r="W25" i="33" s="1"/>
  <c r="AB23" i="33"/>
  <c r="U23" i="33"/>
  <c r="F23" i="33"/>
  <c r="S23" i="33" s="1"/>
  <c r="G85" i="33"/>
  <c r="AC23" i="33"/>
  <c r="W23" i="33"/>
  <c r="AA19" i="33"/>
  <c r="H19" i="33"/>
  <c r="AB19" i="33" s="1"/>
  <c r="G81" i="33"/>
  <c r="G79" i="33"/>
  <c r="H17" i="33"/>
  <c r="F17" i="33"/>
  <c r="S17" i="33" s="1"/>
  <c r="W17" i="33"/>
  <c r="AC17" i="33"/>
  <c r="U10" i="33"/>
  <c r="AB10" i="33"/>
  <c r="AC10" i="33"/>
  <c r="W10" i="33"/>
  <c r="AC37" i="21"/>
  <c r="U33" i="21"/>
  <c r="S37" i="21"/>
  <c r="AB15" i="21"/>
  <c r="J23" i="21"/>
  <c r="F85" i="21"/>
  <c r="G85" i="21" s="1"/>
  <c r="H23" i="21"/>
  <c r="AB23" i="21" s="1"/>
  <c r="S13" i="21"/>
  <c r="D6" i="52"/>
  <c r="R22" i="31"/>
  <c r="AP7" i="1"/>
  <c r="AB45" i="21"/>
  <c r="AC33" i="21"/>
  <c r="W33" i="21"/>
  <c r="S33" i="21"/>
  <c r="AA33" i="21"/>
  <c r="AC32" i="21"/>
  <c r="AB9" i="21"/>
  <c r="U9" i="21"/>
  <c r="S32" i="21"/>
  <c r="W9" i="21"/>
  <c r="AC9" i="21"/>
  <c r="AA10" i="21"/>
  <c r="S10" i="21"/>
  <c r="E6" i="70"/>
  <c r="U32" i="39"/>
  <c r="AC32" i="39"/>
  <c r="W19" i="37"/>
  <c r="AC19" i="37"/>
  <c r="W23" i="37"/>
  <c r="H63" i="37"/>
  <c r="I63" i="37" s="1"/>
  <c r="J63" i="37" s="1"/>
  <c r="K63" i="37" s="1"/>
  <c r="L63" i="37" s="1"/>
  <c r="M63" i="37" s="1"/>
  <c r="J11" i="37"/>
  <c r="W11" i="37" s="1"/>
  <c r="W10" i="37"/>
  <c r="AC10" i="37"/>
  <c r="U11" i="34"/>
  <c r="AB11" i="34"/>
  <c r="W10" i="34"/>
  <c r="M70" i="34"/>
  <c r="J11" i="34"/>
  <c r="AC36" i="33"/>
  <c r="U36" i="33"/>
  <c r="AB36" i="33"/>
  <c r="AA23" i="33"/>
  <c r="U17" i="33"/>
  <c r="AB17" i="33"/>
  <c r="U23" i="21"/>
  <c r="AC23" i="21"/>
  <c r="W23" i="21"/>
  <c r="W11" i="34"/>
  <c r="AC11" i="34"/>
  <c r="R7" i="1"/>
  <c r="R8" i="1"/>
  <c r="AE7" i="1"/>
  <c r="AE8" i="1"/>
  <c r="AG6" i="1"/>
  <c r="H109" i="9"/>
  <c r="D16" i="53" s="1"/>
  <c r="D124" i="9"/>
  <c r="H14" i="74" s="1"/>
  <c r="B7" i="74" s="1"/>
  <c r="AD3" i="7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D67" i="39"/>
  <c r="D69" i="39" s="1"/>
  <c r="AB19" i="71"/>
  <c r="X17" i="71"/>
  <c r="X16" i="71"/>
  <c r="AA17" i="71"/>
  <c r="AA16" i="71"/>
  <c r="X20" i="71"/>
  <c r="Y16" i="71"/>
  <c r="Z16" i="71" s="1"/>
  <c r="AB17" i="71"/>
  <c r="AB16" i="71"/>
  <c r="F18" i="71"/>
  <c r="F17" i="71" s="1"/>
  <c r="F16" i="71" s="1"/>
  <c r="F15" i="71" s="1"/>
  <c r="F14" i="71" s="1"/>
  <c r="Y17" i="71"/>
  <c r="Z17" i="71" s="1"/>
  <c r="X3" i="71"/>
  <c r="G20" i="43"/>
  <c r="E41" i="43"/>
  <c r="C41" i="43" s="1"/>
  <c r="I59" i="34"/>
  <c r="J59" i="34" s="1"/>
  <c r="F9" i="67"/>
  <c r="F42" i="67"/>
  <c r="AO9" i="1"/>
  <c r="C76" i="15"/>
  <c r="E2" i="68"/>
  <c r="F16" i="15"/>
  <c r="AO13" i="1"/>
  <c r="B11" i="76"/>
  <c r="L48" i="67"/>
  <c r="B10" i="76"/>
  <c r="F6" i="67"/>
  <c r="M23" i="67"/>
  <c r="AO7" i="1"/>
  <c r="F7" i="15"/>
  <c r="M26" i="67"/>
  <c r="M27" i="67"/>
  <c r="F36" i="15"/>
  <c r="D2" i="35"/>
  <c r="M9" i="67"/>
  <c r="L47" i="15"/>
  <c r="M9" i="15"/>
  <c r="M28" i="67"/>
  <c r="F43" i="67"/>
  <c r="B12" i="76"/>
  <c r="AO11" i="1"/>
  <c r="E10" i="76"/>
  <c r="L47" i="67"/>
  <c r="F20" i="31"/>
  <c r="M24" i="15"/>
  <c r="M22" i="15"/>
  <c r="F7" i="73"/>
  <c r="F8" i="67"/>
  <c r="M24" i="67"/>
  <c r="M29" i="67"/>
  <c r="E13" i="76"/>
  <c r="F26" i="67"/>
  <c r="F41" i="67"/>
  <c r="M21" i="67"/>
  <c r="J15" i="67"/>
  <c r="F6" i="73"/>
  <c r="E12" i="76"/>
  <c r="M26" i="15"/>
  <c r="F37" i="67"/>
  <c r="B9" i="76"/>
  <c r="J15" i="15"/>
  <c r="F38" i="67"/>
  <c r="E9" i="76"/>
  <c r="M8" i="67"/>
  <c r="F35" i="67"/>
  <c r="F43" i="15"/>
  <c r="D2" i="33"/>
  <c r="M8" i="15"/>
  <c r="E2" i="69"/>
  <c r="D2" i="34"/>
  <c r="F38" i="15"/>
  <c r="F13" i="67"/>
  <c r="D2" i="21"/>
  <c r="F13" i="15"/>
  <c r="F5" i="73"/>
  <c r="E11" i="76"/>
  <c r="F16" i="67"/>
  <c r="F6" i="15"/>
  <c r="F9" i="15"/>
  <c r="D2" i="36"/>
  <c r="F4" i="73"/>
  <c r="M27" i="15"/>
  <c r="F36" i="67"/>
  <c r="F40" i="67"/>
  <c r="M6" i="15"/>
  <c r="L48" i="15"/>
  <c r="M29" i="15"/>
  <c r="E7" i="76"/>
  <c r="F37" i="15"/>
  <c r="B13" i="76"/>
  <c r="M23" i="15"/>
  <c r="D2" i="37"/>
  <c r="F42" i="15"/>
  <c r="F26" i="15"/>
  <c r="AO12" i="1"/>
  <c r="E8" i="76"/>
  <c r="B7" i="76"/>
  <c r="AO10" i="1"/>
  <c r="F3" i="73"/>
  <c r="F8" i="15"/>
  <c r="B8" i="76"/>
  <c r="C76" i="67"/>
  <c r="M28" i="15"/>
  <c r="AO8" i="1"/>
  <c r="F7" i="67"/>
  <c r="F40" i="15"/>
  <c r="M22" i="67"/>
  <c r="M6" i="67"/>
  <c r="C40" i="11" l="1"/>
  <c r="W33" i="37"/>
  <c r="U33" i="37"/>
  <c r="AB11" i="37"/>
  <c r="AA11" i="37"/>
  <c r="AC11" i="37"/>
  <c r="C94" i="9"/>
  <c r="C92" i="9"/>
  <c r="B41" i="1"/>
  <c r="F32" i="67" s="1"/>
  <c r="F60" i="67" s="1"/>
  <c r="D93" i="9"/>
  <c r="C13" i="12"/>
  <c r="C40" i="69"/>
  <c r="C21" i="69"/>
  <c r="E19" i="68"/>
  <c r="F34" i="68"/>
  <c r="C36" i="68" s="1"/>
  <c r="D23" i="15"/>
  <c r="D22" i="67"/>
  <c r="F11" i="12"/>
  <c r="C23" i="12" s="1"/>
  <c r="G22" i="11"/>
  <c r="E1" i="73"/>
  <c r="G22" i="68"/>
  <c r="AQ13" i="1"/>
  <c r="AQ8" i="1"/>
  <c r="C36" i="69"/>
  <c r="T12" i="1"/>
  <c r="L27" i="6"/>
  <c r="E12" i="6"/>
  <c r="E61" i="39" s="1"/>
  <c r="E14" i="6"/>
  <c r="E63" i="39" s="1"/>
  <c r="T8" i="1"/>
  <c r="J22" i="43"/>
  <c r="T11" i="1"/>
  <c r="BA13" i="3"/>
  <c r="AZ13" i="3" s="1"/>
  <c r="D9" i="68"/>
  <c r="C9" i="68" s="1"/>
  <c r="AI11" i="43"/>
  <c r="AI13" i="43" s="1"/>
  <c r="AR11" i="1"/>
  <c r="AJ11" i="43"/>
  <c r="AJ13" i="43" s="1"/>
  <c r="I101" i="43"/>
  <c r="I106" i="43" s="1"/>
  <c r="K101" i="43"/>
  <c r="D19" i="12"/>
  <c r="C19" i="12" s="1"/>
  <c r="E10" i="6"/>
  <c r="AR7" i="1"/>
  <c r="Q16" i="1"/>
  <c r="F27" i="11" s="1"/>
  <c r="P11" i="1"/>
  <c r="AG11" i="43"/>
  <c r="AD11" i="43"/>
  <c r="K109" i="43"/>
  <c r="E101" i="43"/>
  <c r="F101" i="43"/>
  <c r="F109" i="43" s="1"/>
  <c r="E15" i="6"/>
  <c r="E8" i="6"/>
  <c r="E13" i="6"/>
  <c r="E62" i="39" s="1"/>
  <c r="AQ7" i="1"/>
  <c r="E2" i="70"/>
  <c r="Y11" i="43"/>
  <c r="Y13" i="43" s="1"/>
  <c r="Z7" i="43"/>
  <c r="T10" i="1"/>
  <c r="K107" i="43"/>
  <c r="D101" i="43"/>
  <c r="E11" i="6"/>
  <c r="N104" i="46"/>
  <c r="B113" i="43"/>
  <c r="I118" i="43" s="1"/>
  <c r="J118" i="43" s="1"/>
  <c r="K118" i="43" s="1"/>
  <c r="L118" i="43" s="1"/>
  <c r="M118" i="43" s="1"/>
  <c r="AQ9" i="1"/>
  <c r="T13" i="1"/>
  <c r="AA11" i="43"/>
  <c r="AA13" i="43" s="1"/>
  <c r="Z11" i="43"/>
  <c r="Z13" i="43" s="1"/>
  <c r="AR10" i="1"/>
  <c r="L101" i="43"/>
  <c r="L104" i="43" s="1"/>
  <c r="G101" i="43"/>
  <c r="G104" i="43" s="1"/>
  <c r="D103" i="43"/>
  <c r="E59" i="40"/>
  <c r="G28" i="6"/>
  <c r="E29" i="6"/>
  <c r="K15" i="1" s="1"/>
  <c r="F29" i="6"/>
  <c r="F30" i="6" s="1"/>
  <c r="T9" i="1"/>
  <c r="E105" i="43"/>
  <c r="E104" i="43"/>
  <c r="D102" i="43"/>
  <c r="D105" i="43"/>
  <c r="E103" i="43"/>
  <c r="E102" i="43"/>
  <c r="AC11" i="43"/>
  <c r="AF11" i="43"/>
  <c r="AF13" i="43" s="1"/>
  <c r="K105" i="43"/>
  <c r="K102" i="43"/>
  <c r="G22" i="43"/>
  <c r="M101" i="43"/>
  <c r="H22" i="43"/>
  <c r="C101" i="43"/>
  <c r="N101" i="43"/>
  <c r="I105" i="43"/>
  <c r="AE11" i="43"/>
  <c r="AE13" i="43" s="1"/>
  <c r="AB11" i="43"/>
  <c r="AH11" i="43"/>
  <c r="AH13" i="43" s="1"/>
  <c r="H101" i="43"/>
  <c r="J101" i="43"/>
  <c r="E22" i="43"/>
  <c r="C20" i="43"/>
  <c r="G9" i="1"/>
  <c r="G6" i="1"/>
  <c r="G16" i="1" s="1"/>
  <c r="B34" i="72"/>
  <c r="D17" i="53"/>
  <c r="B36" i="72" s="1"/>
  <c r="D10" i="52"/>
  <c r="H110" i="9"/>
  <c r="D18" i="53" s="1"/>
  <c r="B35" i="72" s="1"/>
  <c r="D125" i="9"/>
  <c r="D11" i="52" s="1"/>
  <c r="C36" i="11"/>
  <c r="C77" i="9"/>
  <c r="C74" i="9" s="1"/>
  <c r="C7" i="21"/>
  <c r="C58" i="21" s="1"/>
  <c r="D58" i="21" s="1"/>
  <c r="C24" i="12"/>
  <c r="J1" i="73"/>
  <c r="G19" i="43"/>
  <c r="O19" i="43" s="1"/>
  <c r="C19" i="43" s="1"/>
  <c r="C7" i="33"/>
  <c r="C58" i="33" s="1"/>
  <c r="D58" i="33" s="1"/>
  <c r="E58" i="33" s="1"/>
  <c r="F58" i="33" s="1"/>
  <c r="G58" i="33" s="1"/>
  <c r="H58" i="33" s="1"/>
  <c r="I58" i="33" s="1"/>
  <c r="J58" i="33" s="1"/>
  <c r="K58" i="33" s="1"/>
  <c r="L58" i="33" s="1"/>
  <c r="M58" i="33" s="1"/>
  <c r="N58" i="33" s="1"/>
  <c r="O58" i="33" s="1"/>
  <c r="AA17" i="33"/>
  <c r="AC25" i="33"/>
  <c r="U32" i="21"/>
  <c r="M7" i="1"/>
  <c r="O9" i="1"/>
  <c r="P9" i="1" s="1"/>
  <c r="P6" i="1"/>
  <c r="E28" i="6"/>
  <c r="G30" i="6"/>
  <c r="G31" i="6" s="1"/>
  <c r="U19" i="33"/>
  <c r="H16" i="1"/>
  <c r="W27" i="33"/>
  <c r="AZ495" i="3"/>
  <c r="AZ567" i="3"/>
  <c r="AZ575" i="3"/>
  <c r="L106" i="43"/>
  <c r="AA23" i="21"/>
  <c r="P12" i="1"/>
  <c r="H73" i="43"/>
  <c r="H75" i="43"/>
  <c r="AZ391" i="3"/>
  <c r="AZ537" i="3"/>
  <c r="AZ555" i="3"/>
  <c r="K5" i="4"/>
  <c r="B47" i="48" s="1"/>
  <c r="S44" i="33"/>
  <c r="AC11" i="36"/>
  <c r="U23" i="34"/>
  <c r="AB23" i="34"/>
  <c r="S12" i="34"/>
  <c r="AA12" i="34"/>
  <c r="AA40" i="40"/>
  <c r="S40" i="40"/>
  <c r="AC34" i="35"/>
  <c r="W34" i="35"/>
  <c r="U12" i="37"/>
  <c r="S41" i="33"/>
  <c r="J40" i="40"/>
  <c r="G570" i="3"/>
  <c r="BL550" i="3"/>
  <c r="AZ550" i="3" s="1"/>
  <c r="AZ444" i="3"/>
  <c r="AZ452" i="3"/>
  <c r="F9" i="33"/>
  <c r="F34" i="35"/>
  <c r="H25" i="37"/>
  <c r="F44" i="39"/>
  <c r="BA551" i="3"/>
  <c r="AZ551" i="3" s="1"/>
  <c r="AZ399" i="3"/>
  <c r="AZ400" i="3"/>
  <c r="AZ439" i="3"/>
  <c r="AZ451" i="3"/>
  <c r="AZ463" i="3"/>
  <c r="AZ468" i="3"/>
  <c r="O8" i="1"/>
  <c r="P8" i="1" s="1"/>
  <c r="AZ418" i="3"/>
  <c r="AZ431" i="3"/>
  <c r="AZ475" i="3"/>
  <c r="AZ403" i="3"/>
  <c r="AZ407" i="3"/>
  <c r="AZ416" i="3"/>
  <c r="AZ419" i="3"/>
  <c r="AZ427" i="3"/>
  <c r="AZ430" i="3"/>
  <c r="AZ446" i="3"/>
  <c r="AZ447" i="3"/>
  <c r="AZ455" i="3"/>
  <c r="AZ456" i="3"/>
  <c r="AZ466" i="3"/>
  <c r="AZ485" i="3"/>
  <c r="AZ220" i="3"/>
  <c r="BL472" i="3"/>
  <c r="AZ472" i="3" s="1"/>
  <c r="BL475" i="3"/>
  <c r="BL479" i="3"/>
  <c r="AZ479" i="3" s="1"/>
  <c r="BL483" i="3"/>
  <c r="AZ483" i="3" s="1"/>
  <c r="BA492" i="3"/>
  <c r="AZ492" i="3" s="1"/>
  <c r="G339" i="3"/>
  <c r="AZ395" i="3"/>
  <c r="AZ397" i="3"/>
  <c r="AZ219" i="3"/>
  <c r="AZ239" i="3"/>
  <c r="BA478" i="3"/>
  <c r="AZ478" i="3" s="1"/>
  <c r="BA482" i="3"/>
  <c r="AZ482" i="3" s="1"/>
  <c r="BA486" i="3"/>
  <c r="AZ486" i="3" s="1"/>
  <c r="AZ487" i="3"/>
  <c r="AZ489" i="3"/>
  <c r="AZ332" i="3"/>
  <c r="BA335" i="3"/>
  <c r="AZ335" i="3" s="1"/>
  <c r="AZ216" i="3"/>
  <c r="AZ230" i="3"/>
  <c r="AZ242" i="3"/>
  <c r="BL272" i="3"/>
  <c r="BA274" i="3"/>
  <c r="AZ274" i="3" s="1"/>
  <c r="BA275" i="3"/>
  <c r="AZ275" i="3" s="1"/>
  <c r="BL281" i="3"/>
  <c r="AZ281" i="3" s="1"/>
  <c r="BL284" i="3"/>
  <c r="BA290" i="3"/>
  <c r="AZ290" i="3" s="1"/>
  <c r="AZ292" i="3"/>
  <c r="BA298" i="3"/>
  <c r="AZ298" i="3" s="1"/>
  <c r="AZ300" i="3"/>
  <c r="AZ113" i="3"/>
  <c r="BL121" i="3"/>
  <c r="AZ121" i="3" s="1"/>
  <c r="BL123" i="3"/>
  <c r="AZ123" i="3" s="1"/>
  <c r="BA133" i="3"/>
  <c r="AZ133" i="3" s="1"/>
  <c r="AZ134" i="3"/>
  <c r="AZ137" i="3"/>
  <c r="AZ193" i="3"/>
  <c r="BA264" i="3"/>
  <c r="AZ264" i="3" s="1"/>
  <c r="AZ272" i="3"/>
  <c r="AZ289" i="3"/>
  <c r="BL130" i="3"/>
  <c r="AZ130" i="3" s="1"/>
  <c r="BA132" i="3"/>
  <c r="AZ132" i="3" s="1"/>
  <c r="BL263" i="3"/>
  <c r="AZ263" i="3" s="1"/>
  <c r="G267" i="3"/>
  <c r="AZ278" i="3"/>
  <c r="AZ126" i="3"/>
  <c r="AZ129" i="3"/>
  <c r="AZ161" i="3"/>
  <c r="AZ205" i="3"/>
  <c r="AZ18" i="3"/>
  <c r="AZ23" i="3"/>
  <c r="AZ27" i="3"/>
  <c r="AZ36" i="3"/>
  <c r="AZ44" i="3"/>
  <c r="AZ54" i="3"/>
  <c r="AZ56" i="3"/>
  <c r="G262" i="3"/>
  <c r="BL276" i="3"/>
  <c r="AZ276" i="3" s="1"/>
  <c r="BL280" i="3"/>
  <c r="AZ280" i="3" s="1"/>
  <c r="BA282" i="3"/>
  <c r="AZ282" i="3" s="1"/>
  <c r="AZ284" i="3"/>
  <c r="BA293" i="3"/>
  <c r="AZ293" i="3" s="1"/>
  <c r="AZ294" i="3"/>
  <c r="BA301" i="3"/>
  <c r="AZ301" i="3" s="1"/>
  <c r="AZ302" i="3"/>
  <c r="BL118" i="3"/>
  <c r="AZ118" i="3" s="1"/>
  <c r="BA120" i="3"/>
  <c r="AZ120" i="3" s="1"/>
  <c r="BL138" i="3"/>
  <c r="AZ138" i="3" s="1"/>
  <c r="BA140" i="3"/>
  <c r="AZ140" i="3" s="1"/>
  <c r="AZ40" i="3"/>
  <c r="AZ95" i="3"/>
  <c r="BA45" i="3"/>
  <c r="AZ45" i="3" s="1"/>
  <c r="G49" i="3"/>
  <c r="BL55" i="3"/>
  <c r="AZ55" i="3" s="1"/>
  <c r="BA61" i="3"/>
  <c r="AZ61" i="3" s="1"/>
  <c r="G65" i="3"/>
  <c r="G70" i="3"/>
  <c r="BA71" i="3"/>
  <c r="BL76" i="3"/>
  <c r="G77" i="3"/>
  <c r="BL78" i="3"/>
  <c r="BA81" i="3"/>
  <c r="AZ81" i="3" s="1"/>
  <c r="BA83" i="3"/>
  <c r="AZ83" i="3" s="1"/>
  <c r="BA85" i="3"/>
  <c r="AZ85" i="3" s="1"/>
  <c r="BL90" i="3"/>
  <c r="G91" i="3"/>
  <c r="BL96" i="3"/>
  <c r="G97" i="3"/>
  <c r="BA102" i="3"/>
  <c r="AZ102" i="3" s="1"/>
  <c r="AZ103" i="3"/>
  <c r="BA105" i="3"/>
  <c r="AZ105" i="3" s="1"/>
  <c r="AZ106" i="3"/>
  <c r="BA110" i="3"/>
  <c r="AZ110" i="3" s="1"/>
  <c r="BL42" i="3"/>
  <c r="AZ42" i="3" s="1"/>
  <c r="BA48" i="3"/>
  <c r="AZ48" i="3" s="1"/>
  <c r="G54" i="3"/>
  <c r="BL58" i="3"/>
  <c r="AZ58" i="3" s="1"/>
  <c r="BA64" i="3"/>
  <c r="AZ64" i="3" s="1"/>
  <c r="BA69" i="3"/>
  <c r="AZ69" i="3" s="1"/>
  <c r="BL75" i="3"/>
  <c r="AZ75" i="3" s="1"/>
  <c r="BA79" i="3"/>
  <c r="AZ79" i="3" s="1"/>
  <c r="BL89" i="3"/>
  <c r="AZ89" i="3" s="1"/>
  <c r="BL93" i="3"/>
  <c r="AZ93" i="3" s="1"/>
  <c r="G94" i="3"/>
  <c r="BL95" i="3"/>
  <c r="BA99" i="3"/>
  <c r="AZ99" i="3" s="1"/>
  <c r="BA100" i="3"/>
  <c r="AZ100" i="3" s="1"/>
  <c r="AZ104" i="3"/>
  <c r="BA107" i="3"/>
  <c r="AZ107" i="3" s="1"/>
  <c r="BA108" i="3"/>
  <c r="AZ108" i="3" s="1"/>
  <c r="BL112" i="3"/>
  <c r="AZ112" i="3" s="1"/>
  <c r="BL40" i="3"/>
  <c r="BL47" i="3"/>
  <c r="AZ47" i="3" s="1"/>
  <c r="BA53" i="3"/>
  <c r="AZ53" i="3" s="1"/>
  <c r="G57" i="3"/>
  <c r="BL63" i="3"/>
  <c r="AZ63" i="3" s="1"/>
  <c r="BL71" i="3"/>
  <c r="G72" i="3"/>
  <c r="BL73" i="3"/>
  <c r="AZ73" i="3" s="1"/>
  <c r="BA76" i="3"/>
  <c r="AZ78" i="3"/>
  <c r="G82" i="3"/>
  <c r="G84" i="3"/>
  <c r="G86" i="3"/>
  <c r="BL87" i="3"/>
  <c r="AZ87" i="3" s="1"/>
  <c r="BA90" i="3"/>
  <c r="AZ90" i="3" s="1"/>
  <c r="BA96" i="3"/>
  <c r="BL111" i="3"/>
  <c r="AZ111" i="3" s="1"/>
  <c r="X5" i="71"/>
  <c r="Y5" i="71"/>
  <c r="Z5" i="71" s="1"/>
  <c r="AA5" i="71"/>
  <c r="AB5" i="71"/>
  <c r="X26" i="71"/>
  <c r="X25" i="71"/>
  <c r="X23" i="71"/>
  <c r="AB26" i="71"/>
  <c r="AB25" i="71"/>
  <c r="AB29" i="71"/>
  <c r="AB23" i="71"/>
  <c r="AB34" i="71"/>
  <c r="F35" i="71"/>
  <c r="F36" i="71" s="1"/>
  <c r="F37" i="71" s="1"/>
  <c r="V37" i="71" s="1"/>
  <c r="Y21" i="71"/>
  <c r="Z21" i="71" s="1"/>
  <c r="AB18" i="71"/>
  <c r="Y10" i="71"/>
  <c r="Z10" i="71" s="1"/>
  <c r="Y14" i="71"/>
  <c r="Z14" i="71" s="1"/>
  <c r="Y8" i="71"/>
  <c r="Z8" i="71" s="1"/>
  <c r="Y7" i="71"/>
  <c r="Z7" i="71" s="1"/>
  <c r="M100" i="43"/>
  <c r="E100" i="43"/>
  <c r="D108" i="43"/>
  <c r="D109" i="43" s="1"/>
  <c r="C40" i="68"/>
  <c r="C21" i="68"/>
  <c r="AA22" i="71"/>
  <c r="AB22" i="71"/>
  <c r="AA25" i="71"/>
  <c r="AA23" i="71"/>
  <c r="D39" i="71"/>
  <c r="B68" i="71"/>
  <c r="B67" i="71" s="1"/>
  <c r="S69" i="71"/>
  <c r="D85" i="71"/>
  <c r="C84" i="71"/>
  <c r="AB12" i="43"/>
  <c r="AB10" i="43"/>
  <c r="Y23" i="71"/>
  <c r="Z23" i="71" s="1"/>
  <c r="Y22" i="71"/>
  <c r="Z22" i="71" s="1"/>
  <c r="X18" i="71"/>
  <c r="X21" i="71"/>
  <c r="AA19" i="71"/>
  <c r="AA20" i="71"/>
  <c r="AA21" i="71"/>
  <c r="AA8" i="71"/>
  <c r="E21" i="71"/>
  <c r="AA3" i="71"/>
  <c r="Y15" i="71"/>
  <c r="Z15" i="71" s="1"/>
  <c r="AB15" i="71"/>
  <c r="AB7" i="71"/>
  <c r="K100" i="43"/>
  <c r="AC21" i="21"/>
  <c r="U21" i="21"/>
  <c r="W21" i="34"/>
  <c r="U18" i="35"/>
  <c r="U25" i="40"/>
  <c r="C29" i="39"/>
  <c r="C23" i="71"/>
  <c r="D23" i="71" s="1"/>
  <c r="C41" i="71"/>
  <c r="C57" i="71"/>
  <c r="D72" i="71"/>
  <c r="X24" i="71"/>
  <c r="E28" i="71"/>
  <c r="E29" i="71" s="1"/>
  <c r="U29" i="71" s="1"/>
  <c r="Y25" i="71"/>
  <c r="Z25" i="71" s="1"/>
  <c r="Y24" i="71"/>
  <c r="Z24" i="71" s="1"/>
  <c r="AA26" i="71"/>
  <c r="AB28" i="71"/>
  <c r="AB32" i="71"/>
  <c r="AB30" i="71"/>
  <c r="X33" i="71"/>
  <c r="X35" i="71"/>
  <c r="X6" i="71"/>
  <c r="X36" i="71"/>
  <c r="S77" i="71"/>
  <c r="B76" i="71"/>
  <c r="B75" i="71" s="1"/>
  <c r="AC12" i="43"/>
  <c r="AC10" i="43"/>
  <c r="Y18" i="71"/>
  <c r="Z18" i="71" s="1"/>
  <c r="I100" i="43"/>
  <c r="D37" i="71"/>
  <c r="O63" i="71"/>
  <c r="C29" i="71"/>
  <c r="C49" i="71"/>
  <c r="C67" i="71"/>
  <c r="D67" i="71" s="1"/>
  <c r="C79" i="71"/>
  <c r="D79" i="71" s="1"/>
  <c r="D25" i="71"/>
  <c r="U25" i="71" s="1"/>
  <c r="E25" i="71"/>
  <c r="D31" i="71"/>
  <c r="X22" i="71"/>
  <c r="AA32" i="71"/>
  <c r="AA28" i="71"/>
  <c r="Y27" i="71"/>
  <c r="Z27" i="71" s="1"/>
  <c r="X28" i="71"/>
  <c r="AA29" i="71"/>
  <c r="F33" i="71"/>
  <c r="V33" i="71" s="1"/>
  <c r="Y35" i="71"/>
  <c r="Z35" i="71" s="1"/>
  <c r="Y34" i="71"/>
  <c r="Z34" i="71" s="1"/>
  <c r="Y6" i="71"/>
  <c r="Z6" i="71" s="1"/>
  <c r="Y36" i="71"/>
  <c r="Z36" i="71" s="1"/>
  <c r="E40" i="71"/>
  <c r="E41" i="71" s="1"/>
  <c r="U41" i="71" s="1"/>
  <c r="E60" i="71"/>
  <c r="E61" i="71" s="1"/>
  <c r="U61" i="71" s="1"/>
  <c r="U65" i="71"/>
  <c r="P65" i="71"/>
  <c r="D77" i="71"/>
  <c r="T77" i="71"/>
  <c r="AG10" i="43"/>
  <c r="AG12" i="43"/>
  <c r="AA15" i="71"/>
  <c r="X15" i="71"/>
  <c r="X7" i="71"/>
  <c r="X27" i="71"/>
  <c r="AB27" i="71"/>
  <c r="Y30" i="71"/>
  <c r="Z30" i="71" s="1"/>
  <c r="AB33" i="71"/>
  <c r="AB6" i="71"/>
  <c r="AD12" i="43"/>
  <c r="AD10" i="43"/>
  <c r="AB21" i="71"/>
  <c r="AB20" i="71"/>
  <c r="AA9" i="71"/>
  <c r="AA14" i="71"/>
  <c r="B21" i="71"/>
  <c r="X19" i="71"/>
  <c r="Y19" i="71"/>
  <c r="Z19" i="71" s="1"/>
  <c r="AB9" i="71"/>
  <c r="AB14" i="71"/>
  <c r="AB10" i="71"/>
  <c r="AB8" i="71"/>
  <c r="AA31" i="71"/>
  <c r="B35" i="71"/>
  <c r="B36" i="71" s="1"/>
  <c r="B37" i="71" s="1"/>
  <c r="S37" i="71" s="1"/>
  <c r="X34" i="71"/>
  <c r="C21" i="71"/>
  <c r="Y20" i="71"/>
  <c r="Z20" i="71" s="1"/>
  <c r="X12" i="71"/>
  <c r="X11" i="71"/>
  <c r="X8" i="71"/>
  <c r="X9" i="71"/>
  <c r="X10" i="71"/>
  <c r="X14" i="71"/>
  <c r="AA6" i="71"/>
  <c r="AA18" i="71"/>
  <c r="Y9" i="71"/>
  <c r="Z9" i="71" s="1"/>
  <c r="Y11" i="71"/>
  <c r="Z11" i="71" s="1"/>
  <c r="AA12" i="71"/>
  <c r="AA7" i="71"/>
  <c r="AA11" i="71"/>
  <c r="AB12" i="71"/>
  <c r="AA10" i="71"/>
  <c r="AB11" i="71"/>
  <c r="E67" i="39"/>
  <c r="AC21" i="39"/>
  <c r="AB23" i="39"/>
  <c r="AB15" i="39"/>
  <c r="AC15" i="39"/>
  <c r="S25" i="39"/>
  <c r="W39" i="39"/>
  <c r="W42" i="39"/>
  <c r="W14" i="39"/>
  <c r="S29" i="39"/>
  <c r="G17" i="43"/>
  <c r="C16" i="43" s="1"/>
  <c r="C5" i="43" s="1"/>
  <c r="E11" i="43"/>
  <c r="E9" i="43"/>
  <c r="E10" i="43"/>
  <c r="E8" i="43"/>
  <c r="C7" i="43" s="1"/>
  <c r="D23" i="67"/>
  <c r="G25" i="12"/>
  <c r="G41" i="11"/>
  <c r="G27" i="12"/>
  <c r="G41" i="68"/>
  <c r="K59" i="34"/>
  <c r="L59" i="34" s="1"/>
  <c r="M59" i="34" s="1"/>
  <c r="N59" i="34" s="1"/>
  <c r="O59" i="34" s="1"/>
  <c r="F7" i="34"/>
  <c r="J46" i="36"/>
  <c r="K46" i="36" s="1"/>
  <c r="L46" i="36" s="1"/>
  <c r="M46" i="36" s="1"/>
  <c r="N46" i="36" s="1"/>
  <c r="O46" i="36" s="1"/>
  <c r="H7" i="36"/>
  <c r="E52" i="37"/>
  <c r="F52" i="37" s="1"/>
  <c r="G52" i="37" s="1"/>
  <c r="H52" i="37" s="1"/>
  <c r="I52" i="37" s="1"/>
  <c r="J52" i="37" s="1"/>
  <c r="K52" i="37" s="1"/>
  <c r="L52" i="37" s="1"/>
  <c r="M52" i="37" s="1"/>
  <c r="N52" i="37" s="1"/>
  <c r="O52" i="37" s="1"/>
  <c r="J7" i="36"/>
  <c r="F7" i="36"/>
  <c r="E48" i="35"/>
  <c r="D63" i="40"/>
  <c r="C65" i="40"/>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C6" i="67"/>
  <c r="B10" i="70"/>
  <c r="Q71" i="15"/>
  <c r="J53" i="15"/>
  <c r="L56" i="15" s="1"/>
  <c r="J57" i="15"/>
  <c r="J55" i="15" s="1"/>
  <c r="J58" i="15" s="1"/>
  <c r="Q50" i="15" s="1"/>
  <c r="I54" i="15"/>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D5" i="73"/>
  <c r="C17" i="67"/>
  <c r="C16" i="67"/>
  <c r="D7" i="73"/>
  <c r="C14" i="15"/>
  <c r="D3" i="73"/>
  <c r="D6" i="73"/>
  <c r="C14" i="67"/>
  <c r="D4" i="73"/>
  <c r="C16" i="15"/>
  <c r="C17" i="15"/>
  <c r="F30" i="69" l="1"/>
  <c r="D68" i="9"/>
  <c r="F30" i="11"/>
  <c r="C48" i="11" s="1"/>
  <c r="F48" i="9"/>
  <c r="O52" i="9" s="1"/>
  <c r="F32" i="15"/>
  <c r="F60" i="15" s="1"/>
  <c r="F30" i="68"/>
  <c r="M18" i="15"/>
  <c r="F54" i="9"/>
  <c r="F31" i="12"/>
  <c r="C31" i="12" s="1"/>
  <c r="M18" i="67"/>
  <c r="F53" i="9"/>
  <c r="F28" i="15"/>
  <c r="C28" i="15" s="1"/>
  <c r="F28" i="67"/>
  <c r="C28" i="67" s="1"/>
  <c r="F52" i="9"/>
  <c r="C48" i="69"/>
  <c r="AD13" i="43"/>
  <c r="L105" i="43"/>
  <c r="I103" i="43"/>
  <c r="I107" i="43"/>
  <c r="F107" i="43"/>
  <c r="AG13" i="43"/>
  <c r="F102" i="43"/>
  <c r="F105" i="43"/>
  <c r="F27" i="68"/>
  <c r="C29" i="68" s="1"/>
  <c r="D27" i="68" s="1"/>
  <c r="D22" i="43"/>
  <c r="B118" i="43"/>
  <c r="C118" i="43" s="1"/>
  <c r="I104" i="43"/>
  <c r="E57" i="40"/>
  <c r="K103" i="43"/>
  <c r="K104" i="43"/>
  <c r="K106" i="43"/>
  <c r="I109" i="43"/>
  <c r="I102" i="43"/>
  <c r="E58" i="40"/>
  <c r="G105" i="43"/>
  <c r="G109" i="43"/>
  <c r="G103" i="43"/>
  <c r="D117" i="43"/>
  <c r="E117" i="43" s="1"/>
  <c r="F117" i="43" s="1"/>
  <c r="G117" i="43" s="1"/>
  <c r="H117" i="43" s="1"/>
  <c r="G118" i="43"/>
  <c r="H118" i="43" s="1"/>
  <c r="F28" i="12"/>
  <c r="C29" i="12" s="1"/>
  <c r="D28" i="12" s="1"/>
  <c r="G102" i="43"/>
  <c r="D116" i="43"/>
  <c r="E116" i="43" s="1"/>
  <c r="F116" i="43" s="1"/>
  <c r="G116" i="43" s="1"/>
  <c r="H116" i="43" s="1"/>
  <c r="D115" i="43"/>
  <c r="E115" i="43" s="1"/>
  <c r="F115" i="43" s="1"/>
  <c r="G115" i="43" s="1"/>
  <c r="H115" i="43" s="1"/>
  <c r="D106" i="43"/>
  <c r="D107" i="43"/>
  <c r="E106" i="43"/>
  <c r="E109" i="43"/>
  <c r="E107" i="43"/>
  <c r="F27" i="6"/>
  <c r="F31" i="6" s="1"/>
  <c r="E51" i="40"/>
  <c r="E56" i="39"/>
  <c r="F27" i="69"/>
  <c r="F45" i="69" s="1"/>
  <c r="B117" i="43"/>
  <c r="C117" i="43" s="1"/>
  <c r="E60" i="40"/>
  <c r="E64" i="39"/>
  <c r="B115" i="43"/>
  <c r="C115" i="43" s="1"/>
  <c r="I117" i="43"/>
  <c r="J117" i="43" s="1"/>
  <c r="K117" i="43" s="1"/>
  <c r="L117" i="43" s="1"/>
  <c r="M117" i="43" s="1"/>
  <c r="D118" i="43"/>
  <c r="E118" i="43" s="1"/>
  <c r="F118" i="43" s="1"/>
  <c r="E16" i="6"/>
  <c r="L109" i="43"/>
  <c r="L102" i="43"/>
  <c r="L107" i="43"/>
  <c r="AB13" i="43"/>
  <c r="L103" i="43"/>
  <c r="G107" i="43"/>
  <c r="G106" i="43"/>
  <c r="I116" i="43"/>
  <c r="J116" i="43" s="1"/>
  <c r="K116" i="43" s="1"/>
  <c r="L116" i="43" s="1"/>
  <c r="M116" i="43" s="1"/>
  <c r="I115" i="43"/>
  <c r="J115" i="43" s="1"/>
  <c r="K115" i="43" s="1"/>
  <c r="L115" i="43" s="1"/>
  <c r="M115" i="43" s="1"/>
  <c r="B116" i="43"/>
  <c r="C116" i="43" s="1"/>
  <c r="D104" i="43"/>
  <c r="E60" i="39"/>
  <c r="E56" i="40"/>
  <c r="F104" i="43"/>
  <c r="F106" i="43"/>
  <c r="F103" i="43"/>
  <c r="H103" i="43"/>
  <c r="H106" i="43"/>
  <c r="H102" i="43"/>
  <c r="H104" i="43"/>
  <c r="H109" i="43"/>
  <c r="H107" i="43"/>
  <c r="H105" i="43"/>
  <c r="C103" i="43"/>
  <c r="C109" i="43"/>
  <c r="C106" i="43"/>
  <c r="C107" i="43"/>
  <c r="C104" i="43"/>
  <c r="C105" i="43"/>
  <c r="C102" i="43"/>
  <c r="AC13" i="43"/>
  <c r="M109" i="43"/>
  <c r="M102" i="43"/>
  <c r="M103" i="43"/>
  <c r="M104" i="43"/>
  <c r="M105" i="43"/>
  <c r="M106" i="43"/>
  <c r="M107" i="43"/>
  <c r="J104" i="43"/>
  <c r="J107" i="43"/>
  <c r="J105" i="43"/>
  <c r="J102" i="43"/>
  <c r="J106" i="43"/>
  <c r="J103" i="43"/>
  <c r="J109" i="43"/>
  <c r="N104" i="43"/>
  <c r="N105" i="43"/>
  <c r="N109" i="43"/>
  <c r="N102" i="43"/>
  <c r="N106" i="43"/>
  <c r="N103" i="43"/>
  <c r="N107" i="43"/>
  <c r="F10" i="39"/>
  <c r="S10" i="39" s="1"/>
  <c r="F10" i="40"/>
  <c r="AA10" i="40" s="1"/>
  <c r="H10" i="40"/>
  <c r="AB10" i="40" s="1"/>
  <c r="H10" i="39"/>
  <c r="U10" i="39" s="1"/>
  <c r="J10" i="40"/>
  <c r="W10" i="40" s="1"/>
  <c r="K1" i="73"/>
  <c r="C15" i="15"/>
  <c r="C18" i="15"/>
  <c r="S9" i="33"/>
  <c r="AA9" i="33"/>
  <c r="BA5" i="3"/>
  <c r="E27" i="6" s="1"/>
  <c r="K21" i="6" s="1"/>
  <c r="M21" i="6" s="1"/>
  <c r="I21" i="6" s="1"/>
  <c r="S21" i="6" s="1"/>
  <c r="V25" i="71"/>
  <c r="E24" i="71"/>
  <c r="E23" i="71" s="1"/>
  <c r="D84" i="71"/>
  <c r="C83" i="71"/>
  <c r="D83" i="71" s="1"/>
  <c r="AA44" i="39"/>
  <c r="S44" i="39"/>
  <c r="O7" i="1"/>
  <c r="J10" i="39"/>
  <c r="AC10" i="39" s="1"/>
  <c r="J7" i="37"/>
  <c r="W7" i="37" s="1"/>
  <c r="H7" i="34"/>
  <c r="AB7" i="34" s="1"/>
  <c r="T49" i="34" s="1"/>
  <c r="G49" i="34" s="1"/>
  <c r="B20" i="71"/>
  <c r="B19" i="71" s="1"/>
  <c r="B18" i="71" s="1"/>
  <c r="B17" i="71" s="1"/>
  <c r="S21" i="71"/>
  <c r="T29" i="71"/>
  <c r="D29" i="71"/>
  <c r="E20" i="71"/>
  <c r="E19" i="71" s="1"/>
  <c r="E18" i="71" s="1"/>
  <c r="E17" i="71" s="1"/>
  <c r="V21" i="71"/>
  <c r="AZ76" i="3"/>
  <c r="BL5" i="3"/>
  <c r="E262" i="3"/>
  <c r="U25" i="37"/>
  <c r="AB25" i="37"/>
  <c r="C20" i="71"/>
  <c r="T21" i="71"/>
  <c r="D21" i="71"/>
  <c r="U21" i="71" s="1"/>
  <c r="T57" i="71"/>
  <c r="D57" i="71"/>
  <c r="E72" i="3"/>
  <c r="G5" i="3"/>
  <c r="B3" i="3" s="1"/>
  <c r="E65" i="3" s="1"/>
  <c r="E267" i="3"/>
  <c r="W40" i="40"/>
  <c r="AC40" i="40"/>
  <c r="T49" i="71"/>
  <c r="D49" i="71"/>
  <c r="T41" i="71"/>
  <c r="D41" i="71"/>
  <c r="J7" i="34"/>
  <c r="W7" i="34" s="1"/>
  <c r="AZ96" i="3"/>
  <c r="E94" i="3"/>
  <c r="AZ71" i="3"/>
  <c r="AZ5" i="3" s="1"/>
  <c r="S34" i="35"/>
  <c r="AA34" i="35"/>
  <c r="E30" i="6"/>
  <c r="K14" i="1"/>
  <c r="C47" i="11"/>
  <c r="D45" i="11" s="1"/>
  <c r="C29" i="11"/>
  <c r="D27" i="11"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H7" i="33"/>
  <c r="J7" i="33"/>
  <c r="D65" i="40"/>
  <c r="E63" i="40"/>
  <c r="F48" i="35"/>
  <c r="S7" i="36"/>
  <c r="AA7" i="36"/>
  <c r="R36" i="36" s="1"/>
  <c r="AB7" i="36"/>
  <c r="T36" i="36" s="1"/>
  <c r="G36" i="36" s="1"/>
  <c r="U7" i="36"/>
  <c r="AA7" i="34"/>
  <c r="R49" i="34" s="1"/>
  <c r="S7" i="34"/>
  <c r="AC10" i="40"/>
  <c r="F7" i="33"/>
  <c r="E58" i="21"/>
  <c r="AC7" i="36"/>
  <c r="V36" i="36" s="1"/>
  <c r="I36" i="36" s="1"/>
  <c r="W7" i="36"/>
  <c r="F7" i="37"/>
  <c r="AC7" i="34"/>
  <c r="V49" i="34" s="1"/>
  <c r="I49" i="34" s="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G1" i="73"/>
  <c r="AC7" i="37" l="1"/>
  <c r="V42" i="37" s="1"/>
  <c r="I42" i="37" s="1"/>
  <c r="I46" i="37" s="1"/>
  <c r="J46" i="37" s="1"/>
  <c r="C30" i="11"/>
  <c r="F48" i="69"/>
  <c r="C30" i="69"/>
  <c r="F48" i="68"/>
  <c r="C30" i="68"/>
  <c r="C48" i="68"/>
  <c r="C47" i="69"/>
  <c r="D45" i="69" s="1"/>
  <c r="AA10" i="39"/>
  <c r="F45" i="68"/>
  <c r="U10" i="40"/>
  <c r="C47" i="68"/>
  <c r="D45" i="68" s="1"/>
  <c r="K24" i="6"/>
  <c r="M24" i="6" s="1"/>
  <c r="I24" i="6" s="1"/>
  <c r="S24" i="6" s="1"/>
  <c r="K23" i="6"/>
  <c r="M23" i="6" s="1"/>
  <c r="I23" i="6" s="1"/>
  <c r="S23" i="6" s="1"/>
  <c r="D113" i="43"/>
  <c r="E57" i="3"/>
  <c r="E77" i="3"/>
  <c r="E91" i="3"/>
  <c r="E54" i="3"/>
  <c r="E49" i="3"/>
  <c r="AB10" i="39"/>
  <c r="E65" i="39"/>
  <c r="K26" i="6"/>
  <c r="M26" i="6" s="1"/>
  <c r="I26" i="6" s="1"/>
  <c r="S26" i="6" s="1"/>
  <c r="S10" i="40"/>
  <c r="K22" i="6"/>
  <c r="M22" i="6" s="1"/>
  <c r="I22" i="6" s="1"/>
  <c r="S22" i="6" s="1"/>
  <c r="C29" i="69"/>
  <c r="D27" i="69" s="1"/>
  <c r="K19" i="6"/>
  <c r="K20" i="6"/>
  <c r="M20" i="6" s="1"/>
  <c r="I20" i="6" s="1"/>
  <c r="S20" i="6" s="1"/>
  <c r="K25" i="6"/>
  <c r="M25" i="6" s="1"/>
  <c r="I25" i="6" s="1"/>
  <c r="S25" i="6" s="1"/>
  <c r="S6" i="43"/>
  <c r="T6" i="43" s="1"/>
  <c r="V6" i="43" s="1"/>
  <c r="S3" i="43"/>
  <c r="T3" i="43" s="1"/>
  <c r="V3" i="43" s="1"/>
  <c r="S5" i="43"/>
  <c r="T5" i="43" s="1"/>
  <c r="V5" i="43" s="1"/>
  <c r="S7" i="43"/>
  <c r="T7" i="43" s="1"/>
  <c r="V7" i="43" s="1"/>
  <c r="S4" i="43"/>
  <c r="T4" i="43" s="1"/>
  <c r="V4" i="43" s="1"/>
  <c r="C23" i="43"/>
  <c r="C21" i="43" s="1"/>
  <c r="C29" i="43" s="1"/>
  <c r="C30" i="43" s="1"/>
  <c r="E30" i="43" s="1"/>
  <c r="S2" i="43"/>
  <c r="T2" i="43" s="1"/>
  <c r="V2" i="43" s="1"/>
  <c r="C19" i="15"/>
  <c r="C20" i="15" s="1"/>
  <c r="C26" i="15" s="1"/>
  <c r="B40" i="1"/>
  <c r="F22" i="11" s="1"/>
  <c r="U7" i="34"/>
  <c r="AY6" i="3"/>
  <c r="E3" i="6"/>
  <c r="W10" i="39"/>
  <c r="K27" i="6"/>
  <c r="E570" i="3"/>
  <c r="E97" i="3"/>
  <c r="E84" i="3"/>
  <c r="E70" i="3"/>
  <c r="D20" i="71"/>
  <c r="C19" i="71"/>
  <c r="E339" i="3"/>
  <c r="E86" i="3"/>
  <c r="U7" i="37"/>
  <c r="M14" i="1"/>
  <c r="K16" i="1"/>
  <c r="C34" i="69"/>
  <c r="E16" i="71"/>
  <c r="E15" i="71" s="1"/>
  <c r="E14" i="71" s="1"/>
  <c r="E13" i="71" s="1"/>
  <c r="V17" i="71"/>
  <c r="B16" i="71"/>
  <c r="B15" i="71" s="1"/>
  <c r="B14" i="71" s="1"/>
  <c r="B13" i="71" s="1"/>
  <c r="S17" i="71"/>
  <c r="E31" i="6"/>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106"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25" i="3"/>
  <c r="E392" i="3"/>
  <c r="AQ6" i="3"/>
  <c r="E52" i="3"/>
  <c r="E36" i="3"/>
  <c r="E112" i="3"/>
  <c r="E123" i="3"/>
  <c r="E147" i="3"/>
  <c r="E289" i="3"/>
  <c r="E340" i="3"/>
  <c r="E364" i="3"/>
  <c r="E50" i="3"/>
  <c r="E20" i="3"/>
  <c r="E62" i="3"/>
  <c r="E176" i="3"/>
  <c r="E218" i="3"/>
  <c r="E265" i="3"/>
  <c r="E365" i="3"/>
  <c r="E524" i="3"/>
  <c r="E101" i="3"/>
  <c r="E69" i="3"/>
  <c r="E114" i="3"/>
  <c r="E278" i="3"/>
  <c r="E415" i="3"/>
  <c r="E563" i="3"/>
  <c r="E395" i="3"/>
  <c r="E172" i="3"/>
  <c r="E260" i="3"/>
  <c r="E445" i="3"/>
  <c r="E550" i="3"/>
  <c r="E535" i="3"/>
  <c r="E261" i="3"/>
  <c r="E528" i="3"/>
  <c r="E183" i="3"/>
  <c r="E361" i="3"/>
  <c r="E503" i="3"/>
  <c r="E329" i="3"/>
  <c r="O6" i="3"/>
  <c r="E579" i="3"/>
  <c r="E510" i="3"/>
  <c r="E359" i="3"/>
  <c r="E247" i="3"/>
  <c r="E205" i="3"/>
  <c r="E314" i="3"/>
  <c r="E514" i="3"/>
  <c r="E518" i="3"/>
  <c r="E16" i="3"/>
  <c r="M6" i="3"/>
  <c r="E578" i="3"/>
  <c r="E434" i="3"/>
  <c r="E387" i="3"/>
  <c r="E382" i="3"/>
  <c r="E296" i="3"/>
  <c r="E215" i="3"/>
  <c r="E245" i="3"/>
  <c r="E136" i="3"/>
  <c r="E134" i="3"/>
  <c r="E188" i="3"/>
  <c r="E269" i="3"/>
  <c r="E180" i="3"/>
  <c r="E140" i="3"/>
  <c r="E277" i="3"/>
  <c r="E197" i="3"/>
  <c r="E199" i="3"/>
  <c r="E133" i="3"/>
  <c r="E327" i="3"/>
  <c r="E393" i="3"/>
  <c r="AD6" i="3"/>
  <c r="Z6" i="3"/>
  <c r="E564" i="3"/>
  <c r="E552" i="3"/>
  <c r="AO6" i="3"/>
  <c r="E427" i="3"/>
  <c r="E464" i="3"/>
  <c r="E485" i="3"/>
  <c r="E507" i="3"/>
  <c r="E398" i="3"/>
  <c r="E400" i="3"/>
  <c r="E440" i="3"/>
  <c r="E459" i="3"/>
  <c r="E345" i="3"/>
  <c r="E376" i="3"/>
  <c r="E566" i="3"/>
  <c r="E557" i="3"/>
  <c r="J6" i="3"/>
  <c r="E582" i="3"/>
  <c r="E531" i="3"/>
  <c r="E419" i="3"/>
  <c r="E460" i="3"/>
  <c r="E489" i="3"/>
  <c r="E401" i="3"/>
  <c r="E436" i="3"/>
  <c r="E28" i="3"/>
  <c r="E40" i="3"/>
  <c r="E90" i="3"/>
  <c r="E108" i="3"/>
  <c r="E131" i="3"/>
  <c r="E182" i="3"/>
  <c r="E119" i="3"/>
  <c r="E155" i="3"/>
  <c r="E211" i="3"/>
  <c r="E242" i="3"/>
  <c r="E297" i="3"/>
  <c r="E273" i="3"/>
  <c r="E276" i="3"/>
  <c r="E348" i="3"/>
  <c r="E377" i="3"/>
  <c r="E333" i="3"/>
  <c r="E375" i="3"/>
  <c r="E572" i="3"/>
  <c r="L6" i="3"/>
  <c r="E58" i="3"/>
  <c r="E109" i="3"/>
  <c r="E43" i="3"/>
  <c r="E540" i="3"/>
  <c r="E484" i="3"/>
  <c r="E412" i="3"/>
  <c r="E47" i="3"/>
  <c r="E46" i="3"/>
  <c r="E129" i="3"/>
  <c r="E195" i="3"/>
  <c r="E200" i="3"/>
  <c r="E275" i="3"/>
  <c r="E266" i="3"/>
  <c r="E371" i="3"/>
  <c r="E342" i="3"/>
  <c r="E584" i="3"/>
  <c r="E34" i="3"/>
  <c r="E87" i="3"/>
  <c r="E184" i="3"/>
  <c r="E251" i="3"/>
  <c r="E341" i="3"/>
  <c r="E68" i="3"/>
  <c r="E80" i="3"/>
  <c r="E154" i="3"/>
  <c r="E264" i="3"/>
  <c r="E308" i="3"/>
  <c r="E373" i="3"/>
  <c r="E21" i="3"/>
  <c r="E232" i="3"/>
  <c r="E175" i="3"/>
  <c r="E530" i="3"/>
  <c r="E343" i="3"/>
  <c r="E305" i="3"/>
  <c r="E508" i="3"/>
  <c r="E53" i="3"/>
  <c r="E319" i="3"/>
  <c r="E501" i="3"/>
  <c r="E153" i="3"/>
  <c r="E426" i="3"/>
  <c r="E328" i="3"/>
  <c r="E388" i="3"/>
  <c r="E516" i="3"/>
  <c r="E567" i="3"/>
  <c r="E410" i="3"/>
  <c r="E396" i="3"/>
  <c r="E227" i="3"/>
  <c r="E143" i="3"/>
  <c r="E151" i="3"/>
  <c r="E397" i="3"/>
  <c r="E358" i="3"/>
  <c r="E495" i="3"/>
  <c r="I6" i="3"/>
  <c r="E551" i="3"/>
  <c r="E586" i="3"/>
  <c r="E549" i="3"/>
  <c r="E407" i="3"/>
  <c r="E350" i="3"/>
  <c r="E368" i="3"/>
  <c r="E294" i="3"/>
  <c r="E301" i="3"/>
  <c r="E196" i="3"/>
  <c r="E130" i="3"/>
  <c r="E99" i="3"/>
  <c r="E148" i="3"/>
  <c r="E221" i="3"/>
  <c r="E157" i="3"/>
  <c r="E149" i="3"/>
  <c r="E45" i="3"/>
  <c r="E238" i="3"/>
  <c r="E167" i="3"/>
  <c r="E193" i="3"/>
  <c r="E105" i="3"/>
  <c r="E369" i="3"/>
  <c r="E575" i="3"/>
  <c r="E585" i="3"/>
  <c r="E534" i="3"/>
  <c r="R6" i="3"/>
  <c r="E515" i="3"/>
  <c r="E405" i="3"/>
  <c r="E442" i="3"/>
  <c r="E478" i="3"/>
  <c r="E469" i="3"/>
  <c r="E541" i="3"/>
  <c r="E414" i="3"/>
  <c r="E408" i="3"/>
  <c r="E449" i="3"/>
  <c r="E477" i="3"/>
  <c r="E360" i="3"/>
  <c r="I3" i="6"/>
  <c r="E505" i="3"/>
  <c r="E497" i="3"/>
  <c r="E554" i="3"/>
  <c r="AS6" i="3"/>
  <c r="E494" i="3"/>
  <c r="E435" i="3"/>
  <c r="E476" i="3"/>
  <c r="E470" i="3"/>
  <c r="E417" i="3"/>
  <c r="E447" i="3"/>
  <c r="E26" i="3"/>
  <c r="E56" i="3"/>
  <c r="E27" i="3"/>
  <c r="E41" i="3"/>
  <c r="E95" i="3"/>
  <c r="E162" i="3"/>
  <c r="E198" i="3"/>
  <c r="E132" i="3"/>
  <c r="E186" i="3"/>
  <c r="E225" i="3"/>
  <c r="E258" i="3"/>
  <c r="E210" i="3"/>
  <c r="E243" i="3"/>
  <c r="E292" i="3"/>
  <c r="E331" i="3"/>
  <c r="E391" i="3"/>
  <c r="E349" i="3"/>
  <c r="E384" i="3"/>
  <c r="AL6" i="3"/>
  <c r="E544" i="3"/>
  <c r="E44" i="3"/>
  <c r="E59" i="3"/>
  <c r="E441" i="3"/>
  <c r="E482" i="3"/>
  <c r="E446" i="3"/>
  <c r="E64" i="3"/>
  <c r="E78" i="3"/>
  <c r="E138" i="3"/>
  <c r="E142" i="3"/>
  <c r="E220" i="3"/>
  <c r="E209" i="3"/>
  <c r="E300" i="3"/>
  <c r="E383" i="3"/>
  <c r="E354" i="3"/>
  <c r="E23" i="3"/>
  <c r="E48" i="3"/>
  <c r="E144" i="3"/>
  <c r="E284" i="3"/>
  <c r="E381" i="3"/>
  <c r="E102" i="3"/>
  <c r="E19" i="3"/>
  <c r="E118" i="3"/>
  <c r="E287" i="3"/>
  <c r="E323" i="3"/>
  <c r="E513" i="3"/>
  <c r="E83" i="3"/>
  <c r="E237" i="3"/>
  <c r="E304" i="3"/>
  <c r="E565" i="3"/>
  <c r="E213" i="3"/>
  <c r="E17" i="3"/>
  <c r="E302" i="3"/>
  <c r="E509" i="3"/>
  <c r="E545" i="3"/>
  <c r="E574" i="3"/>
  <c r="E431" i="3"/>
  <c r="E352" i="3"/>
  <c r="E285" i="3"/>
  <c r="E201" i="3"/>
  <c r="E128" i="3"/>
  <c r="E311" i="3"/>
  <c r="E385" i="3"/>
  <c r="E511" i="3"/>
  <c r="AI6" i="3"/>
  <c r="AK6" i="3"/>
  <c r="AB6" i="3"/>
  <c r="E423" i="3"/>
  <c r="E306" i="3"/>
  <c r="E335" i="3"/>
  <c r="E263" i="3"/>
  <c r="E189" i="3"/>
  <c r="E191" i="3"/>
  <c r="E236" i="3"/>
  <c r="E181" i="3"/>
  <c r="E89" i="3"/>
  <c r="E120" i="3"/>
  <c r="E223" i="3"/>
  <c r="E253" i="3"/>
  <c r="E177" i="3"/>
  <c r="E173" i="3"/>
  <c r="E312" i="3"/>
  <c r="E576" i="3"/>
  <c r="E493" i="3"/>
  <c r="E542" i="3"/>
  <c r="AG6" i="3"/>
  <c r="E543" i="3"/>
  <c r="E421" i="3"/>
  <c r="E448" i="3"/>
  <c r="E486" i="3"/>
  <c r="E487" i="3"/>
  <c r="P6" i="3"/>
  <c r="E422" i="3"/>
  <c r="E416" i="3"/>
  <c r="E443" i="3"/>
  <c r="E490" i="3"/>
  <c r="E374" i="3"/>
  <c r="E558" i="3"/>
  <c r="AH6" i="3"/>
  <c r="E500" i="3"/>
  <c r="E581" i="3"/>
  <c r="E498" i="3"/>
  <c r="E413" i="3"/>
  <c r="E444" i="3"/>
  <c r="E483" i="3"/>
  <c r="E520" i="3"/>
  <c r="E404" i="3"/>
  <c r="E463" i="3"/>
  <c r="E39" i="3"/>
  <c r="E88" i="3"/>
  <c r="E25" i="3"/>
  <c r="E121" i="3"/>
  <c r="E178" i="3"/>
  <c r="E187" i="3"/>
  <c r="E166" i="3"/>
  <c r="E202" i="3"/>
  <c r="E240" i="3"/>
  <c r="E295" i="3"/>
  <c r="E226" i="3"/>
  <c r="E259" i="3"/>
  <c r="E316" i="3"/>
  <c r="E346" i="3"/>
  <c r="E378" i="3"/>
  <c r="E334" i="3"/>
  <c r="E372" i="3"/>
  <c r="E504" i="3"/>
  <c r="E30" i="3"/>
  <c r="E60" i="3"/>
  <c r="E110" i="3"/>
  <c r="E480" i="3"/>
  <c r="E428" i="3"/>
  <c r="E521" i="3"/>
  <c r="E467" i="3"/>
  <c r="E96" i="3"/>
  <c r="E160" i="3"/>
  <c r="E174" i="3"/>
  <c r="E248" i="3"/>
  <c r="E249" i="3"/>
  <c r="E324" i="3"/>
  <c r="E386" i="3"/>
  <c r="E492" i="3"/>
  <c r="E35" i="3"/>
  <c r="E24" i="3"/>
  <c r="E33" i="3"/>
  <c r="E206" i="3"/>
  <c r="E250" i="3"/>
  <c r="E355" i="3"/>
  <c r="AF6" i="3"/>
  <c r="E51" i="3"/>
  <c r="E81" i="3"/>
  <c r="E158" i="3"/>
  <c r="E222" i="3"/>
  <c r="E309" i="3"/>
  <c r="E22" i="3"/>
  <c r="E239" i="3"/>
  <c r="E539" i="3"/>
  <c r="E555" i="3"/>
  <c r="E569" i="3"/>
  <c r="E461" i="3"/>
  <c r="E337" i="3"/>
  <c r="E229" i="3"/>
  <c r="E165" i="3"/>
  <c r="E353" i="3"/>
  <c r="E568" i="3"/>
  <c r="E559" i="3"/>
  <c r="AN6" i="3"/>
  <c r="E536" i="3"/>
  <c r="V6" i="3"/>
  <c r="E402" i="3"/>
  <c r="E453" i="3"/>
  <c r="E320" i="3"/>
  <c r="E303" i="3"/>
  <c r="E244" i="3"/>
  <c r="E230" i="3"/>
  <c r="E228" i="3"/>
  <c r="E224" i="3"/>
  <c r="E379" i="3"/>
  <c r="T6" i="3"/>
  <c r="E466" i="3"/>
  <c r="E432" i="3"/>
  <c r="E556" i="3"/>
  <c r="E517" i="3"/>
  <c r="E546" i="3"/>
  <c r="E104" i="3"/>
  <c r="E152" i="3"/>
  <c r="E272" i="3"/>
  <c r="E332" i="3"/>
  <c r="E389" i="3"/>
  <c r="E29" i="3"/>
  <c r="E18" i="3"/>
  <c r="E163" i="3"/>
  <c r="E310" i="3"/>
  <c r="Y6" i="3"/>
  <c r="E283" i="3"/>
  <c r="E159" i="3"/>
  <c r="E122" i="3"/>
  <c r="E116" i="3"/>
  <c r="E525" i="3"/>
  <c r="E502" i="3"/>
  <c r="E548" i="3"/>
  <c r="E451" i="3"/>
  <c r="AP6" i="3"/>
  <c r="E403" i="3"/>
  <c r="E420" i="3"/>
  <c r="E37" i="3"/>
  <c r="E126" i="3"/>
  <c r="E281" i="3"/>
  <c r="E363" i="3"/>
  <c r="AM6" i="3"/>
  <c r="E488" i="3"/>
  <c r="E98" i="3"/>
  <c r="E522" i="3"/>
  <c r="E127" i="3"/>
  <c r="E63" i="3"/>
  <c r="E326" i="3"/>
  <c r="E156" i="3"/>
  <c r="E85" i="3"/>
  <c r="E141" i="3"/>
  <c r="E499" i="3"/>
  <c r="E411" i="3"/>
  <c r="E512" i="3"/>
  <c r="E255" i="3"/>
  <c r="E547" i="3"/>
  <c r="E452" i="3"/>
  <c r="E479" i="3"/>
  <c r="E92" i="3"/>
  <c r="E139" i="3"/>
  <c r="E241" i="3"/>
  <c r="E317" i="3"/>
  <c r="E42" i="3"/>
  <c r="E462" i="3"/>
  <c r="E103" i="3"/>
  <c r="E235" i="3"/>
  <c r="E66" i="3"/>
  <c r="E233" i="3"/>
  <c r="E113" i="3"/>
  <c r="E254" i="3"/>
  <c r="E212" i="3"/>
  <c r="E286" i="3"/>
  <c r="U6" i="3"/>
  <c r="E456" i="3"/>
  <c r="E430" i="3"/>
  <c r="E367" i="3"/>
  <c r="E13" i="3"/>
  <c r="E491" i="3"/>
  <c r="E71" i="3"/>
  <c r="E115" i="3"/>
  <c r="E192" i="3"/>
  <c r="E291" i="3"/>
  <c r="E356" i="3"/>
  <c r="E76" i="3"/>
  <c r="E425" i="3"/>
  <c r="E190" i="3"/>
  <c r="E307" i="3"/>
  <c r="E67" i="3"/>
  <c r="E370" i="3"/>
  <c r="E179" i="3"/>
  <c r="E82" i="3"/>
  <c r="P7" i="1"/>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8" i="35"/>
  <c r="U7" i="33"/>
  <c r="AB7" i="33"/>
  <c r="T48" i="33" s="1"/>
  <c r="G48" i="33" s="1"/>
  <c r="C19" i="67"/>
  <c r="C20" i="67" s="1"/>
  <c r="C26" i="67" s="1"/>
  <c r="J26" i="67"/>
  <c r="J29" i="67" s="1"/>
  <c r="J24" i="67"/>
  <c r="J24" i="15"/>
  <c r="J26" i="15"/>
  <c r="C53" i="67"/>
  <c r="C48" i="67" s="1"/>
  <c r="C10" i="67"/>
  <c r="C5" i="67" s="1"/>
  <c r="C53" i="15"/>
  <c r="C48" i="15" s="1"/>
  <c r="C10" i="15"/>
  <c r="C5" i="15" s="1"/>
  <c r="F41" i="15"/>
  <c r="F69" i="15" l="1"/>
  <c r="J29" i="15"/>
  <c r="G47" i="37"/>
  <c r="H47" i="37" s="1"/>
  <c r="F24" i="67"/>
  <c r="C24" i="67" s="1"/>
  <c r="M19" i="6"/>
  <c r="S6" i="1"/>
  <c r="AC6" i="3"/>
  <c r="H6" i="3"/>
  <c r="E6" i="3" s="1"/>
  <c r="E29" i="43"/>
  <c r="F25" i="12"/>
  <c r="C26" i="12" s="1"/>
  <c r="D25" i="12" s="1"/>
  <c r="F24" i="15"/>
  <c r="C24" i="15" s="1"/>
  <c r="F22" i="69"/>
  <c r="F41" i="69" s="1"/>
  <c r="F22" i="68"/>
  <c r="C44" i="68" s="1"/>
  <c r="D41" i="68" s="1"/>
  <c r="B12" i="71"/>
  <c r="B11" i="71" s="1"/>
  <c r="B10" i="71" s="1"/>
  <c r="B9" i="71" s="1"/>
  <c r="S13" i="71"/>
  <c r="O14" i="1"/>
  <c r="O16" i="1" s="1"/>
  <c r="P14" i="1"/>
  <c r="P16" i="1" s="1"/>
  <c r="C11" i="12" s="1"/>
  <c r="M16" i="1"/>
  <c r="D19" i="71"/>
  <c r="C18" i="71"/>
  <c r="E12" i="71"/>
  <c r="E11" i="71" s="1"/>
  <c r="E10" i="71" s="1"/>
  <c r="E9" i="71" s="1"/>
  <c r="V13" i="71"/>
  <c r="D3" i="21"/>
  <c r="D37" i="11"/>
  <c r="C37" i="11" s="1"/>
  <c r="M18" i="9"/>
  <c r="B118" i="9" s="1"/>
  <c r="B14" i="74" s="1"/>
  <c r="B1" i="74" s="1"/>
  <c r="D3" i="34"/>
  <c r="C17" i="4"/>
  <c r="B4" i="52" s="1"/>
  <c r="B43" i="72" s="1"/>
  <c r="D14" i="12"/>
  <c r="D3" i="33"/>
  <c r="D3" i="37"/>
  <c r="E6" i="6"/>
  <c r="D19" i="11"/>
  <c r="C19" i="11" s="1"/>
  <c r="C24" i="11" s="1"/>
  <c r="L18" i="9"/>
  <c r="C35" i="69"/>
  <c r="C38" i="69"/>
  <c r="I19" i="6"/>
  <c r="M27" i="6"/>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98" i="3"/>
  <c r="AY50" i="3"/>
  <c r="AY207" i="3"/>
  <c r="AY171" i="3"/>
  <c r="AY289" i="3"/>
  <c r="AY42" i="3"/>
  <c r="AY163" i="3"/>
  <c r="AY261" i="3"/>
  <c r="AY168" i="3"/>
  <c r="AY237" i="3"/>
  <c r="AY209" i="3"/>
  <c r="AY366" i="3"/>
  <c r="AY334" i="3"/>
  <c r="AY455" i="3"/>
  <c r="AY441" i="3"/>
  <c r="AY526" i="3"/>
  <c r="AY116" i="3"/>
  <c r="AY260" i="3"/>
  <c r="AY390" i="3"/>
  <c r="AY343" i="3"/>
  <c r="AY310" i="3"/>
  <c r="AY447" i="3"/>
  <c r="AY417" i="3"/>
  <c r="AY549" i="3"/>
  <c r="AY574" i="3"/>
  <c r="AY539" i="3"/>
  <c r="AY97" i="3"/>
  <c r="AY85" i="3"/>
  <c r="AY84" i="3"/>
  <c r="AY44" i="3"/>
  <c r="AY25" i="3"/>
  <c r="AY193" i="3"/>
  <c r="AY154" i="3"/>
  <c r="AY157" i="3"/>
  <c r="AY134" i="3"/>
  <c r="AY283" i="3"/>
  <c r="AY271" i="3"/>
  <c r="AY270" i="3"/>
  <c r="AY230" i="3"/>
  <c r="AY211" i="3"/>
  <c r="AY373" i="3"/>
  <c r="AY360" i="3"/>
  <c r="BI6" i="3"/>
  <c r="AY88" i="3"/>
  <c r="AY56" i="3"/>
  <c r="AY186" i="3"/>
  <c r="AY161" i="3"/>
  <c r="AY295" i="3"/>
  <c r="AY243" i="3"/>
  <c r="AY215" i="3"/>
  <c r="AY353" i="3"/>
  <c r="AY325" i="3"/>
  <c r="AY324" i="3"/>
  <c r="AY475" i="3"/>
  <c r="AY464" i="3"/>
  <c r="AY438" i="3"/>
  <c r="AY398" i="3"/>
  <c r="AY403" i="3"/>
  <c r="AY580" i="3"/>
  <c r="AY534" i="3"/>
  <c r="AY527" i="3"/>
  <c r="AY552" i="3"/>
  <c r="AY501" i="3"/>
  <c r="AY556" i="3"/>
  <c r="AY523" i="3"/>
  <c r="AY65" i="3"/>
  <c r="AY32"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47" i="3"/>
  <c r="AY382" i="3"/>
  <c r="AY489" i="3"/>
  <c r="AY460" i="3"/>
  <c r="AY425" i="3"/>
  <c r="AY43" i="3"/>
  <c r="AY244" i="3"/>
  <c r="AY379" i="3"/>
  <c r="AY327" i="3"/>
  <c r="AY481" i="3"/>
  <c r="AY436" i="3"/>
  <c r="AY401" i="3"/>
  <c r="AY562" i="3"/>
  <c r="AY540" i="3"/>
  <c r="AY89" i="3"/>
  <c r="AY69" i="3"/>
  <c r="AY76" i="3"/>
  <c r="AY36" i="3"/>
  <c r="AY198" i="3"/>
  <c r="AY185" i="3"/>
  <c r="AY146" i="3"/>
  <c r="AY125" i="3"/>
  <c r="AY302" i="3"/>
  <c r="AY255" i="3"/>
  <c r="AY262" i="3"/>
  <c r="AY222" i="3"/>
  <c r="AY384" i="3"/>
  <c r="AY374" i="3"/>
  <c r="BS6" i="3"/>
  <c r="BB6" i="3"/>
  <c r="AY73" i="3"/>
  <c r="AY40" i="3"/>
  <c r="AY181" i="3"/>
  <c r="AY145" i="3"/>
  <c r="AY258" i="3"/>
  <c r="AY388" i="3"/>
  <c r="AY356" i="3"/>
  <c r="AY309" i="3"/>
  <c r="AY316" i="3"/>
  <c r="AY467" i="3"/>
  <c r="AY449" i="3"/>
  <c r="AY430" i="3"/>
  <c r="AY435" i="3"/>
  <c r="AY503" i="3"/>
  <c r="AY585" i="3"/>
  <c r="BN6" i="3"/>
  <c r="AY520" i="3"/>
  <c r="BG6" i="3"/>
  <c r="AY508" i="3"/>
  <c r="AY496" i="3"/>
  <c r="AY101" i="3"/>
  <c r="AY49" i="3"/>
  <c r="AY21" i="3"/>
  <c r="AY174" i="3"/>
  <c r="AY153" i="3"/>
  <c r="AY113"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67" i="3"/>
  <c r="AY34" i="3"/>
  <c r="AY191" i="3"/>
  <c r="AY139" i="3"/>
  <c r="AY95" i="3"/>
  <c r="AY31" i="3"/>
  <c r="AY123" i="3"/>
  <c r="AY111" i="3"/>
  <c r="AY252" i="3"/>
  <c r="AY350" i="3"/>
  <c r="AY300" i="3"/>
  <c r="BE6" i="3"/>
  <c r="AY141" i="3"/>
  <c r="AY279" i="3"/>
  <c r="AY267" i="3"/>
  <c r="AY359" i="3"/>
  <c r="AY103" i="3"/>
  <c r="AY51" i="3"/>
  <c r="AY18" i="3"/>
  <c r="AY160" i="3"/>
  <c r="AY124" i="3"/>
  <c r="AY90" i="3"/>
  <c r="AY183" i="3"/>
  <c r="AY281" i="3"/>
  <c r="AY75" i="3"/>
  <c r="AY284" i="3"/>
  <c r="AY236" i="3"/>
  <c r="AY387" i="3"/>
  <c r="AY319" i="3"/>
  <c r="AY473" i="3"/>
  <c r="AY444" i="3"/>
  <c r="AY497" i="3"/>
  <c r="AY26" i="3"/>
  <c r="AY269" i="3"/>
  <c r="AY212" i="3"/>
  <c r="AY372" i="3"/>
  <c r="AY311" i="3"/>
  <c r="AY478" i="3"/>
  <c r="AY420" i="3"/>
  <c r="AY535" i="3"/>
  <c r="AY573" i="3"/>
  <c r="AY533" i="3"/>
  <c r="AY555" i="3"/>
  <c r="AY100" i="3"/>
  <c r="AY61" i="3"/>
  <c r="AY68" i="3"/>
  <c r="AY20" i="3"/>
  <c r="AY190" i="3"/>
  <c r="AY178" i="3"/>
  <c r="AY173" i="3"/>
  <c r="AY133" i="3"/>
  <c r="AY117" i="3"/>
  <c r="AY286" i="3"/>
  <c r="AY247" i="3"/>
  <c r="AY254" i="3"/>
  <c r="AY227" i="3"/>
  <c r="AY397" i="3"/>
  <c r="AY365" i="3"/>
  <c r="AY507" i="3"/>
  <c r="AY109" i="3"/>
  <c r="AY57" i="3"/>
  <c r="AY29" i="3"/>
  <c r="AY166" i="3"/>
  <c r="AY130" i="3"/>
  <c r="AY275" i="3"/>
  <c r="AY242" i="3"/>
  <c r="AY393" i="3"/>
  <c r="AY341" i="3"/>
  <c r="AY348" i="3"/>
  <c r="AY308" i="3"/>
  <c r="AY480" i="3"/>
  <c r="AY462" i="3"/>
  <c r="AY422" i="3"/>
  <c r="AY419" i="3"/>
  <c r="BQ6" i="3"/>
  <c r="AY516" i="3"/>
  <c r="AY536" i="3"/>
  <c r="AY495" i="3"/>
  <c r="AY559" i="3"/>
  <c r="AY532" i="3"/>
  <c r="AY582" i="3"/>
  <c r="AY112" i="3"/>
  <c r="AY64"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2" i="3"/>
  <c r="AY74" i="3"/>
  <c r="AY253" i="3"/>
  <c r="AY486" i="3"/>
  <c r="AY229" i="3"/>
  <c r="AY463" i="3"/>
  <c r="BO6" i="3"/>
  <c r="AY52" i="3"/>
  <c r="AY165" i="3"/>
  <c r="AY239" i="3"/>
  <c r="AY368" i="3"/>
  <c r="AY202" i="3"/>
  <c r="AY226" i="3"/>
  <c r="AY483" i="3"/>
  <c r="AY411" i="3"/>
  <c r="AY518" i="3"/>
  <c r="AY81" i="3"/>
  <c r="AY122" i="3"/>
  <c r="AY385" i="3"/>
  <c r="AY304" i="3"/>
  <c r="AY418" i="3"/>
  <c r="AY564" i="3"/>
  <c r="AY548" i="3"/>
  <c r="AY30" i="3"/>
  <c r="AY296" i="3"/>
  <c r="AY347" i="3"/>
  <c r="AY421" i="3"/>
  <c r="AY102" i="3"/>
  <c r="AY175" i="3"/>
  <c r="AY208" i="3"/>
  <c r="AY474" i="3"/>
  <c r="AY583" i="3"/>
  <c r="AY110" i="3"/>
  <c r="AY288" i="3"/>
  <c r="AY413" i="3"/>
  <c r="AY196" i="3"/>
  <c r="AY152" i="3"/>
  <c r="AY220" i="3"/>
  <c r="AY412" i="3"/>
  <c r="AY217" i="3"/>
  <c r="AY404" i="3"/>
  <c r="AY105" i="3"/>
  <c r="AY33" i="3"/>
  <c r="AY126" i="3"/>
  <c r="AY238" i="3"/>
  <c r="BH6" i="3"/>
  <c r="AY150" i="3"/>
  <c r="AY370" i="3"/>
  <c r="AY472" i="3"/>
  <c r="AY525" i="3"/>
  <c r="AY543" i="3"/>
  <c r="AY48" i="3"/>
  <c r="AY298" i="3"/>
  <c r="AY352" i="3"/>
  <c r="AY492" i="3"/>
  <c r="AY431" i="3"/>
  <c r="AY575" i="3"/>
  <c r="AY563" i="3"/>
  <c r="AY203" i="3"/>
  <c r="AY233" i="3"/>
  <c r="AY330" i="3"/>
  <c r="AY13" i="3"/>
  <c r="AY39" i="3"/>
  <c r="AY136" i="3"/>
  <c r="AY375" i="3"/>
  <c r="AY432" i="3"/>
  <c r="AY567" i="3"/>
  <c r="AY339" i="3"/>
  <c r="AY144" i="3"/>
  <c r="AY292" i="3"/>
  <c r="AY363" i="3"/>
  <c r="AY529" i="3"/>
  <c r="AY355" i="3"/>
  <c r="AY557" i="3"/>
  <c r="AY92" i="3"/>
  <c r="AY182" i="3"/>
  <c r="AY291" i="3"/>
  <c r="AY219" i="3"/>
  <c r="AY93" i="3"/>
  <c r="AY121" i="3"/>
  <c r="AY333" i="3"/>
  <c r="AY454" i="3"/>
  <c r="AY572" i="3"/>
  <c r="AY494" i="3"/>
  <c r="AY205" i="3"/>
  <c r="AY235" i="3"/>
  <c r="AY321" i="3"/>
  <c r="AY461" i="3"/>
  <c r="AY399" i="3"/>
  <c r="AY537" i="3"/>
  <c r="AY140" i="3"/>
  <c r="AY216" i="3"/>
  <c r="AY482" i="3"/>
  <c r="AY528" i="3"/>
  <c r="AY22" i="3"/>
  <c r="AY87" i="3"/>
  <c r="AY132" i="3"/>
  <c r="AY204" i="3"/>
  <c r="AY303" i="3"/>
  <c r="AY199" i="3"/>
  <c r="AY326" i="3"/>
  <c r="AY544" i="3"/>
  <c r="AY53" i="3"/>
  <c r="AY162" i="3"/>
  <c r="AY278" i="3"/>
  <c r="AY389" i="3"/>
  <c r="AY72" i="3"/>
  <c r="AY259" i="3"/>
  <c r="AY340" i="3"/>
  <c r="AY406" i="3"/>
  <c r="AY571" i="3"/>
  <c r="AY577" i="3"/>
  <c r="AY142" i="3"/>
  <c r="AY218" i="3"/>
  <c r="AY336" i="3"/>
  <c r="AY450" i="3"/>
  <c r="AY17" i="3"/>
  <c r="AY530" i="3"/>
  <c r="AY47" i="3"/>
  <c r="AY120" i="3"/>
  <c r="AY383" i="3"/>
  <c r="AY440" i="3"/>
  <c r="AY576" i="3"/>
  <c r="AY195" i="3"/>
  <c r="AY272" i="3"/>
  <c r="AY322" i="3"/>
  <c r="AY15" i="3"/>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C60" i="15"/>
  <c r="C66" i="15"/>
  <c r="C44" i="11"/>
  <c r="D41" i="11" s="1"/>
  <c r="C23" i="11"/>
  <c r="C26" i="11"/>
  <c r="D22" i="11" s="1"/>
  <c r="C38" i="67"/>
  <c r="C38" i="15"/>
  <c r="C66" i="67"/>
  <c r="C60" i="67"/>
  <c r="E6" i="76"/>
  <c r="B6" i="76"/>
  <c r="C23" i="67" l="1"/>
  <c r="C29" i="67" s="1"/>
  <c r="C33" i="67" s="1"/>
  <c r="C31" i="67" s="1"/>
  <c r="AQ6" i="1"/>
  <c r="T6" i="1"/>
  <c r="T16" i="1" s="1"/>
  <c r="AR6" i="1"/>
  <c r="S16" i="1"/>
  <c r="B2" i="34"/>
  <c r="C26" i="68"/>
  <c r="D22" i="68" s="1"/>
  <c r="C23" i="15"/>
  <c r="C29" i="15" s="1"/>
  <c r="C33" i="15" s="1"/>
  <c r="C23" i="68"/>
  <c r="C44" i="69"/>
  <c r="D41" i="69" s="1"/>
  <c r="C26" i="69"/>
  <c r="D22" i="69" s="1"/>
  <c r="F41" i="68"/>
  <c r="C15" i="12"/>
  <c r="C12" i="12"/>
  <c r="D25" i="6"/>
  <c r="D22" i="6"/>
  <c r="D24" i="6"/>
  <c r="D9" i="6"/>
  <c r="L19" i="9"/>
  <c r="H25" i="6"/>
  <c r="H21" i="6"/>
  <c r="D26" i="6"/>
  <c r="D8" i="6"/>
  <c r="D14" i="6"/>
  <c r="D5" i="6"/>
  <c r="D11" i="6"/>
  <c r="D28" i="6"/>
  <c r="H26" i="6"/>
  <c r="H19" i="6"/>
  <c r="M19" i="9"/>
  <c r="C118" i="9" s="1"/>
  <c r="C14" i="74" s="1"/>
  <c r="B2" i="74" s="1"/>
  <c r="D15" i="6"/>
  <c r="D21" i="6"/>
  <c r="D20" i="6"/>
  <c r="D6" i="6"/>
  <c r="D10" i="6"/>
  <c r="D29" i="6"/>
  <c r="H22" i="6"/>
  <c r="H24" i="6"/>
  <c r="E61" i="40"/>
  <c r="C18" i="4"/>
  <c r="D12" i="6"/>
  <c r="D19" i="6"/>
  <c r="H23" i="6"/>
  <c r="H20" i="6"/>
  <c r="D23" i="6"/>
  <c r="D13" i="6"/>
  <c r="I27" i="6"/>
  <c r="S19" i="6"/>
  <c r="S27" i="6" s="1"/>
  <c r="E8" i="71"/>
  <c r="E7" i="71" s="1"/>
  <c r="E6" i="71" s="1"/>
  <c r="E5" i="71" s="1"/>
  <c r="V9" i="71"/>
  <c r="N16" i="1"/>
  <c r="L16" i="1"/>
  <c r="C34" i="11"/>
  <c r="C34" i="68"/>
  <c r="C20" i="11"/>
  <c r="C25" i="11" s="1"/>
  <c r="C22" i="11" s="1"/>
  <c r="C7" i="74"/>
  <c r="D17" i="12"/>
  <c r="C17" i="12" s="1"/>
  <c r="C14" i="12"/>
  <c r="C17" i="71"/>
  <c r="D18" i="71"/>
  <c r="B8" i="71"/>
  <c r="B7" i="71" s="1"/>
  <c r="B6" i="71" s="1"/>
  <c r="B5" i="71" s="1"/>
  <c r="S9" i="71"/>
  <c r="D20" i="12"/>
  <c r="C20" i="12" s="1"/>
  <c r="C18" i="12" s="1"/>
  <c r="D10" i="68"/>
  <c r="D10" i="69"/>
  <c r="D10" i="11"/>
  <c r="C10" i="11" s="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6" i="67"/>
  <c r="C19" i="9"/>
  <c r="J19" i="67" l="1"/>
  <c r="J17" i="67" s="1"/>
  <c r="C102" i="9"/>
  <c r="B3" i="34"/>
  <c r="J59" i="67"/>
  <c r="J60" i="67" s="1"/>
  <c r="L46" i="67" s="1"/>
  <c r="C13" i="67"/>
  <c r="Q70" i="67" s="1"/>
  <c r="Q49" i="67"/>
  <c r="J14" i="67"/>
  <c r="J22" i="67" s="1"/>
  <c r="C57" i="67"/>
  <c r="C61" i="67" s="1"/>
  <c r="C59" i="67" s="1"/>
  <c r="C13" i="15"/>
  <c r="C75" i="15" s="1"/>
  <c r="J14" i="15"/>
  <c r="J13" i="15" s="1"/>
  <c r="J23" i="15" s="1"/>
  <c r="H27" i="6"/>
  <c r="J19" i="15"/>
  <c r="R26" i="6"/>
  <c r="R21" i="6"/>
  <c r="C36" i="15"/>
  <c r="C28" i="11"/>
  <c r="C27" i="11" s="1"/>
  <c r="C31" i="11" s="1"/>
  <c r="D30" i="6"/>
  <c r="D16" i="6"/>
  <c r="Q49" i="15"/>
  <c r="C57" i="15"/>
  <c r="C61" i="15" s="1"/>
  <c r="J59" i="15"/>
  <c r="J60" i="15" s="1"/>
  <c r="Q48" i="15" s="1"/>
  <c r="R23" i="6"/>
  <c r="R20" i="6"/>
  <c r="C16" i="12"/>
  <c r="C21" i="12" s="1"/>
  <c r="C16" i="71"/>
  <c r="D17" i="71"/>
  <c r="U17" i="71" s="1"/>
  <c r="T17" i="71"/>
  <c r="C10" i="68"/>
  <c r="D19" i="68"/>
  <c r="C35" i="68"/>
  <c r="C38" i="68"/>
  <c r="R19" i="6"/>
  <c r="D27" i="6"/>
  <c r="D7" i="74"/>
  <c r="C21" i="9"/>
  <c r="R25" i="6"/>
  <c r="C38" i="11"/>
  <c r="C35" i="11"/>
  <c r="A7" i="51"/>
  <c r="B7" i="72" s="1"/>
  <c r="A10" i="51"/>
  <c r="B9" i="72" s="1"/>
  <c r="C4" i="52"/>
  <c r="B45" i="72" s="1"/>
  <c r="R24" i="6"/>
  <c r="C10" i="69"/>
  <c r="C8" i="69" s="1"/>
  <c r="C5" i="69" s="1"/>
  <c r="D19" i="69"/>
  <c r="F50" i="11"/>
  <c r="F50" i="69"/>
  <c r="F50" i="68"/>
  <c r="R22" i="6"/>
  <c r="I69" i="39"/>
  <c r="J67" i="39"/>
  <c r="B3" i="76"/>
  <c r="I63" i="40"/>
  <c r="H65" i="40"/>
  <c r="I58" i="21"/>
  <c r="J58" i="21" s="1"/>
  <c r="K58" i="21" s="1"/>
  <c r="L58" i="21" s="1"/>
  <c r="M58" i="21" s="1"/>
  <c r="N58" i="21" s="1"/>
  <c r="O58" i="21" s="1"/>
  <c r="H7" i="21" s="1"/>
  <c r="J7" i="21"/>
  <c r="F7" i="21"/>
  <c r="J48" i="35"/>
  <c r="C20" i="9"/>
  <c r="C75" i="67" l="1"/>
  <c r="C56" i="67"/>
  <c r="C65" i="67" s="1"/>
  <c r="C64" i="15"/>
  <c r="Q48" i="67"/>
  <c r="C64" i="67"/>
  <c r="C103" i="9"/>
  <c r="C37" i="67"/>
  <c r="C30" i="67" s="1"/>
  <c r="C39" i="67" s="1"/>
  <c r="J13" i="67"/>
  <c r="J23" i="67" s="1"/>
  <c r="J16" i="67" s="1"/>
  <c r="J25" i="67" s="1"/>
  <c r="J22" i="15"/>
  <c r="C56" i="15"/>
  <c r="C65" i="15" s="1"/>
  <c r="C37" i="15"/>
  <c r="Q70" i="15"/>
  <c r="R27" i="6"/>
  <c r="R6" i="1"/>
  <c r="D31" i="6"/>
  <c r="I6" i="6" s="1"/>
  <c r="C33" i="11"/>
  <c r="C39" i="11" s="1"/>
  <c r="C22" i="12"/>
  <c r="C30" i="12" s="1"/>
  <c r="C28" i="12" s="1"/>
  <c r="C19" i="69"/>
  <c r="C24" i="69" s="1"/>
  <c r="D37" i="69"/>
  <c r="C37" i="69" s="1"/>
  <c r="C33" i="69" s="1"/>
  <c r="C23" i="69"/>
  <c r="C19" i="68"/>
  <c r="D37" i="68"/>
  <c r="C37" i="68" s="1"/>
  <c r="C33" i="68" s="1"/>
  <c r="C15" i="71"/>
  <c r="D16" i="71"/>
  <c r="J69" i="39"/>
  <c r="K67" i="39"/>
  <c r="U7" i="21"/>
  <c r="AB7" i="21"/>
  <c r="T48" i="21" s="1"/>
  <c r="G48" i="21" s="1"/>
  <c r="S7" i="21"/>
  <c r="AA7" i="21"/>
  <c r="R48" i="21" s="1"/>
  <c r="J63" i="40"/>
  <c r="I65" i="40"/>
  <c r="K48" i="35"/>
  <c r="L48" i="35" s="1"/>
  <c r="M48" i="35" s="1"/>
  <c r="N48" i="35" s="1"/>
  <c r="O48" i="35" s="1"/>
  <c r="H7" i="35" s="1"/>
  <c r="J7" i="35"/>
  <c r="AC7" i="21"/>
  <c r="V48" i="21" s="1"/>
  <c r="I48" i="21" s="1"/>
  <c r="W7" i="21"/>
  <c r="M21" i="15"/>
  <c r="F35" i="15"/>
  <c r="L51" i="67"/>
  <c r="C80" i="67" l="1"/>
  <c r="C79" i="67" s="1"/>
  <c r="C58" i="67"/>
  <c r="C67" i="67" s="1"/>
  <c r="C68" i="67" s="1"/>
  <c r="C71" i="67" s="1"/>
  <c r="C40" i="67"/>
  <c r="C43" i="67" s="1"/>
  <c r="Q69" i="67"/>
  <c r="Q68" i="67" s="1"/>
  <c r="F63" i="15"/>
  <c r="C62" i="15" s="1"/>
  <c r="C59" i="15" s="1"/>
  <c r="C58" i="15" s="1"/>
  <c r="C67" i="15" s="1"/>
  <c r="C68" i="15" s="1"/>
  <c r="C71" i="15" s="1"/>
  <c r="C34" i="15"/>
  <c r="C31" i="15" s="1"/>
  <c r="C30" i="15" s="1"/>
  <c r="C39" i="15" s="1"/>
  <c r="J20" i="15"/>
  <c r="J17" i="15" s="1"/>
  <c r="J16" i="15" s="1"/>
  <c r="J25" i="15" s="1"/>
  <c r="R16" i="1"/>
  <c r="C42" i="11"/>
  <c r="I5" i="6"/>
  <c r="C27" i="12"/>
  <c r="C25" i="12" s="1"/>
  <c r="C32" i="12" s="1"/>
  <c r="B2" i="12" s="1"/>
  <c r="B3" i="12" s="1"/>
  <c r="C20" i="69"/>
  <c r="C25" i="69" s="1"/>
  <c r="C22" i="69" s="1"/>
  <c r="C39" i="68"/>
  <c r="C42" i="68"/>
  <c r="C39" i="69"/>
  <c r="C43" i="69" s="1"/>
  <c r="C42" i="69"/>
  <c r="C14" i="71"/>
  <c r="D15" i="71"/>
  <c r="C20" i="68"/>
  <c r="C25" i="68" s="1"/>
  <c r="C24" i="68"/>
  <c r="C46" i="11"/>
  <c r="C45" i="11" s="1"/>
  <c r="C43" i="1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L51" i="15"/>
  <c r="C45" i="67" l="1"/>
  <c r="C46" i="67" s="1"/>
  <c r="Q56" i="67"/>
  <c r="Q47" i="67"/>
  <c r="Q53" i="67" s="1"/>
  <c r="C83" i="67"/>
  <c r="C82" i="67" s="1"/>
  <c r="D2" i="67"/>
  <c r="B3" i="67" s="1"/>
  <c r="Q65" i="67"/>
  <c r="Q67" i="15"/>
  <c r="L57" i="15"/>
  <c r="L60" i="15" s="1"/>
  <c r="L46" i="15" s="1"/>
  <c r="Q69" i="15"/>
  <c r="Q68" i="15" s="1"/>
  <c r="C80" i="15"/>
  <c r="C79" i="15" s="1"/>
  <c r="C40" i="15"/>
  <c r="C83" i="15" s="1"/>
  <c r="C82" i="15" s="1"/>
  <c r="C28" i="69"/>
  <c r="C27" i="69" s="1"/>
  <c r="C31" i="69" s="1"/>
  <c r="C41" i="11"/>
  <c r="C49" i="11" s="1"/>
  <c r="C51" i="11" s="1"/>
  <c r="C52" i="11" s="1"/>
  <c r="B2" i="11" s="1"/>
  <c r="B3" i="11" s="1"/>
  <c r="C13" i="71"/>
  <c r="D14" i="71"/>
  <c r="C22" i="68"/>
  <c r="C41" i="69"/>
  <c r="C28" i="68"/>
  <c r="C27" i="68" s="1"/>
  <c r="C46" i="69"/>
  <c r="C45" i="69" s="1"/>
  <c r="C46" i="68"/>
  <c r="C45" i="68" s="1"/>
  <c r="C43" i="68"/>
  <c r="C41"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57" i="67"/>
  <c r="Q62" i="67" l="1"/>
  <c r="B2" i="67"/>
  <c r="Q75" i="67"/>
  <c r="Q57" i="15"/>
  <c r="Q66" i="15"/>
  <c r="C43" i="15"/>
  <c r="Q47" i="15"/>
  <c r="Q53" i="15" s="1"/>
  <c r="C46" i="15"/>
  <c r="Q65" i="15"/>
  <c r="Q75" i="15" s="1"/>
  <c r="Q56" i="15"/>
  <c r="B2" i="15"/>
  <c r="C49" i="68"/>
  <c r="C51" i="68" s="1"/>
  <c r="C49" i="69"/>
  <c r="C51" i="69" s="1"/>
  <c r="C52" i="69" s="1"/>
  <c r="B2" i="69" s="1"/>
  <c r="B3" i="69" s="1"/>
  <c r="C12" i="71"/>
  <c r="T13" i="71"/>
  <c r="D13" i="71"/>
  <c r="U13" i="71" s="1"/>
  <c r="C31" i="68"/>
  <c r="C56" i="11"/>
  <c r="C57" i="11" s="1"/>
  <c r="M69" i="39"/>
  <c r="N67" i="39"/>
  <c r="R39" i="35"/>
  <c r="E38" i="35"/>
  <c r="M63" i="40"/>
  <c r="L65" i="40"/>
  <c r="AO6" i="1"/>
  <c r="D19" i="9"/>
  <c r="D102" i="9" l="1"/>
  <c r="G19" i="9"/>
  <c r="G21" i="9" s="1"/>
  <c r="D21" i="9"/>
  <c r="D22" i="9"/>
  <c r="Q62" i="15"/>
  <c r="B6" i="70"/>
  <c r="B2" i="70" s="1"/>
  <c r="B3" i="70" s="1"/>
  <c r="B3" i="15"/>
  <c r="C52" i="68"/>
  <c r="B2" i="68" s="1"/>
  <c r="B3" i="68" s="1"/>
  <c r="D12" i="71"/>
  <c r="C11" i="71"/>
  <c r="C57" i="69"/>
  <c r="C56" i="69" s="1"/>
  <c r="O67" i="39"/>
  <c r="O69" i="39" s="1"/>
  <c r="N69" i="39"/>
  <c r="F7" i="39"/>
  <c r="C39" i="35"/>
  <c r="B2" i="35" s="1"/>
  <c r="B3" i="35" s="1"/>
  <c r="C38" i="35"/>
  <c r="N63" i="40"/>
  <c r="M65" i="40"/>
  <c r="E43" i="35"/>
  <c r="F43" i="35" s="1"/>
  <c r="E42" i="35"/>
  <c r="F42" i="35" s="1"/>
  <c r="I43" i="35"/>
  <c r="J43" i="35" s="1"/>
  <c r="D34" i="9"/>
  <c r="D35" i="9"/>
  <c r="D20" i="9"/>
  <c r="D103" i="9" l="1"/>
  <c r="G20" i="9"/>
  <c r="C32" i="9" s="1"/>
  <c r="C35" i="9" s="1"/>
  <c r="C34" i="9" s="1"/>
  <c r="C57" i="68"/>
  <c r="C56" i="68" s="1"/>
  <c r="D11" i="71"/>
  <c r="C10" i="71"/>
  <c r="H7" i="39"/>
  <c r="J7" i="39"/>
  <c r="S7" i="39"/>
  <c r="AA7" i="39"/>
  <c r="R47" i="39" s="1"/>
  <c r="O63" i="40"/>
  <c r="O65" i="40" s="1"/>
  <c r="N65" i="40"/>
  <c r="D10" i="71" l="1"/>
  <c r="C9" i="71"/>
  <c r="W7" i="39"/>
  <c r="AC7" i="39"/>
  <c r="V47" i="39" s="1"/>
  <c r="I47" i="39" s="1"/>
  <c r="E47" i="39"/>
  <c r="R48" i="39"/>
  <c r="U7" i="39"/>
  <c r="AB7" i="39"/>
  <c r="T47" i="39" s="1"/>
  <c r="G47" i="39" s="1"/>
  <c r="J7" i="40"/>
  <c r="F7" i="40"/>
  <c r="H7" i="40"/>
  <c r="C8" i="71" l="1"/>
  <c r="T9" i="71"/>
  <c r="D9" i="71"/>
  <c r="U9" i="71"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8" i="71" l="1"/>
  <c r="C7"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C5" i="71" l="1"/>
  <c r="D6" i="7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F118" i="9"/>
  <c r="F4" i="52" s="1"/>
  <c r="B51" i="72" s="1"/>
  <c r="D118" i="9"/>
  <c r="D4" i="52" s="1"/>
  <c r="B47" i="72" s="1"/>
  <c r="H118" i="9"/>
  <c r="C104" i="9" s="1"/>
  <c r="H101" i="9" l="1"/>
  <c r="D45" i="9" s="1"/>
  <c r="D52" i="9" s="1"/>
  <c r="H119" i="9"/>
  <c r="H5" i="52" s="1"/>
  <c r="D5" i="53"/>
  <c r="G118" i="9"/>
  <c r="G4" i="52" s="1"/>
  <c r="B52" i="72" s="1"/>
  <c r="H4" i="52"/>
  <c r="D14" i="74"/>
  <c r="I118" i="9"/>
  <c r="H107" i="9"/>
  <c r="D119" i="9"/>
  <c r="D5" i="52" s="1"/>
  <c r="B49" i="72" s="1"/>
  <c r="F119" i="9"/>
  <c r="F5" i="52" s="1"/>
  <c r="B53" i="72" s="1"/>
  <c r="D55" i="9" l="1"/>
  <c r="M53" i="9" s="1"/>
  <c r="C64" i="9"/>
  <c r="C63" i="9" s="1"/>
  <c r="C67" i="9" s="1"/>
  <c r="C68" i="9" s="1"/>
  <c r="D54" i="9" s="1"/>
  <c r="C85" i="9"/>
  <c r="C93" i="9"/>
  <c r="C86" i="9" s="1"/>
  <c r="C95" i="9" s="1"/>
  <c r="C96" i="9" s="1"/>
  <c r="E96" i="9" s="1"/>
  <c r="E97" i="9" s="1"/>
  <c r="M48" i="9"/>
  <c r="D53" i="9"/>
  <c r="C78" i="9"/>
  <c r="C73" i="9" s="1"/>
  <c r="C72" i="9"/>
  <c r="C79" i="9" s="1"/>
  <c r="H102" i="9"/>
  <c r="D7" i="53" s="1"/>
  <c r="B21" i="72" s="1"/>
  <c r="C105" i="9"/>
  <c r="E118" i="9"/>
  <c r="E4" i="52" s="1"/>
  <c r="B48" i="72" s="1"/>
  <c r="I4" i="52"/>
  <c r="D122" i="9"/>
  <c r="M49" i="9"/>
  <c r="D13" i="53"/>
  <c r="H108" i="9"/>
  <c r="D15" i="53" s="1"/>
  <c r="B31" i="72" s="1"/>
  <c r="E14" i="74"/>
  <c r="F14" i="74"/>
  <c r="B5" i="74"/>
  <c r="D6" i="53"/>
  <c r="B22" i="72" s="1"/>
  <c r="B20" i="72"/>
  <c r="D59" i="9" l="1"/>
  <c r="M55" i="9" s="1"/>
  <c r="C80" i="9"/>
  <c r="E80" i="9" s="1"/>
  <c r="E81" i="9" s="1"/>
  <c r="L65" i="9"/>
  <c r="M65" i="9" s="1"/>
  <c r="L66" i="9"/>
  <c r="M66" i="9" s="1"/>
  <c r="L64" i="9"/>
  <c r="M64" i="9" s="1"/>
  <c r="L68" i="9"/>
  <c r="M68" i="9" s="1"/>
  <c r="L63" i="9"/>
  <c r="M63" i="9" s="1"/>
  <c r="L67" i="9"/>
  <c r="M67" i="9" s="1"/>
  <c r="G14" i="74"/>
  <c r="B6" i="74" s="1"/>
  <c r="D8" i="52"/>
  <c r="D123" i="9"/>
  <c r="D9" i="52" s="1"/>
  <c r="D5" i="74"/>
  <c r="C5" i="74"/>
  <c r="D14" i="53"/>
  <c r="B32" i="72" s="1"/>
  <c r="B30" i="72"/>
  <c r="C97" i="9"/>
  <c r="D58" i="9" s="1"/>
  <c r="D56" i="9" s="1"/>
  <c r="M54" i="9" s="1"/>
  <c r="N57" i="9" l="1"/>
  <c r="N59" i="9" s="1"/>
  <c r="M69" i="9"/>
  <c r="N69" i="9" s="1"/>
  <c r="D6" i="74"/>
  <c r="C6" i="74"/>
  <c r="P57" i="9"/>
  <c r="N58" i="9"/>
  <c r="C81" i="9"/>
  <c r="H111" i="9" l="1"/>
  <c r="N60" i="9"/>
  <c r="N61" i="9"/>
  <c r="H112" i="9" s="1"/>
  <c r="D21" i="53" s="1"/>
  <c r="B39" i="72" s="1"/>
  <c r="D126" i="9" l="1"/>
  <c r="D19" i="53"/>
  <c r="B38" i="72" l="1"/>
  <c r="D20" i="53"/>
  <c r="B40" i="72" s="1"/>
  <c r="D127" i="9"/>
  <c r="D13" i="52" s="1"/>
  <c r="I14" i="74"/>
  <c r="B8" i="74" s="1"/>
  <c r="D12" i="5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<sst xmlns="http://schemas.openxmlformats.org/spreadsheetml/2006/main" count="7418" uniqueCount="3201">
  <si>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</si>
  <si>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</si>
  <si>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</si>
  <si>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</si>
  <si>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</si>
  <si>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</si>
  <si>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</si>
  <si>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</si>
  <si>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</si>
  <si>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</si>
  <si>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</si>
  <si>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</si>
  <si>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</si>
  <si>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</si>
  <si>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</si>
  <si>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</si>
  <si>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</si>
  <si>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</si>
  <si>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</si>
  <si>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</si>
  <si>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</si>
  <si>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</si>
  <si>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</si>
  <si>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</si>
  <si>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</si>
  <si>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</si>
  <si>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</si>
  <si>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</si>
  <si>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</si>
  <si>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</si>
  <si>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</si>
  <si>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</si>
  <si>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</si>
  <si>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</si>
  <si>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</si>
  <si>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</si>
  <si>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</si>
  <si>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</si>
  <si>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</si>
  <si>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</si>
  <si>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</si>
  <si>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</si>
  <si>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</si>
  <si>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</si>
  <si>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</si>
  <si>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</si>
  <si>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</si>
  <si>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</si>
  <si>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</si>
  <si>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</si>
  <si>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</si>
  <si>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</si>
  <si>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</si>
  <si>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</si>
  <si>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</si>
  <si>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</si>
  <si>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</si>
  <si>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</si>
  <si>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</si>
  <si>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</si>
  <si>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</si>
  <si>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</si>
  <si>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</si>
  <si>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</si>
  <si>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</si>
  <si>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</si>
  <si>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</si>
  <si>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</si>
  <si>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</si>
  <si>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</si>
  <si>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</si>
  <si>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</si>
  <si>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</si>
  <si>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</si>
  <si>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</si>
  <si>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</si>
  <si>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</si>
  <si>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</si>
  <si>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</si>
  <si>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</si>
  <si>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</si>
  <si>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</si>
  <si>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</si>
  <si>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</si>
  <si>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</si>
  <si>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</si>
  <si>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</si>
  <si>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</si>
  <si>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</si>
  <si>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</si>
  <si>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</si>
  <si>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</si>
  <si>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</si>
  <si>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</si>
  <si>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</si>
  <si>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</si>
  <si>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</si>
  <si>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</si>
  <si>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</si>
  <si>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</si>
  <si>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</si>
  <si>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</si>
  <si>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</si>
  <si>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</si>
  <si>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</si>
  <si>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</si>
  <si>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</si>
  <si>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</si>
  <si>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</si>
  <si>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</si>
  <si>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</si>
  <si>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</si>
  <si>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</si>
  <si>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</si>
  <si>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</si>
  <si>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</si>
  <si>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</si>
  <si>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</si>
  <si>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</si>
  <si>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</si>
  <si>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</si>
  <si>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</si>
  <si>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</si>
  <si>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</si>
  <si>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</si>
  <si>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</si>
  <si>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</si>
  <si>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</si>
  <si>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</si>
  <si>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</si>
  <si>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</si>
  <si>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</si>
  <si>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</si>
  <si>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</si>
  <si>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</si>
  <si>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</si>
  <si>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</si>
  <si>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</si>
  <si>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</si>
  <si>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</si>
  <si>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</si>
  <si>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</si>
  <si>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</si>
  <si>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</si>
  <si>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</si>
  <si>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</si>
  <si>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</si>
  <si>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</si>
  <si>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</si>
  <si>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</si>
  <si>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</si>
  <si>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</si>
  <si>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</si>
  <si>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</si>
  <si>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</si>
  <si>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</si>
  <si>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</si>
  <si>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</si>
  <si>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</si>
  <si>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</si>
  <si>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</si>
  <si>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</si>
  <si>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</si>
  <si>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</si>
  <si>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</si>
  <si>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</si>
  <si>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</si>
  <si>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</si>
  <si>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</si>
  <si>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</si>
  <si>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</si>
  <si>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</si>
  <si>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</si>
  <si>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</si>
  <si>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</si>
  <si>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</si>
  <si>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</si>
  <si>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</si>
  <si>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</si>
  <si>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</si>
  <si>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</si>
  <si>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</si>
  <si>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</si>
  <si>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</si>
  <si>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</si>
  <si>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</si>
  <si>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</si>
  <si>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</si>
  <si>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</si>
  <si>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</si>
  <si>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</si>
  <si>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</si>
  <si>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</si>
  <si>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</si>
  <si>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</si>
  <si>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</si>
  <si>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</si>
  <si>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</si>
  <si>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</si>
  <si>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</si>
  <si>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</si>
  <si>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</si>
  <si>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</si>
  <si>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</si>
  <si>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</si>
  <si>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</si>
  <si>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</si>
  <si>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</si>
  <si>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</si>
  <si>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</si>
  <si>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</si>
  <si>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</si>
  <si>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</si>
  <si>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</si>
  <si>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</si>
  <si>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</si>
  <si>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</si>
  <si>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</si>
  <si>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</si>
  <si>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</si>
  <si>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</si>
  <si>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</si>
  <si>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</si>
  <si>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</si>
  <si>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</si>
  <si>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</si>
  <si>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</si>
  <si>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</si>
  <si>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</si>
  <si>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</si>
  <si>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</si>
  <si>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</si>
  <si>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</si>
  <si>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</si>
  <si>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</si>
  <si>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</si>
  <si>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</si>
  <si>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</si>
  <si>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</si>
  <si>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</si>
  <si>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</si>
  <si>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</si>
  <si>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</si>
  <si>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</si>
  <si>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</si>
  <si>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</si>
  <si>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</si>
  <si>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</si>
  <si>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</si>
  <si>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</si>
  <si>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</si>
  <si>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</si>
  <si>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</si>
  <si>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</si>
  <si>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</si>
  <si>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</si>
  <si>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</si>
  <si>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</si>
  <si>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</si>
  <si>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</si>
  <si>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</si>
  <si>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</si>
  <si>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</si>
  <si>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</si>
  <si>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</si>
  <si>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</si>
  <si>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</si>
  <si>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</si>
  <si>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</si>
  <si>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</si>
  <si>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</si>
  <si>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</si>
  <si>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</si>
  <si>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</si>
  <si>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</si>
  <si>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</si>
  <si>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</si>
  <si>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</si>
  <si>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</si>
  <si>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</si>
  <si>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</si>
  <si>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</si>
  <si>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</si>
  <si>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</si>
  <si>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</si>
  <si>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</si>
  <si>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</si>
  <si>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</si>
  <si>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</si>
  <si>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</si>
  <si>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</si>
  <si>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</si>
  <si>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</si>
  <si>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</si>
  <si>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</si>
  <si>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</si>
  <si>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</si>
  <si>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</si>
  <si>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</si>
  <si>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</si>
  <si>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</si>
  <si>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</si>
  <si>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</si>
  <si>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</si>
  <si>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</si>
  <si>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</si>
  <si>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</si>
  <si>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</si>
  <si>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</si>
  <si>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</si>
  <si>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</si>
  <si>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</si>
  <si>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</si>
  <si>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</si>
  <si>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</si>
  <si>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</si>
  <si>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</si>
  <si>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</si>
  <si>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</si>
  <si>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</si>
  <si>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</si>
  <si>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</si>
  <si>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</si>
  <si>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</si>
  <si>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</si>
  <si>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</si>
  <si>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</si>
  <si>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</si>
  <si>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</si>
  <si>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</si>
  <si>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</si>
  <si>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</si>
  <si>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</si>
  <si>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</si>
  <si>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</si>
  <si>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</si>
  <si>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</si>
  <si>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</si>
  <si>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</si>
  <si>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</si>
  <si>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</si>
  <si>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</si>
  <si>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</si>
  <si>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</si>
  <si>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</si>
  <si>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</si>
  <si>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</si>
  <si>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</si>
  <si>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</si>
  <si>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</si>
  <si>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</si>
  <si>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</si>
  <si>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</si>
  <si>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</si>
  <si>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</si>
  <si>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</si>
  <si>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</si>
  <si>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</si>
  <si>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</si>
  <si>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</si>
  <si>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</si>
  <si>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</si>
  <si>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</si>
  <si>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</si>
  <si>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</si>
  <si>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</si>
  <si>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</si>
  <si>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</si>
  <si>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</si>
  <si>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</si>
  <si>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</si>
  <si>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</si>
  <si>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</si>
  <si>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</si>
  <si>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</si>
  <si>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</si>
  <si>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</si>
  <si>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</si>
  <si>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</si>
  <si>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</si>
  <si>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</si>
  <si>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</si>
  <si>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</si>
  <si>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</si>
  <si>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</si>
  <si>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</si>
  <si>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</si>
  <si>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</si>
  <si>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</si>
  <si>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</si>
  <si>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</si>
  <si>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</si>
  <si>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</si>
  <si>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</si>
  <si>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</si>
  <si>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</si>
  <si>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</si>
  <si>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</si>
  <si>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</si>
  <si>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</si>
  <si>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</si>
  <si>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</si>
  <si>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</si>
  <si>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</si>
  <si>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</si>
  <si>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</si>
  <si>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</si>
  <si>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</si>
  <si>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</si>
  <si>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</si>
  <si>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</si>
  <si>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</si>
  <si>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</si>
  <si>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</si>
  <si>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</si>
  <si>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</si>
  <si>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</si>
  <si>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</si>
  <si>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</si>
  <si>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</si>
  <si>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</si>
  <si>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</si>
  <si>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</si>
  <si>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</si>
  <si>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</si>
  <si>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</si>
  <si>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</si>
  <si>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</si>
  <si>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</si>
  <si>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</si>
  <si>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</si>
  <si>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</si>
  <si>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</si>
  <si>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</si>
  <si>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</si>
  <si>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</si>
  <si>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</si>
  <si>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</si>
  <si>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</si>
  <si>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</si>
  <si>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</si>
  <si>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</si>
  <si>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</si>
  <si>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</si>
  <si>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</si>
  <si>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</si>
  <si>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</si>
  <si>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</si>
  <si>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</si>
  <si>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</si>
  <si>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</si>
  <si>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</si>
  <si>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</si>
  <si>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</si>
  <si>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</si>
  <si>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</si>
  <si>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</si>
  <si>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</si>
  <si>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</si>
  <si>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</si>
  <si>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</si>
  <si>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</si>
  <si>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</si>
  <si>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</si>
  <si>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</si>
  <si>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</si>
  <si>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</si>
  <si>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</si>
  <si>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</si>
  <si>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</si>
  <si>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</si>
  <si>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</si>
  <si>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</si>
  <si>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</si>
  <si>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</si>
  <si>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</si>
  <si>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</si>
  <si>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</si>
  <si>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</si>
  <si>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</si>
  <si>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</si>
  <si>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</si>
  <si>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</si>
  <si>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</si>
  <si>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</si>
  <si>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</si>
  <si>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</si>
  <si>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</si>
  <si>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</si>
  <si>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</si>
  <si>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</si>
  <si>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</si>
  <si>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</si>
  <si>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</si>
  <si>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</si>
  <si>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</si>
  <si>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</si>
  <si>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</si>
  <si>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</si>
  <si>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</si>
  <si>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</si>
  <si>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</si>
  <si>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</si>
  <si>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</si>
  <si>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</si>
  <si>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</si>
  <si>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</si>
  <si>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</si>
  <si>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</si>
  <si>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</si>
  <si>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</si>
  <si>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</si>
  <si>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</si>
  <si>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</si>
  <si>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</si>
  <si>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</si>
  <si>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</si>
  <si>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</si>
  <si>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</si>
  <si>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</si>
  <si>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</si>
  <si>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</si>
  <si>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</si>
  <si>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</si>
  <si>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</si>
  <si>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</si>
  <si>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</si>
  <si>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</si>
  <si>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</si>
  <si>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</si>
  <si>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</si>
  <si>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</si>
  <si>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</si>
  <si>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</si>
  <si>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</si>
  <si>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</si>
  <si>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</si>
  <si>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</si>
  <si>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</si>
  <si>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</si>
  <si>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</si>
  <si>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</si>
  <si>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</si>
  <si>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</si>
  <si>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</si>
  <si>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</si>
  <si>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</si>
  <si>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</si>
  <si>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</si>
  <si>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</si>
  <si>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</si>
  <si>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</si>
  <si>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</si>
  <si>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</si>
  <si>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</si>
  <si>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</si>
  <si>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</si>
  <si>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</si>
  <si>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</si>
  <si>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</si>
  <si>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</si>
  <si>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</si>
  <si>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</si>
  <si>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</si>
  <si>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</si>
  <si>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</si>
  <si>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</si>
  <si>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</si>
  <si>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</si>
  <si>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</si>
  <si>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</si>
  <si>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</si>
  <si>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</si>
  <si>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</si>
  <si>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</si>
  <si>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</si>
  <si>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</si>
  <si>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</si>
  <si>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</si>
  <si>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</si>
  <si>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</si>
  <si>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</si>
  <si>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</si>
  <si>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</si>
  <si>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</si>
  <si>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</si>
  <si>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</si>
  <si>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</si>
  <si>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</si>
  <si>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</si>
  <si>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</si>
  <si>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</si>
  <si>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</si>
  <si>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</si>
  <si>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</si>
  <si>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</si>
  <si>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</si>
  <si>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</si>
  <si>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</si>
  <si>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</si>
  <si>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</si>
  <si>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</si>
  <si>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</si>
  <si>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</si>
  <si>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</si>
  <si>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</si>
  <si>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</si>
  <si>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</si>
  <si>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</si>
  <si>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</si>
  <si>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</si>
  <si>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</si>
  <si>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</si>
  <si>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</si>
  <si>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</si>
  <si>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</si>
  <si>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</si>
  <si>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</si>
  <si>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</si>
  <si>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</si>
  <si>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</si>
  <si>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</si>
  <si>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</si>
  <si>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</si>
  <si>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</si>
  <si>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</si>
  <si>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</si>
  <si>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</si>
  <si>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</si>
  <si>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</si>
  <si>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</si>
  <si>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</si>
  <si>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</si>
  <si>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</si>
  <si>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</si>
  <si>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</si>
  <si>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</si>
  <si>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</si>
  <si>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</si>
  <si>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</si>
  <si>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</si>
  <si>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</si>
  <si>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</si>
  <si>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</si>
  <si>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</si>
  <si>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</si>
  <si>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</si>
  <si>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</si>
  <si>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</si>
  <si>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</si>
  <si>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</si>
  <si>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</si>
  <si>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</si>
  <si>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</si>
  <si>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</si>
  <si>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</si>
  <si>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</si>
  <si>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</si>
  <si>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</si>
  <si>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</si>
  <si>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</si>
  <si>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</si>
  <si>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</si>
  <si>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</si>
  <si>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</si>
  <si>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</si>
  <si>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</si>
  <si>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</si>
  <si>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</si>
  <si>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</si>
  <si>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</si>
  <si>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</si>
  <si>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</si>
  <si>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</si>
  <si>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</si>
  <si>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</si>
  <si>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</si>
  <si>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</si>
  <si>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</si>
  <si>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</si>
  <si>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</si>
  <si>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</si>
  <si>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</si>
  <si>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</si>
  <si>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</si>
  <si>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</si>
  <si>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</si>
  <si>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</si>
  <si>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</si>
  <si>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</si>
  <si>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</si>
  <si>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</si>
  <si>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</si>
  <si>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</si>
  <si>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</si>
  <si>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</si>
  <si>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</si>
  <si>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</si>
  <si>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</si>
  <si>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</si>
  <si>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</si>
  <si>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</si>
  <si>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</si>
  <si>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</si>
  <si>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</si>
  <si>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</si>
  <si>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</si>
  <si>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</si>
  <si>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</si>
  <si>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</si>
  <si>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</si>
  <si>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</si>
  <si>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</si>
  <si>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</si>
  <si>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</si>
  <si>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</si>
  <si>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</si>
  <si>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</si>
  <si>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</si>
  <si>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</si>
  <si>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</si>
  <si>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</si>
  <si>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</si>
  <si>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</si>
  <si>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</si>
  <si>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</si>
  <si>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</si>
  <si>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</si>
  <si>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</si>
  <si>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</si>
  <si>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</si>
  <si>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</si>
  <si>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</si>
  <si>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</si>
  <si>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</si>
  <si>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</si>
  <si>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</si>
  <si>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</si>
  <si>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</si>
  <si>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</si>
  <si>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</si>
  <si>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</si>
  <si>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</si>
  <si>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</si>
  <si>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</si>
  <si>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</si>
  <si>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</si>
  <si>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</si>
  <si>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</si>
  <si>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</si>
  <si>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</si>
  <si>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</si>
  <si>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</si>
  <si>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</si>
  <si>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</si>
  <si>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</si>
  <si>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</si>
  <si>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</si>
  <si>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</si>
  <si>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</si>
  <si>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</si>
  <si>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</si>
  <si>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</si>
  <si>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</si>
  <si>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</si>
  <si>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</si>
  <si>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</si>
  <si>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</si>
  <si>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</si>
  <si>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</si>
  <si>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</si>
  <si>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</si>
  <si>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</si>
  <si>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</si>
  <si>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</si>
  <si>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</si>
  <si>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</si>
  <si>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</si>
  <si>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</si>
  <si>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</si>
  <si>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</si>
  <si>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</si>
  <si>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</si>
  <si>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</si>
  <si>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</si>
  <si>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</si>
  <si>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</si>
  <si>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</si>
  <si>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</si>
  <si>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</si>
  <si>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</si>
  <si>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</si>
  <si>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</si>
  <si>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</si>
  <si>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</si>
  <si>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</si>
  <si>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</si>
  <si>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</si>
  <si>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</si>
  <si>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</si>
  <si>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</si>
  <si>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</si>
  <si>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</si>
  <si>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</si>
  <si>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</si>
  <si>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</si>
  <si>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</si>
  <si>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</si>
  <si>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</si>
  <si>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</si>
  <si>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</si>
  <si>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</si>
  <si>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</si>
  <si>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</si>
  <si>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</si>
  <si>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</si>
  <si>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</si>
  <si>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</si>
  <si>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</si>
  <si>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</si>
  <si>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</si>
  <si>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</si>
  <si>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</si>
  <si>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</si>
  <si>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</si>
  <si>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</si>
  <si>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</si>
  <si>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</si>
  <si>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</si>
  <si>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</si>
  <si>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</si>
  <si>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</si>
  <si>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</si>
  <si>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</si>
  <si>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</si>
  <si>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</si>
  <si>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</si>
  <si>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</si>
  <si>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</si>
  <si>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</si>
  <si>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</si>
  <si>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</si>
  <si>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</si>
  <si>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</si>
  <si>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</si>
  <si>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</si>
  <si>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</si>
  <si>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</si>
  <si>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</si>
  <si>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</si>
  <si>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</si>
  <si>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</si>
  <si>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</si>
  <si>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</si>
  <si>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</si>
  <si>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</si>
  <si>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</si>
  <si>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</si>
  <si>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</si>
  <si>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</si>
  <si>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</si>
  <si>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</si>
  <si>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</si>
  <si>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</si>
  <si>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</si>
  <si>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</si>
  <si>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</si>
  <si>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</si>
  <si>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</si>
  <si>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</si>
  <si>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</si>
  <si>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</si>
  <si>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</si>
  <si>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</si>
  <si>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</si>
  <si>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</si>
  <si>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</si>
  <si>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</si>
  <si>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</si>
  <si>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</si>
  <si>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</si>
  <si>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</si>
  <si>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</si>
  <si>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</si>
  <si>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</si>
  <si>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</si>
  <si>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</si>
  <si>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</si>
  <si>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</si>
  <si>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</si>
  <si>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</si>
  <si>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</si>
  <si>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</si>
  <si>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</si>
  <si>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</si>
  <si>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</si>
  <si>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</si>
  <si>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</si>
  <si>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</si>
  <si>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</si>
  <si>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</si>
  <si>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</si>
  <si>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</si>
  <si>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</si>
  <si>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</si>
  <si>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</si>
  <si>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</si>
  <si>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</si>
  <si>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</si>
  <si>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</si>
  <si>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</si>
  <si>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</si>
  <si>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</si>
  <si>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</si>
  <si>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</si>
  <si>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</si>
  <si>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</si>
  <si>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</si>
  <si>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</si>
  <si>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</si>
  <si>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</si>
  <si>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</si>
  <si>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</si>
  <si>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</si>
  <si>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</si>
  <si>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</si>
  <si>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</si>
  <si>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</si>
  <si>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</si>
  <si>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</si>
  <si>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</si>
  <si>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</si>
  <si>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</si>
  <si>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</si>
  <si>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</si>
  <si>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</si>
  <si>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</si>
  <si>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</si>
  <si>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</si>
  <si>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</si>
  <si>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</si>
  <si>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</si>
  <si>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</si>
  <si>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</si>
  <si>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</si>
  <si>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</si>
  <si>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</si>
  <si>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</si>
  <si>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</si>
  <si>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</si>
  <si>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</si>
  <si>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</si>
  <si>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</si>
  <si>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</si>
  <si>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</si>
  <si>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</si>
  <si>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</si>
  <si>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</si>
  <si>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</si>
  <si>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</si>
  <si>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</si>
  <si>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</si>
  <si>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</si>
  <si>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</si>
  <si>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</si>
  <si>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</si>
  <si>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</si>
  <si>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</si>
  <si>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</si>
  <si>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</si>
  <si>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</si>
  <si>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</si>
  <si>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</si>
  <si>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</si>
  <si>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</si>
  <si>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</si>
  <si>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</si>
  <si>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</si>
  <si>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</si>
  <si>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</si>
  <si>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</si>
  <si>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</si>
  <si>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</si>
  <si>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</si>
  <si>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</si>
  <si>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</si>
  <si>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</si>
  <si>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</si>
  <si>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</si>
  <si>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</si>
  <si>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</si>
  <si>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</si>
  <si>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</si>
  <si>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</si>
  <si>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</si>
  <si>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</si>
  <si>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</si>
  <si>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</si>
  <si>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</si>
  <si>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</si>
  <si>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</si>
  <si>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</si>
  <si>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</si>
  <si>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</si>
  <si>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</si>
  <si>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</si>
  <si>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</si>
  <si>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</si>
  <si>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</si>
  <si>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</si>
  <si>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</si>
  <si>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</si>
  <si>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</si>
  <si>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</si>
  <si>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</si>
  <si>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</si>
  <si>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</si>
  <si>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</si>
  <si>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</si>
  <si>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</si>
  <si>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</si>
  <si>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</si>
  <si>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</si>
  <si>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</si>
  <si>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</si>
  <si>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</si>
  <si>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</si>
  <si>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</si>
  <si>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</si>
  <si>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</si>
  <si>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</si>
  <si>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</si>
  <si>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</si>
  <si>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</si>
  <si>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</si>
  <si>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</si>
  <si>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</si>
  <si>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</si>
  <si>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</si>
  <si>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</si>
  <si>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</si>
  <si>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</si>
  <si>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</si>
  <si>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</si>
  <si>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</si>
  <si>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</si>
  <si>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</si>
  <si>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</si>
  <si>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</si>
  <si>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</si>
  <si>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</si>
  <si>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</si>
  <si>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</si>
  <si>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</si>
  <si>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</si>
  <si>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</si>
  <si>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</si>
  <si>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</si>
  <si>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</si>
  <si>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</si>
  <si>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</si>
  <si>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</si>
  <si>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</si>
  <si>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</si>
  <si>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</si>
  <si>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</si>
  <si>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</si>
  <si>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</si>
  <si>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</si>
  <si>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</si>
  <si>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</si>
  <si>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</si>
  <si>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</si>
  <si>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</si>
  <si>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</si>
  <si>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</si>
  <si>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</si>
  <si>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</si>
  <si>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</si>
  <si>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</si>
  <si>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</si>
  <si>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</si>
  <si>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</si>
  <si>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</si>
  <si>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</si>
  <si>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</si>
  <si>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</si>
  <si>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</si>
  <si>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</si>
  <si>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</si>
  <si>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</si>
  <si>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</si>
  <si>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</si>
  <si>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</si>
  <si>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</si>
  <si>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</si>
  <si>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</si>
  <si>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</si>
  <si>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</si>
  <si>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</si>
  <si>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</si>
  <si>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</si>
  <si>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</si>
  <si>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</si>
  <si>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</si>
  <si>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</si>
  <si>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</si>
  <si>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</si>
  <si>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</si>
  <si>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</si>
  <si>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</si>
  <si>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</si>
  <si>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</si>
  <si>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</si>
  <si>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</si>
  <si>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</si>
  <si>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</si>
  <si>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</si>
  <si>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</si>
  <si>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</si>
  <si>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</si>
  <si>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</si>
  <si>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</si>
  <si>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</si>
  <si>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</si>
  <si>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</si>
  <si>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</si>
  <si>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</si>
  <si>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</si>
  <si>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</si>
  <si>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</si>
  <si>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</si>
  <si>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</si>
  <si>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</si>
  <si>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</si>
  <si>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</si>
  <si>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</si>
  <si>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</si>
  <si>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</si>
  <si>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</si>
  <si>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</si>
  <si>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</si>
  <si>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</si>
  <si>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</si>
  <si>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</si>
  <si>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</si>
  <si>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</si>
  <si>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</si>
  <si>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</si>
  <si>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</si>
  <si>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</si>
  <si>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</si>
  <si>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</si>
  <si>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</si>
  <si>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</si>
  <si>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</si>
  <si>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</si>
  <si>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</si>
  <si>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</si>
  <si>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</si>
  <si>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</si>
  <si>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</si>
  <si>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</si>
  <si>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</si>
  <si>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</si>
  <si>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</si>
  <si>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</si>
  <si>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</si>
  <si>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</si>
  <si>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</si>
  <si>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</si>
  <si>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</si>
  <si>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</si>
  <si>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</si>
  <si>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</si>
  <si>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</si>
  <si>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</si>
  <si>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</si>
  <si>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</si>
  <si>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</si>
  <si>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</si>
  <si>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</si>
  <si>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</si>
  <si>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</si>
  <si>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</si>
  <si>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</si>
  <si>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</si>
  <si>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</si>
  <si>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</si>
  <si>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</si>
  <si>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</si>
  <si>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</si>
  <si>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</si>
  <si>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</si>
  <si>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</si>
  <si>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</si>
  <si>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</si>
  <si>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</si>
  <si>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</si>
  <si>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</si>
  <si>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</si>
  <si>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</si>
  <si>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</si>
  <si>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</si>
  <si>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</si>
  <si>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</si>
  <si>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</si>
  <si>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</si>
  <si>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</si>
  <si>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</si>
  <si>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</si>
  <si>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</si>
  <si>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</si>
  <si>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</si>
  <si>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</si>
  <si>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</si>
  <si>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</si>
  <si>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</si>
  <si>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</si>
  <si>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</si>
  <si>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</si>
  <si>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</si>
  <si>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</si>
  <si>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</si>
  <si>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</si>
  <si>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</si>
  <si>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</si>
  <si>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</si>
  <si>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</si>
  <si>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</si>
  <si>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</si>
  <si>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</si>
  <si>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</si>
  <si>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</si>
  <si>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</si>
  <si>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</si>
  <si>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</si>
  <si>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</si>
  <si>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</si>
  <si>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</si>
  <si>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</si>
  <si>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</si>
  <si>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</si>
  <si>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</si>
  <si>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</si>
  <si>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</si>
  <si>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</si>
  <si>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</si>
  <si>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</si>
  <si>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</si>
  <si>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</si>
  <si>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</si>
  <si>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</si>
  <si>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</si>
  <si>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</si>
  <si>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</si>
  <si>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</si>
  <si>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</si>
  <si>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</si>
  <si>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</si>
  <si>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</si>
  <si>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</si>
  <si>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</si>
  <si>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</si>
  <si>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</si>
  <si>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</si>
  <si>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</si>
  <si>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</si>
  <si>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</si>
  <si>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</si>
  <si>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</si>
  <si>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</si>
  <si>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</si>
  <si>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</si>
  <si>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</si>
  <si>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</si>
  <si>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</si>
  <si>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</si>
  <si>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</si>
  <si>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</si>
  <si>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</si>
  <si>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</si>
  <si>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</si>
  <si>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</si>
  <si>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</si>
  <si>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</si>
  <si>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</si>
  <si>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</si>
  <si>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</si>
  <si>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</si>
  <si>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</si>
  <si>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</si>
  <si>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</si>
  <si>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</si>
  <si>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</si>
  <si>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</si>
  <si>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</si>
  <si>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</si>
  <si>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</si>
  <si>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</si>
  <si>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</si>
  <si>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</si>
  <si>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</si>
  <si>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</si>
  <si>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</si>
  <si>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</si>
  <si>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</si>
  <si>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</si>
  <si>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</si>
  <si>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</si>
  <si>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</si>
  <si>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</si>
  <si>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</si>
  <si>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</si>
  <si>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</si>
  <si>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</si>
  <si>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</si>
  <si>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</si>
  <si>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</si>
  <si>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</si>
  <si>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</si>
  <si>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</si>
  <si>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</si>
  <si>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</si>
  <si>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</si>
  <si>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</si>
  <si>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</si>
  <si>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</si>
  <si>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</si>
  <si>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</si>
  <si>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</si>
  <si>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</si>
  <si>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</si>
  <si>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</si>
  <si>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</si>
  <si>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</si>
  <si>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</si>
  <si>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</si>
  <si>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</si>
  <si>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</si>
  <si>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</si>
  <si>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</si>
  <si>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</si>
  <si>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</si>
  <si>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</si>
  <si>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</si>
  <si>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</si>
  <si>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</si>
  <si>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</si>
  <si>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</si>
  <si>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</si>
  <si>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</si>
  <si>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</si>
  <si>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</si>
  <si>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</si>
  <si>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</si>
  <si>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</si>
  <si>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</si>
  <si>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</si>
  <si>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</si>
  <si>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</si>
  <si>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</si>
  <si>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</si>
  <si>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</si>
  <si>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</si>
  <si>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</si>
  <si>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</si>
  <si>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</si>
  <si>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</si>
  <si>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</si>
  <si>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</si>
  <si>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</si>
  <si>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</si>
  <si>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</si>
  <si>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</si>
  <si>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</si>
  <si>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</si>
  <si>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</si>
  <si>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</si>
  <si>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</si>
  <si>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</si>
  <si>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</si>
  <si>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</si>
  <si>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</si>
  <si>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</si>
  <si>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</si>
  <si>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</si>
  <si>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</si>
  <si>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</si>
  <si>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</si>
  <si>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</si>
  <si>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</si>
  <si>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</si>
  <si>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</si>
  <si>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</si>
  <si>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</si>
  <si>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</si>
  <si>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</si>
  <si>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</si>
  <si>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</si>
  <si>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</si>
  <si>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</si>
  <si>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</si>
  <si>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</si>
  <si>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</si>
  <si>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</si>
  <si>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</si>
  <si>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</si>
  <si>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</si>
  <si>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</si>
  <si>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</si>
  <si>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</si>
  <si>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</si>
  <si>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</si>
  <si>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</si>
  <si>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</si>
  <si>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</si>
  <si>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</si>
  <si>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</si>
  <si>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</si>
  <si>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</si>
  <si>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</si>
  <si>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</si>
  <si>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</si>
  <si>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</si>
  <si>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</si>
  <si>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</si>
  <si>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</si>
  <si>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</si>
  <si>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</si>
  <si>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</si>
  <si>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</si>
  <si>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</si>
  <si>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</si>
  <si>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</si>
  <si>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</si>
  <si>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</si>
  <si>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</si>
  <si>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</si>
  <si>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</si>
  <si>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</si>
  <si>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</si>
  <si>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</si>
  <si>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</si>
  <si>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</si>
  <si>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</si>
  <si>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</si>
  <si>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</si>
  <si>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</si>
  <si>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</si>
  <si>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</si>
  <si>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</si>
  <si>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</si>
  <si>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</si>
  <si>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</si>
  <si>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</si>
  <si>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</si>
  <si>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</si>
  <si>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</si>
  <si>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</si>
  <si>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</si>
  <si>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</si>
  <si>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</si>
  <si>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</si>
  <si>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</si>
  <si>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</si>
  <si>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</si>
  <si>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</si>
  <si>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</si>
  <si>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</si>
  <si>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</si>
  <si>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</si>
  <si>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</si>
  <si>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</si>
  <si>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</si>
  <si>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</si>
  <si>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</si>
  <si>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</si>
  <si>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</si>
  <si>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</si>
  <si>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</si>
  <si>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</si>
  <si>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</si>
  <si>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</si>
  <si>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</si>
  <si>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</si>
  <si>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</si>
  <si>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</si>
  <si>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</si>
  <si>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</si>
  <si>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</si>
  <si>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</si>
  <si>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</si>
  <si>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</si>
  <si>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</si>
  <si>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</si>
  <si>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</si>
  <si>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</si>
  <si>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</si>
  <si>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</si>
  <si>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</si>
  <si>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</si>
  <si>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</si>
  <si>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</si>
  <si>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</si>
  <si>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</si>
  <si>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</si>
  <si>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</si>
  <si>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</si>
  <si>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</si>
  <si>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</si>
  <si>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</si>
  <si>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</si>
  <si>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</si>
  <si>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</si>
  <si>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</si>
  <si>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</si>
  <si>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</si>
  <si>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</si>
  <si>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</si>
  <si>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</si>
  <si>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</si>
  <si>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</si>
  <si>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</si>
  <si>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</si>
  <si>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</si>
  <si>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</si>
  <si>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</si>
  <si>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</si>
  <si>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</si>
  <si>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</si>
  <si>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</si>
  <si>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</si>
  <si>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</si>
  <si>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</si>
  <si>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</si>
  <si>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</si>
  <si>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</si>
  <si>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</si>
  <si>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</si>
  <si>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</si>
  <si>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</si>
  <si>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</si>
  <si>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</si>
  <si>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</si>
  <si>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</si>
  <si>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</si>
  <si>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</si>
  <si>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</si>
  <si>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</si>
  <si>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</si>
  <si>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</si>
  <si>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</si>
  <si>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</si>
  <si>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</si>
  <si>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</si>
  <si>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</si>
  <si>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</si>
  <si>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</si>
  <si>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</si>
  <si>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</si>
  <si>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</si>
  <si>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</si>
  <si>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</si>
  <si>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</si>
  <si>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</si>
  <si>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</si>
  <si>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</si>
  <si>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</si>
  <si>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</si>
  <si>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</si>
  <si>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</si>
  <si>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</si>
  <si>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</si>
  <si>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</si>
  <si>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</si>
  <si>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</si>
  <si>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</si>
  <si>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</si>
  <si>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</si>
  <si>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</si>
  <si>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</si>
  <si>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</si>
  <si>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</si>
  <si>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</si>
  <si>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</si>
  <si>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</si>
  <si>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</si>
  <si>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</si>
  <si>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</si>
  <si>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</si>
  <si>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</si>
  <si>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</si>
  <si>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</si>
  <si>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</si>
  <si>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</si>
  <si>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</si>
  <si>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</si>
  <si>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</si>
  <si>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</si>
  <si>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</si>
  <si>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</si>
  <si>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</si>
  <si>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</si>
  <si>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</si>
  <si>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</si>
  <si>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</si>
  <si>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</si>
  <si>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</si>
  <si>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</si>
  <si>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</si>
  <si>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</si>
  <si>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</si>
  <si>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</si>
  <si>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</si>
  <si>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</si>
  <si>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</si>
  <si>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</si>
  <si>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</si>
  <si>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</si>
  <si>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</si>
  <si>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</si>
  <si>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</si>
  <si>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</si>
  <si>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</si>
  <si>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</si>
  <si>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</si>
  <si>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</si>
  <si>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</si>
  <si>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</si>
  <si>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</si>
  <si>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</si>
  <si>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</si>
  <si>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</si>
  <si>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</si>
  <si>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</si>
  <si>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</si>
  <si>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</si>
  <si>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</si>
  <si>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</si>
  <si>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</si>
  <si>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</si>
  <si>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</si>
  <si>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</si>
  <si>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</si>
  <si>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</si>
  <si>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</si>
  <si>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</si>
  <si>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</si>
  <si>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</si>
  <si>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</si>
  <si>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</si>
  <si>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</si>
  <si>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</si>
  <si>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</si>
  <si>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</si>
  <si>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</si>
  <si>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</si>
  <si>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</si>
  <si>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</si>
  <si>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</si>
  <si>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</si>
  <si>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</si>
  <si>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</si>
  <si>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</si>
  <si>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</si>
  <si>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</si>
  <si>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</si>
  <si>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</si>
  <si>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</si>
  <si>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</si>
  <si>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</si>
  <si>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</si>
  <si>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</si>
  <si>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</si>
  <si>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</si>
  <si>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</si>
  <si>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</si>
  <si>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</si>
  <si>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</si>
  <si>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</si>
  <si>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</si>
  <si>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</si>
  <si>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</si>
  <si>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</si>
  <si>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</si>
  <si>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</si>
  <si>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</si>
  <si>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</si>
  <si>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</si>
  <si>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</si>
  <si>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</si>
  <si>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</si>
  <si>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</si>
  <si>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</si>
  <si>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</si>
  <si>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</si>
  <si>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</si>
  <si>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</si>
  <si>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</si>
  <si>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</si>
  <si>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</si>
  <si>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</si>
  <si>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</si>
  <si>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</si>
  <si>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</si>
  <si>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</si>
  <si>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</si>
  <si>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</si>
  <si>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</si>
  <si>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</si>
  <si>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</si>
  <si>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</si>
  <si>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</si>
  <si>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</si>
  <si>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</si>
  <si>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</si>
  <si>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</si>
  <si>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</si>
  <si>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</si>
  <si>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</si>
  <si>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</si>
  <si>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</si>
  <si>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</si>
  <si>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</si>
  <si>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</si>
  <si>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</si>
  <si>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</si>
  <si>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</si>
  <si>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</si>
  <si>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</si>
  <si>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</si>
  <si>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</si>
  <si>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</si>
  <si>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</si>
  <si>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</si>
  <si>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</si>
  <si>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</si>
  <si>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</si>
  <si>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</si>
  <si>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</si>
  <si>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</si>
  <si>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</si>
  <si>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</si>
  <si>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</si>
  <si>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</si>
  <si>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</si>
  <si>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</si>
  <si>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</si>
  <si>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</si>
  <si>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</si>
  <si>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</si>
  <si>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</si>
  <si>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</si>
  <si>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</si>
  <si>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</si>
  <si>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</si>
  <si>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</si>
  <si>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</si>
  <si>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</si>
  <si>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</si>
  <si>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</si>
  <si>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</si>
  <si>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</si>
  <si>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</si>
  <si>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</si>
  <si>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</si>
  <si>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</si>
  <si>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</si>
  <si>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</si>
  <si>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</si>
  <si>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</si>
  <si>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</si>
  <si>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</si>
  <si>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</si>
  <si>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</si>
  <si>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</si>
  <si>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</si>
  <si>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</si>
  <si>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</si>
  <si>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</si>
  <si>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</si>
  <si>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</si>
  <si>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</si>
  <si>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</si>
  <si>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</si>
  <si>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</si>
  <si>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</si>
  <si>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</si>
  <si>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</si>
  <si>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</si>
  <si>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</si>
  <si>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</si>
  <si>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</si>
  <si>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</si>
  <si>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</si>
  <si>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</si>
  <si>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</si>
  <si>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</si>
  <si>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</si>
  <si>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</si>
  <si>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</si>
  <si>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</si>
  <si>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</si>
  <si>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</si>
  <si>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</si>
  <si>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</si>
  <si>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</si>
  <si>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</si>
  <si>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</si>
  <si>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</si>
  <si>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</si>
  <si>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</si>
  <si>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</si>
  <si>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</si>
  <si>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</si>
  <si>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</si>
  <si>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</si>
  <si>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</si>
  <si>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</si>
  <si>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</si>
  <si>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</si>
  <si>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</si>
  <si>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</si>
  <si>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</si>
  <si>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</si>
  <si>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</si>
  <si>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</si>
  <si>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</si>
  <si>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</si>
  <si>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</si>
  <si>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</si>
  <si>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</si>
  <si>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</si>
  <si>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</si>
  <si>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</si>
  <si>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</si>
  <si>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</si>
  <si>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</si>
  <si>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</si>
  <si>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</si>
  <si>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</si>
  <si>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</si>
  <si>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</si>
  <si>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</si>
  <si>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</si>
  <si>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</si>
  <si>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</si>
  <si>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</si>
  <si>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</si>
  <si>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</si>
  <si>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</si>
  <si>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</si>
  <si>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</si>
  <si>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</si>
  <si>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</si>
  <si>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</si>
  <si>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</si>
  <si>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</si>
  <si>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</si>
  <si>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</si>
  <si>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</si>
  <si>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</si>
  <si>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</si>
  <si>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</si>
  <si>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</si>
  <si>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</si>
  <si>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</si>
  <si>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</si>
  <si>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</si>
  <si>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</si>
  <si>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</si>
  <si>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</si>
  <si>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</si>
  <si>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</si>
  <si>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</si>
  <si>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</si>
  <si>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</si>
  <si>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</si>
  <si>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</si>
  <si>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</si>
  <si>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</si>
  <si>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</si>
  <si>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</si>
  <si>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</si>
  <si>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</si>
  <si>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</si>
  <si>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</si>
  <si>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</si>
  <si>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</si>
  <si>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</si>
  <si>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</si>
  <si>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</si>
  <si>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</si>
  <si>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</si>
  <si>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</si>
  <si>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</si>
  <si>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</si>
  <si>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</si>
  <si>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</si>
  <si>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</si>
  <si>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</si>
  <si>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</si>
  <si>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</si>
  <si>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</si>
  <si>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</si>
  <si>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</si>
  <si>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</si>
  <si>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</si>
  <si>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</si>
  <si>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</si>
  <si>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</si>
  <si>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</si>
  <si>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</si>
  <si>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</si>
  <si>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</si>
  <si>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</si>
  <si>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</si>
  <si>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</si>
  <si>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</si>
  <si>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</si>
  <si>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</si>
  <si>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</si>
  <si>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</si>
  <si>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</si>
  <si>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</si>
  <si>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</si>
  <si>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</si>
  <si>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</si>
  <si>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</si>
  <si>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</si>
  <si>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</si>
  <si>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</si>
  <si>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</si>
  <si>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</si>
  <si>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</si>
  <si>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</si>
  <si>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</si>
  <si>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</si>
  <si>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</si>
  <si>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</si>
  <si>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</si>
  <si>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</si>
  <si>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</si>
  <si>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</si>
  <si>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</si>
  <si>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</si>
  <si>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</si>
  <si>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</si>
  <si>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</si>
  <si>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</si>
  <si>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</si>
  <si>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</si>
  <si>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</si>
  <si>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</si>
  <si>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</si>
  <si>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</si>
  <si>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</si>
  <si>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</si>
  <si>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</si>
  <si>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</si>
  <si>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</si>
  <si>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</si>
  <si>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</si>
  <si>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</si>
  <si>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</si>
  <si>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</si>
  <si>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</si>
  <si>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</si>
  <si>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</si>
  <si>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</si>
  <si>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</si>
  <si>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</si>
  <si>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</si>
  <si>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</si>
  <si>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</si>
  <si>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</si>
  <si>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</si>
  <si>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</si>
  <si>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</si>
  <si>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</si>
  <si>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</si>
  <si>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</si>
  <si>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</si>
  <si>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</si>
  <si>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</si>
  <si>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</si>
  <si>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</si>
  <si>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</si>
  <si>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</si>
  <si>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</si>
  <si>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</si>
  <si>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</si>
  <si>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</si>
  <si>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</si>
  <si>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</si>
  <si>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</si>
  <si>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</si>
  <si>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</si>
  <si>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</si>
  <si>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</si>
  <si>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</si>
  <si>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</si>
  <si>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</si>
  <si>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</si>
  <si>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</si>
  <si>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</si>
  <si>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</si>
  <si>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</si>
  <si>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</si>
  <si>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</si>
  <si>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</si>
  <si>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</si>
  <si>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</si>
  <si>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</si>
  <si>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</si>
  <si>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</si>
  <si>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</si>
  <si>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</si>
  <si>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</si>
  <si>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</si>
  <si>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</si>
  <si>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</si>
  <si>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</si>
  <si>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</si>
  <si>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</si>
  <si>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</si>
  <si>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</si>
  <si>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</si>
  <si>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</si>
  <si>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</si>
  <si>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</si>
  <si>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</si>
  <si>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</si>
  <si>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</si>
  <si>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</si>
  <si>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</si>
  <si>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</si>
  <si>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</si>
  <si>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</si>
  <si>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</si>
  <si>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</si>
  <si>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</si>
  <si>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</si>
  <si>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</si>
  <si>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</si>
  <si>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</si>
  <si>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</si>
  <si>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</si>
  <si>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</si>
  <si>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</si>
  <si>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</si>
  <si>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</si>
  <si>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</si>
  <si>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</si>
  <si>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</si>
  <si>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</si>
  <si>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</si>
  <si>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</si>
  <si>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</si>
  <si>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</si>
  <si>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</si>
  <si>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</si>
  <si>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</si>
  <si>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</si>
  <si>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</si>
  <si>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</si>
  <si>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</si>
  <si>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</si>
  <si>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</si>
  <si>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</si>
  <si>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</si>
  <si>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</si>
  <si>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</si>
  <si>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</si>
  <si>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</si>
  <si>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</si>
  <si>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</si>
  <si>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</si>
  <si>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</si>
  <si>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</si>
  <si>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</si>
  <si>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</si>
  <si>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</si>
  <si>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</si>
  <si>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</si>
  <si>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</si>
  <si>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</si>
  <si>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</si>
  <si>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</si>
  <si>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</si>
  <si>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</si>
  <si>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</si>
  <si>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</si>
  <si>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</si>
  <si>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</si>
  <si>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</si>
  <si>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</si>
  <si>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</si>
  <si>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</si>
  <si>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</si>
  <si>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</si>
  <si>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</si>
  <si>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</si>
  <si>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</si>
  <si>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</si>
  <si>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</si>
  <si>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</si>
  <si>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</si>
  <si>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</si>
  <si>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</si>
  <si>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</si>
  <si>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</si>
  <si>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</si>
  <si>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</si>
  <si>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</si>
  <si>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</si>
  <si>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</si>
  <si>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</si>
  <si>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</si>
  <si>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</si>
  <si>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</si>
  <si>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</si>
  <si>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</si>
  <si>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</si>
  <si>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</si>
  <si>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</si>
  <si>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</si>
  <si>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</si>
  <si>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</si>
  <si>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</si>
  <si>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</si>
  <si>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</si>
  <si>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</si>
  <si>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</si>
  <si>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</si>
  <si>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</si>
  <si>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</si>
  <si>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</si>
  <si>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</si>
  <si>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</si>
  <si>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</si>
  <si>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</si>
  <si>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</si>
  <si>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</si>
  <si>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</si>
  <si>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</si>
  <si>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</si>
  <si>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</si>
  <si>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</si>
  <si>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</si>
  <si>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</si>
  <si>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</si>
  <si>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</si>
  <si>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</si>
  <si>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</si>
  <si>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</si>
  <si>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</si>
  <si>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</si>
  <si>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</si>
  <si>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</si>
  <si>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</si>
  <si>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</si>
  <si>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</si>
  <si>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</si>
  <si>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</si>
  <si>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</si>
  <si>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</si>
  <si>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</si>
  <si>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</si>
  <si>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</si>
  <si>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</si>
  <si>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</si>
  <si>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</si>
  <si>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</si>
  <si>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</si>
  <si>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</si>
  <si>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</si>
  <si>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</si>
  <si>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</si>
  <si>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</si>
  <si>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</si>
  <si>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</si>
  <si>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</si>
  <si>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</si>
  <si>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</si>
  <si>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</si>
  <si>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</si>
  <si>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</si>
  <si>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</si>
  <si>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</si>
  <si>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</si>
  <si>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</si>
  <si>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</si>
  <si>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</si>
  <si>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</si>
  <si>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</si>
  <si>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</si>
  <si>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</si>
  <si>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</si>
  <si>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</si>
  <si>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</si>
  <si>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</si>
  <si>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</si>
  <si>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</si>
  <si>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</si>
  <si>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</si>
  <si>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</si>
  <si>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</si>
  <si>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</si>
  <si>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</si>
  <si>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</si>
  <si>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</si>
  <si>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</si>
  <si>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</si>
  <si>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</si>
  <si>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</si>
  <si>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</si>
  <si>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</si>
  <si>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</si>
  <si>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</si>
  <si>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</si>
  <si>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</si>
  <si>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</si>
  <si>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</si>
  <si>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</si>
  <si>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</si>
  <si>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</si>
  <si>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</si>
  <si>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</si>
  <si>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</si>
  <si>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</si>
  <si>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</si>
  <si>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</si>
  <si>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</si>
  <si>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</si>
  <si>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</si>
  <si>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</si>
  <si>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</si>
  <si>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</si>
  <si>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</si>
  <si>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</si>
  <si>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</si>
  <si>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</si>
  <si>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</si>
  <si>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</si>
  <si>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</si>
  <si>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</si>
  <si>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</si>
  <si>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</si>
  <si>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</si>
  <si>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</si>
  <si>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</si>
  <si>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</si>
  <si>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</si>
  <si>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</si>
  <si>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</si>
  <si>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</si>
  <si>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</si>
  <si>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</si>
  <si>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</si>
  <si>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</si>
  <si>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</si>
  <si>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</si>
  <si>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</si>
  <si>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</si>
  <si>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</si>
  <si>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</si>
  <si>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</si>
  <si>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</si>
  <si>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</si>
  <si>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</si>
  <si>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</si>
  <si>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</si>
  <si>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</si>
  <si>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</si>
  <si>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</si>
  <si>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</si>
  <si>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</si>
  <si>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</si>
  <si>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</si>
  <si>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</si>
  <si>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</si>
  <si>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</si>
  <si>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</si>
  <si>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</si>
  <si>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</si>
  <si>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</si>
  <si>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</si>
  <si>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</si>
  <si>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</si>
  <si>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</si>
  <si>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</si>
  <si>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</si>
  <si>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</si>
  <si>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</si>
  <si>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</si>
  <si>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</si>
  <si>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</si>
  <si>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</si>
  <si>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</si>
  <si>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</si>
  <si>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</si>
  <si>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</si>
  <si>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</si>
  <si>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</si>
  <si>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</si>
  <si>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</si>
  <si>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</si>
  <si>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</si>
  <si>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</si>
  <si>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</si>
  <si>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</si>
  <si>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</si>
  <si>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</si>
  <si>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</si>
  <si>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</si>
  <si>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</si>
  <si>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</si>
  <si>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</si>
  <si>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</si>
  <si>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</si>
  <si>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</si>
  <si>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</si>
  <si>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</si>
  <si>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</si>
  <si>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</si>
  <si>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</si>
  <si>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</si>
  <si>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</si>
  <si>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</si>
  <si>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</si>
  <si>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</si>
  <si>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</si>
  <si>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</si>
  <si>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</si>
  <si>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</si>
  <si>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</si>
  <si>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</si>
  <si>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</si>
  <si>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</si>
  <si>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</si>
  <si>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</si>
  <si>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</si>
  <si>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</si>
  <si>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</si>
  <si>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</si>
  <si>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</si>
  <si>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</si>
  <si>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</si>
  <si>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</si>
  <si>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</si>
  <si>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</si>
  <si>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</si>
  <si>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</si>
  <si>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</si>
  <si>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</si>
  <si>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</si>
  <si>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</si>
  <si>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</si>
  <si>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</si>
  <si>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</si>
  <si>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</si>
  <si>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</si>
  <si>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</si>
  <si>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</si>
  <si>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</si>
  <si>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</si>
  <si>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</si>
  <si>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</si>
  <si>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</si>
  <si>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</si>
  <si>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</si>
  <si>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</si>
  <si>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</si>
  <si>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</si>
  <si>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</si>
  <si>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</si>
  <si>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</si>
  <si>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</si>
  <si>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</si>
  <si>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</si>
  <si>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</si>
  <si>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</si>
  <si>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</si>
  <si>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</si>
  <si>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</si>
  <si>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</si>
  <si>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</si>
  <si>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</si>
  <si>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</si>
  <si>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</si>
  <si>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</si>
  <si>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</si>
  <si>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</si>
  <si>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</si>
  <si>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</si>
  <si>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</si>
  <si>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</si>
  <si>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</si>
  <si>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</si>
  <si>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</si>
  <si>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</si>
  <si>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</si>
  <si>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</si>
  <si>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</si>
  <si>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</si>
  <si>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</si>
  <si>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</si>
  <si>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</si>
  <si>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</si>
  <si>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</si>
  <si>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</si>
  <si>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</si>
  <si>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</si>
  <si>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</si>
  <si>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</si>
  <si>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</si>
  <si>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</si>
  <si>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</si>
  <si>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</si>
  <si>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</si>
  <si>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</si>
  <si>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</si>
  <si>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</si>
  <si>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</si>
  <si>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</si>
  <si>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</si>
  <si>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</si>
  <si>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</si>
  <si>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</si>
  <si>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</si>
  <si>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</si>
  <si>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</si>
  <si>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</si>
  <si>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</si>
  <si>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</si>
  <si>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</si>
  <si>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</si>
  <si>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</si>
  <si>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</si>
  <si>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</si>
  <si>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</si>
  <si>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</si>
  <si>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</si>
  <si>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</si>
  <si>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</si>
  <si>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</si>
  <si>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</si>
  <si>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</si>
  <si>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</si>
  <si>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</si>
  <si>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</si>
  <si>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</si>
  <si>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</si>
  <si>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</si>
  <si>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</si>
  <si>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</si>
  <si>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</si>
  <si>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</si>
  <si>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</si>
  <si>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</si>
  <si>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</si>
  <si>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</si>
  <si>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</si>
  <si>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</si>
  <si>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</si>
  <si>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</si>
  <si>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</si>
  <si>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</si>
  <si>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</si>
  <si>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</si>
  <si>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</si>
  <si>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</si>
  <si>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</si>
  <si>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</si>
  <si>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</si>
  <si>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</si>
  <si>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</si>
  <si>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</si>
  <si>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</si>
  <si>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</si>
  <si>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</si>
  <si>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</si>
  <si>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</si>
  <si>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</si>
  <si>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</si>
  <si>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</si>
  <si>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</si>
  <si>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</si>
  <si>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</si>
  <si>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</si>
  <si>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</si>
  <si>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</si>
  <si>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</si>
  <si>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</si>
  <si>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</si>
  <si>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</si>
  <si>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</si>
  <si>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</si>
  <si>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</si>
  <si>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</si>
  <si>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</si>
  <si>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</si>
  <si>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</si>
  <si>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</si>
  <si>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</si>
  <si>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</si>
  <si>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</si>
  <si>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</si>
  <si>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</si>
  <si>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</si>
  <si>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</si>
  <si>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</si>
  <si>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</si>
  <si>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</si>
  <si>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</si>
  <si>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</si>
  <si>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</si>
  <si>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</si>
  <si>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</si>
  <si>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</si>
  <si>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</si>
  <si>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</si>
  <si>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</si>
  <si>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</si>
  <si>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</si>
  <si>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</si>
  <si>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</si>
  <si>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</si>
  <si>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</si>
  <si>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</si>
  <si>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</si>
  <si>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</si>
  <si>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</si>
  <si>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</si>
  <si>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</si>
  <si>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</si>
  <si>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</si>
  <si>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</si>
  <si>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</si>
  <si>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</si>
  <si>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</si>
  <si>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</si>
  <si>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</si>
  <si>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</si>
  <si>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</si>
  <si>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</si>
  <si>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</si>
  <si>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</si>
  <si>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</si>
  <si>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</si>
  <si>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</si>
  <si>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</si>
  <si>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</si>
  <si>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</si>
  <si>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</si>
  <si>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</si>
  <si>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</si>
  <si>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</si>
  <si>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</si>
  <si>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</si>
  <si>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</si>
  <si>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</si>
  <si>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</si>
  <si>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</si>
  <si>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</si>
  <si>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</si>
  <si>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</si>
  <si>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</si>
  <si>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</si>
  <si>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</si>
  <si>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</si>
  <si>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</si>
  <si>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</si>
  <si>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</si>
  <si>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</si>
  <si>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</si>
  <si>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</si>
  <si>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</si>
  <si>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</si>
  <si>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</si>
  <si>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</si>
  <si>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</si>
  <si>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</si>
  <si>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</si>
  <si>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</si>
  <si>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</si>
  <si>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</si>
  <si>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</si>
  <si>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</si>
  <si>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</si>
  <si>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</si>
  <si>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</si>
  <si>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</si>
  <si>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</si>
  <si>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</si>
  <si>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</si>
  <si>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</si>
  <si>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</si>
  <si>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</si>
  <si>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</si>
  <si>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</si>
  <si>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</si>
  <si>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</si>
  <si>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</si>
  <si>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</si>
  <si>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</si>
  <si>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</si>
  <si>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</si>
  <si>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</si>
  <si>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</si>
  <si>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</si>
  <si>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</si>
  <si>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</si>
  <si>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</si>
  <si>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</si>
  <si>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</si>
  <si>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</si>
  <si>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</si>
  <si>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</si>
  <si>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</si>
  <si>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</si>
  <si>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</si>
  <si>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</si>
  <si>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</si>
  <si>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</si>
  <si>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</si>
  <si>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</si>
  <si>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</si>
  <si>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</si>
  <si>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</si>
  <si>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</si>
  <si>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</si>
  <si>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</si>
  <si>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</si>
  <si>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</si>
  <si>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</si>
  <si>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</si>
  <si>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</si>
  <si>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</si>
  <si>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</si>
  <si>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</si>
  <si>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</si>
  <si>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</si>
  <si>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</si>
  <si>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</si>
  <si>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</si>
  <si>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</si>
  <si>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</si>
  <si>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</si>
  <si>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</si>
  <si>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</si>
  <si>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</si>
  <si>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</si>
  <si>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</si>
  <si>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</si>
  <si>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</si>
  <si>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</si>
  <si>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</si>
  <si>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</si>
  <si>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</si>
  <si>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</si>
  <si>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</si>
  <si>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</si>
  <si>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</si>
  <si>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</si>
  <si>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</si>
  <si>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</si>
  <si>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</si>
  <si>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</si>
  <si>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</si>
  <si>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</si>
  <si>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</si>
  <si>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</si>
  <si>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</si>
  <si>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</si>
  <si>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</si>
  <si>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</si>
  <si>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</si>
  <si>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</si>
  <si>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</si>
  <si>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</si>
  <si>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</si>
  <si>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</si>
  <si>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</si>
  <si>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</si>
  <si>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</si>
  <si>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</si>
  <si>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</si>
  <si>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</si>
  <si>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</si>
  <si>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</si>
  <si>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</si>
  <si>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</si>
  <si>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</si>
  <si>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</si>
  <si>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</si>
  <si>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</si>
  <si>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</si>
  <si>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</si>
  <si>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</si>
  <si>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</si>
  <si>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</si>
  <si>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</si>
  <si>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</si>
  <si>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</si>
  <si>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</si>
  <si>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</si>
  <si>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</si>
  <si>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</si>
  <si>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</si>
  <si>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</si>
  <si>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</si>
  <si>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</si>
  <si>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</si>
  <si>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</si>
  <si>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</si>
  <si>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</si>
  <si>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</si>
  <si>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</si>
  <si>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</si>
  <si>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</si>
  <si>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</si>
  <si>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</si>
  <si>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</si>
  <si>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</si>
  <si>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</si>
  <si>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</si>
  <si>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</si>
  <si>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</si>
  <si>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</si>
  <si>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</si>
  <si>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</si>
  <si>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</si>
  <si>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</si>
  <si>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</si>
  <si>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</si>
  <si>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</si>
  <si>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</si>
  <si>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</si>
  <si>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</si>
  <si>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</si>
  <si>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</si>
  <si>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</si>
  <si>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</si>
  <si>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</si>
  <si>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</si>
  <si>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</si>
  <si>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</si>
  <si>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</si>
  <si>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</si>
  <si>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</si>
  <si>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</si>
  <si>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</si>
  <si>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</si>
  <si>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</si>
  <si>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</si>
  <si>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</si>
  <si>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</si>
  <si>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</si>
  <si>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</si>
  <si>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</si>
  <si>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</si>
  <si>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</si>
  <si>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</si>
  <si>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</si>
  <si>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</si>
  <si>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</si>
  <si>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</si>
  <si>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</si>
  <si>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</si>
  <si>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</si>
  <si>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</si>
  <si>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</si>
  <si>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</si>
  <si>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</si>
  <si>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</si>
  <si>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</si>
  <si>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</si>
  <si>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</si>
  <si>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</si>
  <si>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</si>
  <si>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</si>
  <si>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</si>
  <si>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</si>
  <si>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</si>
  <si>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</si>
  <si>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</si>
  <si>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</si>
  <si>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</si>
  <si>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</si>
  <si>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</si>
  <si>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</si>
  <si>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</si>
  <si>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</si>
  <si>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</si>
  <si>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</si>
  <si>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</si>
  <si>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</si>
  <si>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</si>
  <si>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</si>
  <si>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</si>
  <si>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</si>
  <si>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</si>
  <si>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</si>
  <si>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</si>
  <si>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</si>
  <si>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</si>
  <si>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</si>
  <si>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</si>
  <si>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</si>
  <si>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</si>
  <si>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</si>
  <si>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</si>
  <si>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</si>
  <si>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</si>
  <si>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</si>
  <si>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</si>
  <si>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</si>
  <si>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</si>
  <si>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</si>
  <si>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</si>
  <si>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</si>
  <si>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</si>
  <si>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</si>
  <si>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</si>
  <si>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</si>
  <si>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</si>
  <si>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</si>
  <si>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</si>
  <si>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</si>
  <si>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</si>
  <si>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</si>
  <si>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</si>
  <si>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</si>
  <si>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</si>
  <si>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</si>
  <si>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</si>
  <si>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</si>
  <si>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</si>
  <si>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</si>
  <si>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</si>
  <si>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</si>
  <si>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</si>
  <si>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</si>
  <si>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</si>
  <si>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</si>
  <si>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</si>
  <si>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</si>
  <si>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</si>
  <si>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</si>
  <si>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</si>
  <si>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</si>
  <si>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</si>
  <si>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</si>
  <si>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</si>
  <si>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</si>
  <si>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</si>
  <si>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</si>
  <si>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</si>
  <si>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</si>
  <si>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</si>
  <si>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</si>
  <si>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</si>
  <si>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</si>
  <si>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</si>
  <si>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</si>
  <si>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</si>
  <si>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</si>
  <si>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</si>
  <si>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</si>
  <si>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</si>
  <si>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</si>
  <si>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</si>
  <si>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</si>
  <si>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</si>
  <si>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</si>
  <si>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</si>
  <si>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</si>
  <si>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</si>
  <si>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</si>
  <si>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</si>
  <si>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</si>
  <si>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</si>
  <si>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</si>
  <si>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</si>
  <si>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</si>
  <si>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</si>
  <si>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</si>
  <si>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</si>
  <si>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</si>
  <si>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</si>
  <si>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</si>
  <si>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</si>
  <si>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</si>
  <si>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</si>
  <si>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</si>
  <si>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</si>
  <si>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</si>
  <si>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</si>
  <si>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</si>
  <si>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</si>
  <si>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</si>
  <si>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</si>
  <si>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</si>
  <si>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</si>
  <si>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</si>
  <si>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</si>
  <si>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</si>
  <si>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</si>
  <si>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</si>
  <si>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</si>
  <si>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</si>
  <si>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</si>
  <si>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</si>
  <si>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</si>
  <si>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</si>
  <si>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</si>
  <si>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</si>
  <si>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</si>
  <si>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</si>
  <si>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</si>
  <si>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</si>
  <si>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</si>
  <si>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</si>
  <si>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</si>
  <si>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</si>
  <si>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</si>
  <si>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</si>
  <si>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</si>
  <si>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</si>
  <si>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</si>
  <si>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</si>
  <si>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</si>
  <si>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</si>
  <si>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</si>
  <si>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</si>
  <si>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</si>
  <si>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</si>
  <si>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</si>
  <si>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</si>
  <si>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</si>
  <si>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</si>
  <si>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</si>
  <si>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</si>
  <si>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</si>
  <si>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</si>
  <si>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</si>
  <si>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</si>
  <si>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</si>
  <si>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</si>
  <si>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</si>
  <si>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</si>
  <si>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</si>
  <si>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</si>
  <si>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</si>
  <si>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</si>
  <si>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</si>
  <si>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</si>
  <si>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</si>
  <si>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</si>
  <si>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</si>
  <si>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</si>
  <si>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</si>
  <si>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</si>
  <si>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</si>
  <si>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</si>
  <si>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</si>
  <si>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</si>
  <si>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</si>
  <si>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</si>
  <si>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</si>
  <si>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</si>
  <si>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</si>
  <si>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</si>
  <si>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</si>
  <si>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</si>
  <si>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</si>
  <si>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</si>
  <si>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</si>
  <si>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</si>
  <si>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</si>
  <si>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</si>
  <si>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</si>
  <si>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</si>
  <si>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</si>
  <si>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</si>
  <si>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</si>
  <si>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</si>
  <si>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</si>
  <si>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</si>
  <si>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</si>
  <si>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</si>
  <si>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</si>
  <si>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</si>
  <si>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</si>
  <si>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</si>
  <si>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</si>
  <si>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</si>
  <si>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</si>
  <si>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</si>
  <si>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</si>
  <si>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</si>
  <si>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</si>
  <si>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</si>
  <si>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</si>
  <si>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</si>
  <si>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</si>
  <si>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</si>
  <si>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</si>
  <si>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</si>
  <si>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</si>
  <si>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</si>
  <si>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</si>
  <si>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</si>
  <si>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</si>
  <si>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</si>
  <si>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</si>
  <si>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</si>
  <si>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</si>
  <si>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</si>
  <si>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</si>
  <si>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</si>
  <si>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</si>
  <si>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</si>
  <si>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</si>
  <si>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</si>
  <si>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</si>
  <si>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</si>
  <si>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</si>
  <si>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</si>
  <si>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</si>
  <si>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</si>
  <si>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</si>
  <si>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</si>
  <si>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</si>
  <si>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</si>
  <si>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</si>
  <si>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</si>
  <si>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</si>
  <si>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</si>
  <si>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</si>
  <si>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</si>
  <si>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</si>
  <si>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</si>
  <si>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</si>
  <si>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</si>
  <si>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</si>
  <si>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</si>
  <si>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</si>
  <si>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</si>
  <si>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</si>
  <si>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</si>
  <si>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</si>
  <si>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</si>
  <si>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</si>
  <si>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</si>
  <si>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</si>
  <si>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</si>
  <si>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</si>
  <si>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</si>
  <si>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</si>
  <si>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</si>
  <si>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</si>
  <si>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</si>
  <si>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</si>
  <si>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</si>
  <si>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</si>
  <si>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</si>
  <si>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</si>
  <si>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</si>
  <si>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</si>
  <si>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</si>
  <si>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</si>
  <si>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</si>
  <si>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</si>
  <si>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</si>
  <si>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</si>
  <si>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</si>
  <si>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</si>
  <si>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</si>
  <si>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</si>
  <si>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</si>
  <si>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</si>
  <si>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</si>
  <si>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</si>
  <si>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</si>
  <si>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</si>
  <si>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</si>
  <si>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</si>
  <si>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</si>
  <si>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</si>
  <si>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</si>
  <si>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</si>
  <si>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</si>
  <si>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</si>
  <si>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</si>
  <si>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</si>
  <si>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</si>
  <si>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</si>
  <si>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</si>
  <si>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</si>
  <si>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</si>
  <si>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</si>
  <si>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</si>
  <si>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</si>
  <si>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</si>
  <si>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</si>
  <si>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</si>
  <si>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</si>
  <si>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</si>
  <si>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</si>
  <si>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</si>
  <si>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</si>
  <si>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</si>
  <si>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</si>
  <si>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</si>
  <si>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</si>
  <si>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</si>
  <si>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</si>
  <si>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</si>
  <si>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</si>
  <si>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</si>
  <si>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</si>
  <si>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</si>
  <si>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</si>
  <si>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</si>
  <si>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</si>
  <si>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</si>
  <si>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</si>
  <si>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</si>
  <si>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</si>
  <si>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</si>
  <si>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</si>
  <si>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</si>
  <si>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</si>
  <si>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</si>
  <si>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</si>
  <si>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</si>
  <si>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</si>
  <si>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</si>
  <si>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</si>
  <si>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</si>
  <si>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</si>
  <si>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</si>
  <si>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</si>
  <si>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</si>
  <si>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</si>
  <si>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</si>
  <si>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</si>
  <si>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</si>
  <si>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</si>
  <si>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</si>
  <si>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</si>
  <si>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</si>
  <si>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</si>
  <si>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</si>
  <si>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</si>
  <si>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</si>
  <si>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</si>
  <si>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</si>
  <si>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</si>
  <si>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</si>
  <si>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</si>
  <si>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</si>
  <si>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</si>
  <si>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</si>
  <si>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</si>
  <si>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</si>
  <si>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</si>
  <si>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</si>
  <si>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</si>
  <si>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</si>
  <si>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</si>
  <si>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</si>
  <si>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</si>
  <si>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企业墅</t>
    <phoneticPr fontId="140" type="noConversion"/>
  </si>
  <si>
    <t>面积</t>
    <phoneticPr fontId="140" type="noConversion"/>
  </si>
  <si>
    <t>单价</t>
    <phoneticPr fontId="140" type="noConversion"/>
  </si>
  <si>
    <t>北京市</t>
  </si>
  <si>
    <t>企业</t>
  </si>
  <si>
    <t>出让</t>
  </si>
  <si>
    <t>是</t>
  </si>
  <si>
    <t>地上</t>
  </si>
  <si>
    <t>工业</t>
    <phoneticPr fontId="7" type="noConversion"/>
  </si>
  <si>
    <t>利息：取LPR加浮动点数</t>
  </si>
  <si>
    <t>成新度</t>
  </si>
  <si>
    <t>收益法</t>
  </si>
  <si>
    <t>押一</t>
  </si>
  <si>
    <t>按租金收入计税</t>
  </si>
  <si>
    <t>钢混</t>
  </si>
  <si>
    <t>非生产用房</t>
  </si>
  <si>
    <t>否</t>
  </si>
  <si>
    <t>售价</t>
  </si>
  <si>
    <t>正常</t>
    <phoneticPr fontId="32" type="noConversion"/>
  </si>
  <si>
    <t>比较法-工业</t>
  </si>
  <si>
    <t>总价</t>
  </si>
  <si>
    <t>崔锴</t>
  </si>
  <si>
    <t>郑燚</t>
  </si>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</sst>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98" fillId="0" borderId="0" xfId="0" applyFont="1">
      <alignment vertical="center"/>
    </xf>
    <xf numFmtId="177" fontId="79" fillId="0" borderId="1" xfId="1" applyNumberFormat="1" applyFont="1" applyFill="1" applyBorder="1" applyAlignment="1" applyProtection="1">
      <alignment vertical="center"/>
      <protection locked="0" hidden="1"/>
    </xf>
    <xf numFmtId="49" fontId="134" fillId="2" borderId="26"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23"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427201</xdr:colOff>
      <xdr:row>50</xdr:row>
      <xdr:rowOff>46548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400001" cy="8619048"/>
        </a:xfrm>
        <a:prstGeom prst="rect">
          <a:avLst/>
        </a:prstGeom>
      </xdr:spPr>
    </xdr:pic>
    <xdr:clientData/>
  </xdr:twoCellAnchor>
  <xdr:twoCellAnchor editAs="oneCell">
    <xdr:from>
      <xdr:col>0</xdr:col>
      <xdr:colOff>0</xdr:colOff>
      <xdr:row>50</xdr:row>
      <xdr:rowOff>0</xdr:rowOff>
    </xdr:from>
    <xdr:to>
      <xdr:col>16</xdr:col>
      <xdr:colOff>408153</xdr:colOff>
      <xdr:row>100</xdr:row>
      <xdr:rowOff>84643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572500"/>
          <a:ext cx="11380953" cy="8657143"/>
        </a:xfrm>
        <a:prstGeom prst="rect">
          <a:avLst/>
        </a:prstGeom>
      </xdr:spPr>
    </xdr:pic>
    <xdr:clientData/>
  </xdr:twoCellAnchor>
  <xdr:twoCellAnchor editAs="oneCell">
    <xdr:from>
      <xdr:col>0</xdr:col>
      <xdr:colOff>0</xdr:colOff>
      <xdr:row>101</xdr:row>
      <xdr:rowOff>0</xdr:rowOff>
    </xdr:from>
    <xdr:to>
      <xdr:col>17</xdr:col>
      <xdr:colOff>93782</xdr:colOff>
      <xdr:row>148</xdr:row>
      <xdr:rowOff>27565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7316450"/>
          <a:ext cx="11752382" cy="8085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 ca="1">'预评函-封皮'!B46</f>
        <v>崔锴（注册号：0)、郑燚（注册号：1120070131)</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估价对象为北京市房地产，为所有。根据《国有土地使用证》[]，估价对象（分摊）出让国有建设用地使用权面积为1736.72平方米，建筑面积为2656.2平方米。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估价对象为北京市房地产,属开发建设的，该项目尚在开发建设中。根据《国有土地使用证》[]，估价对象（分摊）出让国有建设用地使用权面积为1736.72平方米，规划建筑面积为2656.2平方米。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2022年5月24日</v>
      </c>
    </row>
    <row r="13" spans="1:2" s="1318" customFormat="1">
      <c r="A13" s="1316" t="s">
        <v>954</v>
      </c>
      <c r="B13" s="1317" t="str">
        <f>'预评函-1'!A18</f>
        <v>本次估价的“房地产价值”是指在正常市场情况下，在价值时点2022年5月24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本次评估采用的主估价方法为比较法和收益法。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4926</v>
      </c>
    </row>
    <row r="21" spans="1:2" s="1318" customFormat="1">
      <c r="A21" s="1316" t="s">
        <v>962</v>
      </c>
      <c r="B21" s="1317">
        <f ca="1">'预评函-2'!D7</f>
        <v>18545</v>
      </c>
    </row>
    <row r="22" spans="1:2" s="1318" customFormat="1">
      <c r="A22" s="1316" t="s">
        <v>963</v>
      </c>
      <c r="B22" s="1317" t="str">
        <f ca="1">'预评函-2'!D6</f>
        <v>肆仟玖佰贰拾陆万元整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4926</v>
      </c>
    </row>
    <row r="31" spans="1:2" s="1318" customFormat="1">
      <c r="A31" s="1316" t="s">
        <v>1001</v>
      </c>
      <c r="B31" s="1317">
        <f ca="1">'预评函-2'!D15</f>
        <v>18545</v>
      </c>
    </row>
    <row r="32" spans="1:2" s="1318" customFormat="1">
      <c r="A32" s="1316" t="s">
        <v>968</v>
      </c>
      <c r="B32" s="1317" t="str">
        <f ca="1">'预评函-2'!D14</f>
        <v>肆仟玖佰贰拾陆万元整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4.抵押净值</v>
      </c>
    </row>
    <row r="38" spans="1:2" s="1318" customFormat="1">
      <c r="A38" s="1316" t="s">
        <v>1022</v>
      </c>
      <c r="B38" s="1317">
        <f ca="1">'预评函-2'!D19</f>
        <v>2084</v>
      </c>
    </row>
    <row r="39" spans="1:2" s="1318" customFormat="1">
      <c r="A39" s="1316" t="s">
        <v>970</v>
      </c>
      <c r="B39" s="1317">
        <f ca="1">'预评函-2'!D21</f>
        <v>7846</v>
      </c>
    </row>
    <row r="40" spans="1:2" s="1318" customFormat="1">
      <c r="A40" s="1316" t="s">
        <v>971</v>
      </c>
      <c r="B40" s="1317" t="str">
        <f ca="1">'预评函-2'!D20</f>
        <v>贰仟零捌拾肆万元整</v>
      </c>
    </row>
    <row r="41" spans="1:2" s="1318" customFormat="1">
      <c r="A41" s="1316" t="s">
        <v>1017</v>
      </c>
      <c r="B41" s="1317" t="str">
        <f>'预评函-3'!A4</f>
        <v>北京市房地产</v>
      </c>
    </row>
    <row r="42" spans="1:2" s="1318" customFormat="1">
      <c r="A42" s="1316" t="s">
        <v>1015</v>
      </c>
      <c r="B42" s="1317" t="str">
        <f>'预评函-3'!B2</f>
        <v>建筑面积</v>
      </c>
    </row>
    <row r="43" spans="1:2" s="1318" customFormat="1">
      <c r="A43" s="1316" t="s">
        <v>1016</v>
      </c>
      <c r="B43" s="1317">
        <f>'预评函-3'!B4</f>
        <v>2656.2</v>
      </c>
    </row>
    <row r="44" spans="1:2" s="1318" customFormat="1">
      <c r="A44" s="1316" t="s">
        <v>1000</v>
      </c>
      <c r="B44" s="1317" t="str">
        <f>'预评函-3'!C2</f>
        <v>(分摊)土地面积</v>
      </c>
    </row>
    <row r="45" spans="1:2" s="1318" customFormat="1">
      <c r="A45" s="1316" t="s">
        <v>972</v>
      </c>
      <c r="B45" s="1317">
        <f>'预评函-3'!C4</f>
        <v>1736.72</v>
      </c>
    </row>
    <row r="46" spans="1:2" s="1318" customFormat="1">
      <c r="A46" s="1316" t="s">
        <v>998</v>
      </c>
      <c r="B46" s="1317" t="str">
        <f>'预评函-3'!D2</f>
        <v>出让国有建设用地使用权价值</v>
      </c>
    </row>
    <row r="47" spans="1:2" s="1318" customFormat="1">
      <c r="A47" s="1316" t="s">
        <v>973</v>
      </c>
      <c r="B47" s="1317">
        <f ca="1">'预评函-3'!D4</f>
        <v>3187</v>
      </c>
    </row>
    <row r="48" spans="1:2" s="1318" customFormat="1">
      <c r="A48" s="1316" t="s">
        <v>974</v>
      </c>
      <c r="B48" s="1317">
        <f ca="1">'预评函-3'!E4</f>
        <v>11998</v>
      </c>
    </row>
    <row r="49" spans="1:2" s="1318" customFormat="1">
      <c r="A49" s="1316" t="s">
        <v>975</v>
      </c>
      <c r="B49" s="1317" t="str">
        <f ca="1">'预评函-3'!D5</f>
        <v>叁仟壹佰捌拾柒万元整</v>
      </c>
    </row>
    <row r="50" spans="1:2" s="1318" customFormat="1">
      <c r="A50" s="1316" t="s">
        <v>999</v>
      </c>
      <c r="B50" s="1317" t="str">
        <f>'预评函-3'!F2</f>
        <v>在建建筑物价值</v>
      </c>
    </row>
    <row r="51" spans="1:2" s="1318" customFormat="1">
      <c r="A51" s="1316" t="s">
        <v>976</v>
      </c>
      <c r="B51" s="1317">
        <f ca="1">'预评函-3'!F4</f>
        <v>1739</v>
      </c>
    </row>
    <row r="52" spans="1:2" s="1318" customFormat="1">
      <c r="A52" s="1316" t="s">
        <v>977</v>
      </c>
      <c r="B52" s="1317">
        <f ca="1">'预评函-3'!G4</f>
        <v>6547</v>
      </c>
    </row>
    <row r="53" spans="1:2" s="1318" customFormat="1">
      <c r="A53" s="1316" t="s">
        <v>1005</v>
      </c>
      <c r="B53" s="1317" t="str">
        <f ca="1">'预评函-3'!F5</f>
        <v>壹仟柒佰叁拾玖万元整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抵押净值</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崔锴</v>
      </c>
    </row>
    <row r="71" spans="1:2">
      <c r="A71" s="1316" t="s">
        <v>988</v>
      </c>
      <c r="B71" s="1317">
        <f ca="1">'预评函-4'!B4</f>
        <v>0</v>
      </c>
    </row>
    <row r="72" spans="1:2">
      <c r="A72" s="1316" t="s">
        <v>989</v>
      </c>
      <c r="B72" s="1325" t="str">
        <f>'预评函-4'!A5</f>
        <v>郑燚</v>
      </c>
    </row>
    <row r="73" spans="1:2" s="1312" customFormat="1" ht="15" thickBot="1">
      <c r="A73" s="1319" t="s">
        <v>990</v>
      </c>
      <c r="B73" s="1320">
        <f ca="1">'预评函-4'!B5</f>
        <v>1120070131</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4" t="str">
        <f>项目基本情况!B1</f>
        <v>北京市房地产抵押价值预评估</v>
      </c>
      <c r="C37" s="3234"/>
      <c r="D37" s="3234"/>
      <c r="E37" s="3234"/>
      <c r="F37" s="3234"/>
      <c r="G37" s="3234"/>
      <c r="H37" s="3234"/>
      <c r="I37" s="3234"/>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崔锴（注册号：0)、郑燚（注册号：1120070131)</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18">
      <c r="A4" s="1616" t="str">
        <f>"受贵公司委托，我公司对"&amp;项目基本情况!S1&amp;"进行了预评估。"</f>
        <v>受贵公司委托，我公司对北京市房地产抵押价值进行了预评估。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估价对象为北京市房地产，为所有。根据《国有土地使用证》[]，估价对象（分摊）出让国有建设用地使用权面积为1736.72平方米，建筑面积为2656.2平方米。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估价对象为北京市房地产,属开发建设的，该项目尚在开发建设中。根据《国有土地使用证》[]，估价对象（分摊）出让国有建设用地使用权面积为1736.72平方米，规划建筑面积为2656.2平方米。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2022年5月24日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24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本次评估采用的主估价方法为比较法和收益法。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9"/>
      <c r="C2" s="3239"/>
      <c r="D2" s="3239"/>
      <c r="E2" s="3239"/>
    </row>
    <row r="3" spans="1:5" ht="18">
      <c r="A3" s="3240" t="str">
        <f>IF(项目基本情况!B9="房地产市场价值","估价结果一览表（市场价值不需“结果表-1”）","估价结果一览表")</f>
        <v>估价结果一览表</v>
      </c>
      <c r="B3" s="3240"/>
      <c r="C3" s="3240"/>
      <c r="D3" s="3240"/>
      <c r="E3" s="3240"/>
    </row>
    <row r="4" spans="1:5" ht="19.5" thickBot="1">
      <c r="A4" s="1629"/>
      <c r="B4" s="3238" t="s">
        <v>1354</v>
      </c>
      <c r="C4" s="3238"/>
      <c r="D4" s="3238"/>
      <c r="E4" s="1629"/>
    </row>
    <row r="5" spans="1:5" ht="16.5" thickTop="1">
      <c r="A5" s="1627"/>
      <c r="B5" s="3236" t="s">
        <v>1346</v>
      </c>
      <c r="C5" s="1630" t="s">
        <v>1347</v>
      </c>
      <c r="D5" s="940">
        <f ca="1">结果表!H101</f>
        <v>4926</v>
      </c>
      <c r="E5" s="1627"/>
    </row>
    <row r="6" spans="1:5" ht="15.75">
      <c r="A6" s="1627"/>
      <c r="B6" s="3236"/>
      <c r="C6" s="1630" t="s">
        <v>1348</v>
      </c>
      <c r="D6" s="940" t="str">
        <f ca="1">NUMBERSTRING(INT(D5*10000),2)&amp;"元整"</f>
        <v>肆仟玖佰贰拾陆万元整</v>
      </c>
      <c r="E6" s="1627"/>
    </row>
    <row r="7" spans="1:5" ht="15.75">
      <c r="A7" s="1627"/>
      <c r="B7" s="3241"/>
      <c r="C7" s="1631" t="s">
        <v>1349</v>
      </c>
      <c r="D7" s="941">
        <f ca="1">结果表!H102</f>
        <v>18545</v>
      </c>
      <c r="E7" s="1627"/>
    </row>
    <row r="8" spans="1:5" ht="15.75">
      <c r="A8" s="1627"/>
      <c r="B8" s="3242" t="str">
        <f>结果表!E103</f>
        <v>2.估价师知悉的法定优先受偿款</v>
      </c>
      <c r="C8" s="1632" t="s">
        <v>1350</v>
      </c>
      <c r="D8" s="941">
        <f>结果表!H103</f>
        <v>0</v>
      </c>
      <c r="E8" s="1627"/>
    </row>
    <row r="9" spans="1:5" ht="15.75">
      <c r="A9" s="1627"/>
      <c r="B9" s="3244"/>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35" t="str">
        <f>结果表!E107</f>
        <v>3.房地产抵押价值</v>
      </c>
      <c r="C13" s="1635" t="s">
        <v>1347</v>
      </c>
      <c r="D13" s="943">
        <f ca="1">结果表!H107</f>
        <v>4926</v>
      </c>
      <c r="E13" s="1627"/>
    </row>
    <row r="14" spans="1:5" ht="15.75">
      <c r="A14" s="1627"/>
      <c r="B14" s="3236"/>
      <c r="C14" s="1630" t="s">
        <v>1348</v>
      </c>
      <c r="D14" s="940" t="str">
        <f ca="1">NUMBERSTRING(INT(D13*10000),2)&amp;"元整"</f>
        <v>肆仟玖佰贰拾陆万元整</v>
      </c>
      <c r="E14" s="1627"/>
    </row>
    <row r="15" spans="1:5" ht="15">
      <c r="A15" s="1627"/>
      <c r="B15" s="3241"/>
      <c r="C15" s="1631" t="s">
        <v>1358</v>
      </c>
      <c r="D15" s="949">
        <f ca="1">结果表!H108</f>
        <v>18545</v>
      </c>
      <c r="E15" s="1627"/>
    </row>
    <row r="16" spans="1:5" ht="15">
      <c r="A16" s="1627"/>
      <c r="B16" s="3242" t="str">
        <f>结果表!E109</f>
        <v>——</v>
      </c>
      <c r="C16" s="1635" t="s">
        <v>1359</v>
      </c>
      <c r="D16" s="1636" t="str">
        <f>结果表!H109</f>
        <v>——</v>
      </c>
      <c r="E16" s="1627"/>
    </row>
    <row r="17" spans="1:5" ht="15.75">
      <c r="A17" s="1627"/>
      <c r="B17" s="3243"/>
      <c r="C17" s="1630" t="s">
        <v>1360</v>
      </c>
      <c r="D17" s="940" t="e">
        <f>NUMBERSTRING(INT(D16*10000),2)&amp;"元整"</f>
        <v>#VALUE!</v>
      </c>
      <c r="E17" s="1627"/>
    </row>
    <row r="18" spans="1:5" ht="15">
      <c r="A18" s="1627"/>
      <c r="B18" s="3244"/>
      <c r="C18" s="1631" t="s">
        <v>1349</v>
      </c>
      <c r="D18" s="949" t="str">
        <f>结果表!H110</f>
        <v>——</v>
      </c>
      <c r="E18" s="1627"/>
    </row>
    <row r="19" spans="1:5" ht="15.75">
      <c r="A19" s="1627"/>
      <c r="B19" s="3235" t="str">
        <f>结果表!E111</f>
        <v>4.抵押净值</v>
      </c>
      <c r="C19" s="1635" t="s">
        <v>1347</v>
      </c>
      <c r="D19" s="941">
        <f ca="1">结果表!H111</f>
        <v>2084</v>
      </c>
      <c r="E19" s="1627"/>
    </row>
    <row r="20" spans="1:5" ht="15.75">
      <c r="A20" s="1627"/>
      <c r="B20" s="3236"/>
      <c r="C20" s="1630" t="s">
        <v>1360</v>
      </c>
      <c r="D20" s="940" t="str">
        <f ca="1">NUMBERSTRING(INT(D19*10000),2)&amp;"元整"</f>
        <v>贰仟零捌拾肆万元整</v>
      </c>
      <c r="E20" s="1627"/>
    </row>
    <row r="21" spans="1:5" ht="15.75" thickBot="1">
      <c r="A21" s="1627"/>
      <c r="B21" s="3237"/>
      <c r="C21" s="1637" t="s">
        <v>1358</v>
      </c>
      <c r="D21" s="950">
        <f ca="1">结果表!H112</f>
        <v>7846</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45" t="str">
        <f>IF(项目基本情况!B9="房地产市场价值","估价结果一览表","结果表-2")</f>
        <v>结果表-2</v>
      </c>
      <c r="B1" s="3245"/>
      <c r="C1" s="3245"/>
      <c r="D1" s="3245"/>
      <c r="E1" s="3245"/>
      <c r="F1" s="3245"/>
      <c r="G1" s="3245"/>
      <c r="H1" s="3245"/>
      <c r="I1" s="3245"/>
    </row>
    <row r="2" spans="1:9" ht="30" customHeight="1" thickTop="1">
      <c r="A2" s="3246" t="s">
        <v>1365</v>
      </c>
      <c r="B2" s="3246" t="s">
        <v>1366</v>
      </c>
      <c r="C2" s="3246" t="s">
        <v>1367</v>
      </c>
      <c r="D2" s="3246" t="str">
        <f>结果表!D116</f>
        <v>出让国有建设用地使用权价值</v>
      </c>
      <c r="E2" s="3246"/>
      <c r="F2" s="3246" t="str">
        <f>结果表!F116</f>
        <v>在建建筑物价值</v>
      </c>
      <c r="G2" s="3246"/>
      <c r="H2" s="3246" t="str">
        <f>IF(项目基本情况!B9="房地产市场价值","房地产市场价值","房地产价值")</f>
        <v>房地产价值</v>
      </c>
      <c r="I2" s="3246"/>
    </row>
    <row r="3" spans="1:9" ht="15">
      <c r="A3" s="3247"/>
      <c r="B3" s="3247"/>
      <c r="C3" s="3247"/>
      <c r="D3" s="944" t="s">
        <v>1362</v>
      </c>
      <c r="E3" s="944" t="s">
        <v>1368</v>
      </c>
      <c r="F3" s="944" t="s">
        <v>1362</v>
      </c>
      <c r="G3" s="944" t="s">
        <v>1363</v>
      </c>
      <c r="H3" s="944" t="s">
        <v>1362</v>
      </c>
      <c r="I3" s="944" t="s">
        <v>1363</v>
      </c>
    </row>
    <row r="4" spans="1:9" ht="15">
      <c r="A4" s="1641" t="str">
        <f>项目基本情况!S2</f>
        <v>北京市房地产</v>
      </c>
      <c r="B4" s="944">
        <f>项目基本情况!C17</f>
        <v>2656.2</v>
      </c>
      <c r="C4" s="944">
        <f>项目基本情况!C18</f>
        <v>1736.72</v>
      </c>
      <c r="D4" s="944">
        <f ca="1">结果表!D118</f>
        <v>3187</v>
      </c>
      <c r="E4" s="944">
        <f ca="1">结果表!E118</f>
        <v>11998</v>
      </c>
      <c r="F4" s="944">
        <f ca="1">结果表!F118</f>
        <v>1739</v>
      </c>
      <c r="G4" s="944">
        <f ca="1">结果表!G118</f>
        <v>6547</v>
      </c>
      <c r="H4" s="944">
        <f ca="1">结果表!H118</f>
        <v>4926</v>
      </c>
      <c r="I4" s="944">
        <f ca="1">结果表!I118</f>
        <v>18545</v>
      </c>
    </row>
    <row r="5" spans="1:9" ht="30" customHeight="1">
      <c r="A5" s="3247" t="s">
        <v>1364</v>
      </c>
      <c r="B5" s="3247"/>
      <c r="C5" s="3247"/>
      <c r="D5" s="3248" t="str">
        <f ca="1">结果表!D119</f>
        <v>叁仟壹佰捌拾柒万元整</v>
      </c>
      <c r="E5" s="3248"/>
      <c r="F5" s="3248" t="str">
        <f ca="1">结果表!F119</f>
        <v>壹仟柒佰叁拾玖万元整</v>
      </c>
      <c r="G5" s="3248"/>
      <c r="H5" s="3248" t="str">
        <f ca="1">结果表!H119</f>
        <v>肆仟玖佰贰拾陆万元整</v>
      </c>
      <c r="I5" s="3248"/>
    </row>
    <row r="6" spans="1:9" ht="15.75">
      <c r="A6" s="3249" t="str">
        <f>结果表!A120</f>
        <v>估价师知悉的法定优先受偿款</v>
      </c>
      <c r="B6" s="3249"/>
      <c r="C6" s="3249"/>
      <c r="D6" s="3249">
        <f>结果表!D120</f>
        <v>0</v>
      </c>
      <c r="E6" s="3249"/>
      <c r="F6" s="3249"/>
      <c r="G6" s="3249"/>
      <c r="H6" s="3249"/>
      <c r="I6" s="3249"/>
    </row>
    <row r="7" spans="1:9" ht="15">
      <c r="A7" s="3247" t="s">
        <v>1364</v>
      </c>
      <c r="B7" s="3247"/>
      <c r="C7" s="3247"/>
      <c r="D7" s="3250" t="str">
        <f>结果表!D121</f>
        <v>零元整</v>
      </c>
      <c r="E7" s="3251"/>
      <c r="F7" s="3251"/>
      <c r="G7" s="3251"/>
      <c r="H7" s="3251"/>
      <c r="I7" s="3252"/>
    </row>
    <row r="8" spans="1:9" ht="15.75">
      <c r="A8" s="3249" t="str">
        <f>结果表!A122</f>
        <v>房地产抵押价值</v>
      </c>
      <c r="B8" s="3249"/>
      <c r="C8" s="3249"/>
      <c r="D8" s="3249">
        <f ca="1">结果表!D122</f>
        <v>4926</v>
      </c>
      <c r="E8" s="3249"/>
      <c r="F8" s="3249"/>
      <c r="G8" s="3249"/>
      <c r="H8" s="3249"/>
      <c r="I8" s="3249"/>
    </row>
    <row r="9" spans="1:9" ht="15">
      <c r="A9" s="3247" t="s">
        <v>1364</v>
      </c>
      <c r="B9" s="3247"/>
      <c r="C9" s="3247"/>
      <c r="D9" s="3248" t="str">
        <f ca="1">结果表!D123</f>
        <v>肆仟玖佰贰拾陆万元整</v>
      </c>
      <c r="E9" s="3248"/>
      <c r="F9" s="3248"/>
      <c r="G9" s="3248"/>
      <c r="H9" s="3248"/>
      <c r="I9" s="3248"/>
    </row>
    <row r="10" spans="1:9" ht="15.75">
      <c r="A10" s="3249" t="str">
        <f>结果表!A124</f>
        <v/>
      </c>
      <c r="B10" s="3249"/>
      <c r="C10" s="3249"/>
      <c r="D10" s="3249" t="str">
        <f>结果表!D124</f>
        <v>——</v>
      </c>
      <c r="E10" s="3249"/>
      <c r="F10" s="3249"/>
      <c r="G10" s="3249"/>
      <c r="H10" s="3249"/>
      <c r="I10" s="3249"/>
    </row>
    <row r="11" spans="1:9" ht="15">
      <c r="A11" s="3247" t="s">
        <v>1364</v>
      </c>
      <c r="B11" s="3247"/>
      <c r="C11" s="3247"/>
      <c r="D11" s="3248" t="e">
        <f>结果表!D125</f>
        <v>#VALUE!</v>
      </c>
      <c r="E11" s="3248"/>
      <c r="F11" s="3248"/>
      <c r="G11" s="3248"/>
      <c r="H11" s="3248"/>
      <c r="I11" s="3248"/>
    </row>
    <row r="12" spans="1:9" ht="15.75">
      <c r="A12" s="3249" t="str">
        <f>结果表!A126</f>
        <v>抵押净值</v>
      </c>
      <c r="B12" s="3249"/>
      <c r="C12" s="3249"/>
      <c r="D12" s="3249">
        <f ca="1">结果表!D126</f>
        <v>2084</v>
      </c>
      <c r="E12" s="3249"/>
      <c r="F12" s="3249"/>
      <c r="G12" s="3249"/>
      <c r="H12" s="3249"/>
      <c r="I12" s="3249"/>
    </row>
    <row r="13" spans="1:9" ht="15.75" thickBot="1">
      <c r="A13" s="3253" t="s">
        <v>1364</v>
      </c>
      <c r="B13" s="3253"/>
      <c r="C13" s="3253"/>
      <c r="D13" s="3254" t="str">
        <f ca="1">结果表!D127</f>
        <v>贰仟零捌拾肆万元整</v>
      </c>
      <c r="E13" s="3254"/>
      <c r="F13" s="3254"/>
      <c r="G13" s="3254"/>
      <c r="H13" s="3254"/>
      <c r="I13" s="3254"/>
    </row>
    <row r="14" spans="1:9" ht="15" thickTop="1">
      <c r="A14" s="3255" t="s">
        <v>1369</v>
      </c>
      <c r="B14" s="3255"/>
      <c r="C14" s="3255"/>
      <c r="D14" s="3255"/>
      <c r="E14" s="3255"/>
      <c r="F14" s="3255"/>
      <c r="G14" s="3255"/>
      <c r="H14" s="3255"/>
      <c r="I14" s="3255"/>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56" t="s">
        <v>1386</v>
      </c>
      <c r="B1" s="3256"/>
      <c r="C1" s="3256"/>
      <c r="D1" s="3256"/>
    </row>
    <row r="2" spans="1:4" ht="18">
      <c r="A2" s="3257" t="s">
        <v>1370</v>
      </c>
      <c r="B2" s="3257"/>
      <c r="C2" s="3257"/>
      <c r="D2" s="3257"/>
    </row>
    <row r="3" spans="1:4" ht="18.75">
      <c r="A3" s="1645" t="s">
        <v>1371</v>
      </c>
      <c r="B3" s="1645" t="s">
        <v>1372</v>
      </c>
      <c r="C3" s="1645" t="s">
        <v>1373</v>
      </c>
      <c r="D3" s="1645" t="s">
        <v>1374</v>
      </c>
    </row>
    <row r="4" spans="1:4" ht="56.25" customHeight="1">
      <c r="A4" s="1646" t="str">
        <f>项目基本情况!B4</f>
        <v>崔锴</v>
      </c>
      <c r="B4" s="1647">
        <f ca="1">项目基本情况!C4</f>
        <v>0</v>
      </c>
      <c r="C4" s="1648"/>
      <c r="D4" s="1649" t="s">
        <v>1375</v>
      </c>
    </row>
    <row r="5" spans="1:4" ht="56.25" customHeight="1">
      <c r="A5" s="1646" t="str">
        <f>项目基本情况!D4</f>
        <v>郑燚</v>
      </c>
      <c r="B5" s="1647">
        <f ca="1">项目基本情况!E4</f>
        <v>1120070131</v>
      </c>
      <c r="C5" s="1650"/>
      <c r="D5" s="1649" t="s">
        <v>1375</v>
      </c>
    </row>
    <row r="6" spans="1:4" ht="18">
      <c r="A6" s="3257" t="s">
        <v>1376</v>
      </c>
      <c r="B6" s="3257"/>
      <c r="C6" s="3257"/>
      <c r="D6" s="3257"/>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58" t="s">
        <v>1379</v>
      </c>
      <c r="B11" s="3259"/>
      <c r="C11" s="3259"/>
      <c r="D11" s="3259"/>
    </row>
    <row r="12" spans="1:4" ht="15.75">
      <c r="A12" s="32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0"/>
      <c r="C12" s="3260"/>
      <c r="D12" s="3260"/>
    </row>
    <row r="13" spans="1:4" ht="30" customHeight="1">
      <c r="A13" s="32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0"/>
      <c r="C13" s="3260"/>
      <c r="D13" s="3260"/>
    </row>
    <row r="14" spans="1:4" ht="15.75" customHeight="1">
      <c r="A14" s="3259" t="str">
        <f>IF(项目基本情况!B8="抵押","4.本次评估估价师所知悉的法定优先受偿款情况说明如下：","——")</f>
        <v>4.本次评估估价师所知悉的法定优先受偿款情况说明如下：</v>
      </c>
      <c r="B14" s="3260"/>
      <c r="C14" s="3260"/>
      <c r="D14" s="3260"/>
    </row>
    <row r="15" spans="1:4" ht="42" customHeight="1">
      <c r="A15" s="32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9"/>
      <c r="C15" s="3259"/>
      <c r="D15" s="3259"/>
    </row>
    <row r="16" spans="1:4" ht="30" customHeight="1">
      <c r="A16" s="3262" t="s">
        <v>1380</v>
      </c>
      <c r="B16" s="3262"/>
      <c r="C16" s="3262"/>
      <c r="D16" s="3262"/>
    </row>
    <row r="17" spans="1:4" ht="144" customHeight="1">
      <c r="A17" s="3262" t="s">
        <v>1381</v>
      </c>
      <c r="B17" s="3262"/>
      <c r="C17" s="3262"/>
      <c r="D17" s="3262"/>
    </row>
    <row r="18" spans="1:4" ht="15.75" customHeight="1">
      <c r="A18" s="3259" t="str">
        <f>IF(项目基本情况!B8="抵押",结果表!K120,"——")</f>
        <v>故，本次评估不存在估价师知悉的法定优先受偿款</v>
      </c>
      <c r="B18" s="3259"/>
      <c r="C18" s="3259"/>
      <c r="D18" s="3259"/>
    </row>
    <row r="19" spans="1:4" ht="46.5" customHeight="1">
      <c r="A19" s="32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9"/>
      <c r="C19" s="3259"/>
      <c r="D19" s="3259"/>
    </row>
    <row r="20" spans="1:4" ht="57.75" customHeight="1">
      <c r="A20" s="32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9"/>
      <c r="C20" s="3259"/>
      <c r="D20" s="3259"/>
    </row>
    <row r="21" spans="1:4" ht="57.75" customHeight="1">
      <c r="A21" s="326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3"/>
      <c r="C21" s="3263"/>
      <c r="D21" s="3263"/>
    </row>
    <row r="22" spans="1:4" ht="18.75" customHeight="1">
      <c r="A22" s="3264" t="s">
        <v>1382</v>
      </c>
      <c r="B22" s="3264"/>
      <c r="C22" s="3264"/>
      <c r="D22" s="3264"/>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61">
        <v>42551</v>
      </c>
      <c r="D31" s="326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70" t="s">
        <v>1393</v>
      </c>
      <c r="B15" s="3265" t="s">
        <v>136</v>
      </c>
      <c r="C15" s="3266"/>
    </row>
    <row r="16" spans="1:7" ht="13.5">
      <c r="A16" s="3271"/>
      <c r="B16" s="3265" t="s">
        <v>69</v>
      </c>
      <c r="C16" s="3266"/>
    </row>
    <row r="17" spans="1:3" ht="13.5">
      <c r="A17" s="3271"/>
      <c r="B17" s="3268" t="s">
        <v>1394</v>
      </c>
      <c r="C17" s="1668" t="s">
        <v>1393</v>
      </c>
    </row>
    <row r="18" spans="1:3" ht="13.5">
      <c r="A18" s="3271"/>
      <c r="B18" s="3268"/>
      <c r="C18" s="1668" t="s">
        <v>1395</v>
      </c>
    </row>
    <row r="19" spans="1:3" ht="13.5">
      <c r="A19" s="3271"/>
      <c r="B19" s="3268"/>
      <c r="C19" s="1668" t="s">
        <v>1396</v>
      </c>
    </row>
    <row r="20" spans="1:3" ht="13.5">
      <c r="A20" s="3272"/>
      <c r="B20" s="3267" t="s">
        <v>1397</v>
      </c>
      <c r="C20" s="3266"/>
    </row>
    <row r="21" spans="1:3" ht="13.5">
      <c r="A21" s="1669" t="s">
        <v>1398</v>
      </c>
      <c r="B21" s="1670"/>
      <c r="C21" s="1671"/>
    </row>
    <row r="22" spans="1:3" ht="13.5">
      <c r="A22" s="3269" t="s">
        <v>1399</v>
      </c>
      <c r="B22" s="3267" t="s">
        <v>1400</v>
      </c>
      <c r="C22" s="3266"/>
    </row>
    <row r="23" spans="1:3" ht="13.5">
      <c r="A23" s="3269"/>
      <c r="B23" s="3267" t="s">
        <v>1401</v>
      </c>
      <c r="C23" s="3266"/>
    </row>
    <row r="24" spans="1:3" ht="13.5">
      <c r="A24" s="3269"/>
      <c r="B24" s="3267" t="s">
        <v>1402</v>
      </c>
      <c r="C24" s="3266"/>
    </row>
    <row r="25" spans="1:3" ht="13.5">
      <c r="A25" s="3269"/>
      <c r="B25" s="3268" t="s">
        <v>1403</v>
      </c>
      <c r="C25" s="1668" t="s">
        <v>1404</v>
      </c>
    </row>
    <row r="26" spans="1:3" ht="13.5">
      <c r="A26" s="3269"/>
      <c r="B26" s="3268"/>
      <c r="C26" s="1668" t="s">
        <v>1405</v>
      </c>
    </row>
    <row r="27" spans="1:3" ht="13.5">
      <c r="A27" s="3269"/>
      <c r="B27" s="3268"/>
      <c r="C27" s="1668" t="s">
        <v>1406</v>
      </c>
    </row>
    <row r="28" spans="1:3" ht="13.5">
      <c r="A28" s="3269"/>
      <c r="B28" s="3268"/>
      <c r="C28" s="1668" t="s">
        <v>1407</v>
      </c>
    </row>
    <row r="29" spans="1:3" ht="13.5">
      <c r="A29" s="3269"/>
      <c r="B29" s="3268"/>
      <c r="C29" s="1668" t="s">
        <v>1408</v>
      </c>
    </row>
    <row r="30" spans="1:3" ht="13.5">
      <c r="A30" s="3269"/>
      <c r="B30" s="3268"/>
      <c r="C30" s="1668" t="s">
        <v>1409</v>
      </c>
    </row>
    <row r="31" spans="1:3" ht="13.5">
      <c r="A31" s="3269"/>
      <c r="B31" s="3268"/>
      <c r="C31" s="1668" t="s">
        <v>1410</v>
      </c>
    </row>
    <row r="32" spans="1:3" ht="13.5">
      <c r="A32" s="3269"/>
      <c r="B32" s="3268"/>
      <c r="C32" s="1668" t="s">
        <v>1411</v>
      </c>
    </row>
    <row r="33" spans="1:3" ht="13.5">
      <c r="A33" s="3269"/>
      <c r="B33" s="3268"/>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10" sqref="B10"/>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44705</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3" t="s">
        <v>2661</v>
      </c>
      <c r="B17" s="3273"/>
      <c r="C17" s="3273"/>
      <c r="D17" s="3273"/>
      <c r="E17" s="3273"/>
      <c r="F17" s="3273"/>
      <c r="G17" s="3273"/>
      <c r="H17" s="3273"/>
    </row>
    <row r="18" spans="1:8" ht="24" customHeight="1">
      <c r="A18" s="3274" t="s">
        <v>2662</v>
      </c>
      <c r="B18" s="3274"/>
      <c r="C18" s="3274"/>
      <c r="D18" s="2517"/>
      <c r="E18" s="3275" t="s">
        <v>2663</v>
      </c>
      <c r="F18" s="3274"/>
      <c r="G18" s="3274"/>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6"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6"/>
      <c r="B54" s="1690" t="s">
        <v>651</v>
      </c>
      <c r="C54" s="1687" t="s">
        <v>1008</v>
      </c>
    </row>
    <row r="55" spans="1:4">
      <c r="A55" s="3276"/>
      <c r="B55" s="1690" t="s">
        <v>652</v>
      </c>
      <c r="C55" s="1687" t="s">
        <v>1009</v>
      </c>
    </row>
    <row r="56" spans="1:4">
      <c r="A56" s="3276"/>
      <c r="B56" s="1690" t="s">
        <v>653</v>
      </c>
      <c r="C56" s="1687" t="s">
        <v>1013</v>
      </c>
    </row>
    <row r="57" spans="1:4">
      <c r="A57" s="3276"/>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277" t="str">
        <f>IF(B10="北京市","北京市",C10)&amp;F10&amp;IF(结果表!G1="在建","出让国有建设用地使用权及在建建筑物",IF(结果表!G1="土地","出让国有建设用地使用权",))&amp;B9&amp;"预评估"</f>
        <v>北京市房地产抵押价值预评估</v>
      </c>
      <c r="C1" s="3278"/>
      <c r="D1" s="3278"/>
      <c r="E1" s="3278"/>
      <c r="F1" s="3278"/>
      <c r="G1" s="3278"/>
      <c r="H1" s="3278"/>
      <c r="I1" s="3279"/>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2670</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2671</v>
      </c>
      <c r="B3" s="2547"/>
      <c r="C3" s="2548" t="s">
        <v>2672</v>
      </c>
      <c r="D3" s="2547">
        <v>44705</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t="s">
        <v>3198</v>
      </c>
      <c r="C4" s="2550">
        <f ca="1">SUMIF(注册房地产估价师,B4,估价师及机构信息!B3:B24)</f>
        <v>0</v>
      </c>
      <c r="D4" s="2549" t="s">
        <v>3199</v>
      </c>
      <c r="E4" s="2551">
        <f ca="1">SUMIF(注册房地产估价师,D4,估价师及机构信息!B3:B24)</f>
        <v>1120070131</v>
      </c>
      <c r="F4" s="2549"/>
      <c r="G4" s="2551">
        <f>SUMIF(注册房地产估价师,F4,估价师及机构信息!B3:B24)</f>
        <v>0</v>
      </c>
      <c r="H4" s="2549"/>
      <c r="I4" s="2551">
        <f>SUMIF(注册房地产估价师,H4,估价师及机构信息!B3:B24)</f>
        <v>0</v>
      </c>
      <c r="J4" s="2615"/>
      <c r="K4" s="2552" t="str">
        <f ca="1">CONCATENATE(B4,"（注册号：",C4,")、",D4,"（注册号：",E4,")")</f>
        <v>崔锴（注册号：0)、郑燚（注册号：1120070131)</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2676</v>
      </c>
      <c r="B7" s="2561"/>
      <c r="C7" s="2559"/>
      <c r="D7" s="2560"/>
      <c r="E7" s="2839"/>
      <c r="F7" s="2841"/>
      <c r="G7" s="2841"/>
      <c r="H7" s="2841"/>
      <c r="I7" s="2841"/>
      <c r="J7" s="2615"/>
      <c r="K7" s="2792"/>
      <c r="L7" s="2789"/>
      <c r="M7" s="2789"/>
      <c r="N7" s="2615"/>
      <c r="O7" s="2626"/>
      <c r="P7" s="2615"/>
      <c r="Q7" s="2615"/>
      <c r="R7" s="2615"/>
    </row>
    <row r="8" spans="1:28">
      <c r="A8" s="2562" t="s">
        <v>2677</v>
      </c>
      <c r="B8" s="2563" t="s">
        <v>3175</v>
      </c>
      <c r="C8" s="2564"/>
      <c r="D8" s="3280" t="s">
        <v>2678</v>
      </c>
      <c r="E8" s="2565" t="s">
        <v>3176</v>
      </c>
      <c r="F8" s="2566"/>
      <c r="G8" s="2840"/>
      <c r="H8" s="2840"/>
      <c r="I8" s="2840"/>
      <c r="J8" s="2615"/>
      <c r="K8" s="2790"/>
      <c r="L8" s="2789"/>
      <c r="M8" s="2789"/>
      <c r="N8" s="2615"/>
      <c r="O8" s="2626"/>
      <c r="P8" s="2615"/>
      <c r="Q8" s="2615"/>
      <c r="R8" s="2615"/>
    </row>
    <row r="9" spans="1:28" ht="13.5" thickBot="1">
      <c r="A9" s="2567" t="s">
        <v>2679</v>
      </c>
      <c r="B9" s="2568" t="s">
        <v>3176</v>
      </c>
      <c r="C9" s="2569"/>
      <c r="D9" s="3281"/>
      <c r="E9" s="2568" t="s">
        <v>1012</v>
      </c>
      <c r="F9" s="2570"/>
      <c r="G9" s="2842"/>
      <c r="H9" s="2842"/>
      <c r="I9" s="2842"/>
      <c r="J9" s="2615"/>
      <c r="K9" s="2792"/>
      <c r="L9" s="2789"/>
      <c r="M9" s="2789"/>
      <c r="N9" s="2615"/>
      <c r="O9" s="2626"/>
      <c r="P9" s="2615"/>
      <c r="Q9" s="2615"/>
      <c r="R9" s="2615"/>
    </row>
    <row r="10" spans="1:28" ht="13.5" thickTop="1">
      <c r="A10" s="2571" t="s">
        <v>2680</v>
      </c>
      <c r="B10" s="2572" t="s">
        <v>3180</v>
      </c>
      <c r="C10" s="2573"/>
      <c r="D10" s="2556"/>
      <c r="E10" s="2574" t="s">
        <v>2681</v>
      </c>
      <c r="F10" s="2843"/>
      <c r="G10" s="2844"/>
      <c r="H10" s="2845"/>
      <c r="I10" s="2846"/>
      <c r="J10" s="2615"/>
      <c r="K10" s="2792"/>
      <c r="L10" s="2789"/>
      <c r="M10" s="2789"/>
      <c r="N10" s="2615"/>
      <c r="O10" s="2626"/>
      <c r="P10" s="2615"/>
      <c r="Q10" s="2615"/>
      <c r="R10" s="2615"/>
    </row>
    <row r="11" spans="1:28">
      <c r="A11" s="2575" t="s">
        <v>2682</v>
      </c>
      <c r="B11" s="2576" t="s">
        <v>3181</v>
      </c>
      <c r="C11" s="2577"/>
      <c r="D11" s="2578"/>
      <c r="E11" s="2544"/>
      <c r="F11" s="2544"/>
      <c r="G11" s="2544"/>
      <c r="H11" s="2544"/>
      <c r="I11" s="2544"/>
      <c r="J11" s="2615"/>
      <c r="K11" s="2792"/>
      <c r="L11" s="2789"/>
      <c r="M11" s="2789"/>
      <c r="N11" s="2615"/>
      <c r="O11" s="2626"/>
      <c r="P11" s="2615"/>
      <c r="Q11" s="2615"/>
      <c r="R11" s="2615"/>
    </row>
    <row r="12" spans="1:28">
      <c r="A12" s="2579" t="s">
        <v>2683</v>
      </c>
      <c r="B12" s="2576" t="s">
        <v>3182</v>
      </c>
      <c r="C12" s="329" t="s">
        <v>2684</v>
      </c>
      <c r="D12" s="2580" t="s">
        <v>2685</v>
      </c>
      <c r="E12" s="2580" t="s">
        <v>2686</v>
      </c>
      <c r="F12" s="2580" t="s">
        <v>2687</v>
      </c>
      <c r="G12" s="2580" t="s">
        <v>2688</v>
      </c>
      <c r="H12" s="2580" t="s">
        <v>2689</v>
      </c>
      <c r="I12" s="2580" t="s">
        <v>2690</v>
      </c>
      <c r="J12" s="2615"/>
      <c r="K12" s="2792"/>
      <c r="L12" s="2789"/>
      <c r="M12" s="2789"/>
      <c r="N12" s="2615"/>
      <c r="O12" s="2626"/>
      <c r="P12" s="2615"/>
      <c r="Q12" s="2615"/>
      <c r="R12" s="2615"/>
    </row>
    <row r="13" spans="1:28">
      <c r="A13" s="1194"/>
      <c r="B13" s="2581"/>
      <c r="C13" s="2582" t="s">
        <v>2691</v>
      </c>
      <c r="D13" s="946"/>
      <c r="E13" s="946"/>
      <c r="F13" s="946"/>
      <c r="G13" s="946"/>
      <c r="H13" s="946"/>
      <c r="I13" s="946">
        <v>58640</v>
      </c>
      <c r="J13" s="2615"/>
      <c r="K13" s="2792"/>
      <c r="L13" s="2789"/>
      <c r="M13" s="2789"/>
      <c r="N13" s="2615"/>
      <c r="O13" s="2626"/>
      <c r="P13" s="2615"/>
      <c r="Q13" s="2615"/>
      <c r="R13" s="2615"/>
    </row>
    <row r="14" spans="1:28">
      <c r="A14" s="1194"/>
      <c r="B14" s="2581"/>
      <c r="C14" s="2582" t="s">
        <v>2692</v>
      </c>
      <c r="D14" s="2583"/>
      <c r="E14" s="2583"/>
      <c r="F14" s="2583"/>
      <c r="G14" s="2583"/>
      <c r="H14" s="2583"/>
      <c r="I14" s="2583">
        <v>50</v>
      </c>
      <c r="J14" s="2615"/>
      <c r="K14" s="2793"/>
      <c r="L14" s="2789"/>
      <c r="M14" s="2789"/>
      <c r="N14" s="2615"/>
      <c r="O14" s="2626"/>
      <c r="P14" s="2615"/>
      <c r="Q14" s="2615"/>
      <c r="R14" s="2615"/>
    </row>
    <row r="15" spans="1:28">
      <c r="A15" s="326"/>
      <c r="B15" s="2584"/>
      <c r="C15" s="2585" t="s">
        <v>2693</v>
      </c>
      <c r="D15" s="2586" t="str">
        <f>IF(B12="出让",IF(D13="","",ROUNDDOWN(MIN((D13-$D$3)/365,D14),2)),D14)</f>
        <v/>
      </c>
      <c r="E15" s="2586" t="str">
        <f>IF(B12="出让",IF(E13="","",ROUNDDOWN(MIN((E13-$D$3)/365,E14),2)),E14)</f>
        <v/>
      </c>
      <c r="F15" s="2586" t="str">
        <f>IF(B12="出让",IF(F13="","",ROUNDDOWN(MIN((F13-$D$3)/365,F14),2)),F14)</f>
        <v/>
      </c>
      <c r="G15" s="2586" t="str">
        <f>IF(B12="出让",IF(G13="","",ROUNDDOWN(MIN((G13-$D$3)/365,G14),2)),G14)</f>
        <v/>
      </c>
      <c r="H15" s="2586" t="str">
        <f>IF(B12="出让",IF(H13="","",ROUNDDOWN(MIN((H13-$D$3)/365,H14),2)),H14)</f>
        <v/>
      </c>
      <c r="I15" s="2586">
        <f>IF(B12="出让",IF(I13="","",ROUNDDOWN(MIN((I13-$D$3)/365,I14),2)),I14)</f>
        <v>38.17</v>
      </c>
      <c r="J15" s="2615"/>
      <c r="K15" s="2794"/>
      <c r="L15" s="2627"/>
      <c r="M15" s="2627"/>
      <c r="N15" s="2685"/>
      <c r="O15" s="2627"/>
      <c r="P15" s="2685"/>
      <c r="Q15" s="2615"/>
      <c r="R15" s="2615"/>
    </row>
    <row r="16" spans="1:28">
      <c r="A16" s="2574" t="s">
        <v>2694</v>
      </c>
      <c r="B16" s="3287"/>
      <c r="C16" s="3288"/>
      <c r="D16" s="3289"/>
      <c r="E16" s="2589" t="s">
        <v>2695</v>
      </c>
      <c r="F16" s="3290"/>
      <c r="G16" s="3291"/>
      <c r="H16" s="3291"/>
      <c r="I16" s="3292"/>
      <c r="J16" s="2615"/>
      <c r="K16" s="2794"/>
      <c r="L16" s="2627"/>
      <c r="M16" s="2627"/>
      <c r="N16" s="2685"/>
      <c r="O16" s="2627"/>
      <c r="P16" s="2685"/>
      <c r="Q16" s="2615"/>
      <c r="R16" s="2615"/>
    </row>
    <row r="17" spans="1:28">
      <c r="A17" s="319" t="s">
        <v>2696</v>
      </c>
      <c r="B17" s="308" t="s">
        <v>2697</v>
      </c>
      <c r="C17" s="11">
        <f>'数据-汇总表'!E3</f>
        <v>2656.2</v>
      </c>
      <c r="D17" s="2496" t="s">
        <v>2698</v>
      </c>
      <c r="E17" s="3293" t="s">
        <v>2699</v>
      </c>
      <c r="F17" s="3294"/>
      <c r="G17" s="3294"/>
      <c r="H17" s="3294"/>
      <c r="I17" s="3295"/>
      <c r="J17" s="2615"/>
      <c r="K17" s="2795"/>
      <c r="L17" s="2627"/>
      <c r="M17" s="2627"/>
      <c r="N17" s="2685"/>
      <c r="O17" s="2627"/>
      <c r="P17" s="2685"/>
      <c r="Q17" s="2615"/>
      <c r="R17" s="2615"/>
      <c r="S17" s="2615"/>
      <c r="T17" s="2615"/>
      <c r="U17" s="2615"/>
      <c r="V17" s="2615"/>
    </row>
    <row r="18" spans="1:28" ht="24.75" thickBot="1">
      <c r="A18" s="2590" t="s">
        <v>2700</v>
      </c>
      <c r="B18" s="1203" t="s">
        <v>2701</v>
      </c>
      <c r="C18" s="2591">
        <f>'数据-汇总表'!D3</f>
        <v>1736.72</v>
      </c>
      <c r="D18" s="1205" t="s">
        <v>2702</v>
      </c>
      <c r="E18" s="3296" t="s">
        <v>2703</v>
      </c>
      <c r="F18" s="3297"/>
      <c r="G18" s="3297"/>
      <c r="H18" s="3297"/>
      <c r="I18" s="3298"/>
      <c r="J18" s="2615"/>
      <c r="K18" s="2795"/>
      <c r="L18" s="2627"/>
      <c r="M18" s="2627"/>
      <c r="N18" s="2685"/>
      <c r="O18" s="2627"/>
      <c r="P18" s="2685"/>
      <c r="Q18" s="2615"/>
      <c r="R18" s="2615"/>
      <c r="S18" s="2615"/>
      <c r="T18" s="2615"/>
      <c r="U18" s="2615"/>
      <c r="V18" s="2615"/>
    </row>
    <row r="19" spans="1:28" ht="37.5" thickTop="1" thickBot="1">
      <c r="A19" s="333" t="s">
        <v>1500</v>
      </c>
      <c r="B19" s="313" t="s">
        <v>2704</v>
      </c>
      <c r="C19" s="1699"/>
      <c r="D19" s="1700" t="s">
        <v>2705</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2706</v>
      </c>
      <c r="B20" s="3283" t="s">
        <v>2707</v>
      </c>
      <c r="C20" s="3284"/>
      <c r="D20" s="3285" t="s">
        <v>2708</v>
      </c>
      <c r="E20" s="3286"/>
      <c r="F20" s="2824" t="s">
        <v>1501</v>
      </c>
      <c r="G20" s="2841"/>
      <c r="H20" s="2841"/>
      <c r="I20" s="2841"/>
      <c r="J20" s="2615"/>
      <c r="K20" s="3282"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2710</v>
      </c>
      <c r="C21" s="2811" t="s">
        <v>1502</v>
      </c>
      <c r="D21" s="1704" t="s">
        <v>2711</v>
      </c>
      <c r="E21" s="2812" t="s">
        <v>1502</v>
      </c>
      <c r="F21" s="2825"/>
      <c r="G21" s="2841"/>
      <c r="H21" s="2841"/>
      <c r="I21" s="2841"/>
      <c r="J21" s="2615"/>
      <c r="K21" s="3282"/>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2712</v>
      </c>
      <c r="C22" s="2811" t="s">
        <v>1503</v>
      </c>
      <c r="D22" s="2840"/>
      <c r="E22" s="2840"/>
      <c r="F22" s="2840"/>
      <c r="G22" s="2841"/>
      <c r="H22" s="2841"/>
      <c r="I22" s="2841"/>
      <c r="J22" s="2615"/>
      <c r="K22" s="3282"/>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2713</v>
      </c>
      <c r="B23" s="2678" t="s">
        <v>2714</v>
      </c>
      <c r="C23" s="2815"/>
      <c r="D23" s="2816" t="s">
        <v>2714</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300" t="s">
        <v>2715</v>
      </c>
      <c r="B27" s="326" t="s">
        <v>2716</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300"/>
      <c r="B28" s="308" t="s">
        <v>2717</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300"/>
      <c r="B29" s="308" t="s">
        <v>2718</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301"/>
      <c r="B30" s="308" t="s">
        <v>2719</v>
      </c>
      <c r="C30" s="3302"/>
      <c r="D30" s="3303"/>
      <c r="E30" s="2841"/>
      <c r="F30" s="2841"/>
      <c r="G30" s="2841"/>
      <c r="H30" s="2841"/>
      <c r="I30" s="2841"/>
      <c r="J30" s="2615"/>
      <c r="K30" s="2792"/>
      <c r="L30" s="2789"/>
      <c r="M30" s="2789"/>
      <c r="N30" s="2615"/>
      <c r="O30" s="2626"/>
      <c r="P30" s="2615"/>
      <c r="Q30" s="2615"/>
      <c r="R30" s="2615"/>
      <c r="S30" s="2615"/>
      <c r="T30" s="2615"/>
      <c r="U30" s="2615"/>
      <c r="V30" s="2615"/>
    </row>
    <row r="31" spans="1:28">
      <c r="A31" s="3304" t="s">
        <v>2720</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305"/>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305"/>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2721</v>
      </c>
      <c r="B34" s="2165"/>
      <c r="C34" s="2165"/>
      <c r="D34" s="2165"/>
      <c r="E34" s="2165"/>
      <c r="F34" s="2165"/>
      <c r="G34" s="2165"/>
      <c r="H34" s="2165"/>
      <c r="I34" s="2841"/>
      <c r="J34" s="2615"/>
      <c r="K34" s="2603">
        <f>COUNTIF(B34:H34,"——")</f>
        <v>0</v>
      </c>
      <c r="L34" s="329" t="s">
        <v>2722</v>
      </c>
      <c r="M34" s="329" t="s">
        <v>2723</v>
      </c>
      <c r="N34" s="329" t="s">
        <v>2724</v>
      </c>
      <c r="O34" s="329" t="s">
        <v>2725</v>
      </c>
      <c r="P34" s="329" t="s">
        <v>2726</v>
      </c>
      <c r="Q34" s="329" t="s">
        <v>2727</v>
      </c>
      <c r="R34" s="329" t="s">
        <v>2728</v>
      </c>
      <c r="S34" s="3299" t="s">
        <v>2729</v>
      </c>
      <c r="T34" s="2604" t="str">
        <f>NUMBERSTRING(7-K34,1)&amp;"通"</f>
        <v>七通</v>
      </c>
      <c r="U34" s="2615"/>
      <c r="V34" s="2615"/>
    </row>
    <row r="35" spans="1:30">
      <c r="A35" s="2605"/>
      <c r="B35" s="3306" t="s">
        <v>2730</v>
      </c>
      <c r="C35" s="3306"/>
      <c r="D35" s="3306"/>
      <c r="E35" s="3306"/>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99"/>
      <c r="T35" s="335" t="str">
        <f>IF(T34="一通",L35,IF(T34="二通",M35,IF(T34="三通",N35,IF(T34="四通",O35,IF(T34="五通",P35,IF(T34="六通",Q35,R35))))))</f>
        <v>、、、、、、</v>
      </c>
      <c r="U35" s="2615"/>
      <c r="V35" s="2615"/>
    </row>
    <row r="36" spans="1:30">
      <c r="A36" s="2606"/>
      <c r="B36" s="673" t="s">
        <v>2686</v>
      </c>
      <c r="C36" s="673" t="s">
        <v>2687</v>
      </c>
      <c r="D36" s="673" t="s">
        <v>2685</v>
      </c>
      <c r="E36" s="673" t="s">
        <v>2690</v>
      </c>
      <c r="F36" s="2847"/>
      <c r="G36" s="2841"/>
      <c r="H36" s="2841"/>
      <c r="I36" s="2841"/>
      <c r="J36" s="2615"/>
      <c r="K36" s="2792"/>
      <c r="L36" s="2789"/>
      <c r="M36" s="2789"/>
      <c r="N36" s="2615"/>
      <c r="O36" s="2626"/>
      <c r="P36" s="2615"/>
      <c r="Q36" s="2615"/>
      <c r="R36" s="2615"/>
      <c r="S36" s="2615"/>
      <c r="T36" s="2615"/>
      <c r="U36" s="2615"/>
      <c r="V36" s="2615"/>
    </row>
    <row r="37" spans="1:30">
      <c r="A37" s="2807" t="s">
        <v>2731</v>
      </c>
      <c r="B37" s="2607"/>
      <c r="C37" s="2607"/>
      <c r="D37" s="2607"/>
      <c r="E37" s="2607"/>
      <c r="F37" s="2847"/>
      <c r="G37" s="2841"/>
      <c r="H37" s="2841"/>
      <c r="I37" s="2841"/>
      <c r="J37" s="2615"/>
      <c r="K37" s="2792"/>
      <c r="L37" s="2789"/>
      <c r="M37" s="2789"/>
      <c r="N37" s="2615"/>
      <c r="O37" s="2626"/>
      <c r="P37" s="2615"/>
      <c r="Q37" s="2615"/>
      <c r="R37" s="2615"/>
      <c r="S37" s="2615"/>
      <c r="T37" s="2615"/>
      <c r="U37" s="2615"/>
      <c r="V37" s="2615"/>
    </row>
    <row r="38" spans="1:30" ht="13.5" thickBot="1">
      <c r="A38" s="2808" t="s">
        <v>2732</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2733</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2734</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2735</v>
      </c>
      <c r="B42" s="11" t="s">
        <v>2736</v>
      </c>
      <c r="C42" s="11" t="s">
        <v>2737</v>
      </c>
      <c r="D42" s="11" t="s">
        <v>2738</v>
      </c>
      <c r="E42" s="11" t="s">
        <v>2739</v>
      </c>
      <c r="F42" s="11" t="s">
        <v>2740</v>
      </c>
      <c r="G42" s="11" t="s">
        <v>2741</v>
      </c>
      <c r="H42" s="11" t="s">
        <v>2742</v>
      </c>
      <c r="I42" s="11" t="s">
        <v>2743</v>
      </c>
      <c r="J42" s="2803" t="s">
        <v>2744</v>
      </c>
      <c r="K42" s="2804" t="s">
        <v>2745</v>
      </c>
      <c r="L42" s="2804" t="s">
        <v>2746</v>
      </c>
      <c r="M42" s="2804" t="s">
        <v>2747</v>
      </c>
      <c r="N42" s="2797" t="s">
        <v>2748</v>
      </c>
      <c r="O42" s="2797" t="s">
        <v>2749</v>
      </c>
      <c r="P42" s="2797" t="s">
        <v>2750</v>
      </c>
      <c r="Q42" s="2798" t="s">
        <v>2751</v>
      </c>
      <c r="R42" s="2798" t="s">
        <v>2752</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6" sqref="J16"/>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v>1736.72</v>
      </c>
      <c r="B3" s="14">
        <f>IF(C3="否",G5-AT5,G5)</f>
        <v>2656.2</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2656.2</v>
      </c>
      <c r="H5" s="16">
        <f t="shared" ref="H5:AT5" si="0">SUM(H13:H656)</f>
        <v>2656.2</v>
      </c>
      <c r="I5" s="16">
        <f t="shared" si="0"/>
        <v>2656.2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2656.2</v>
      </c>
      <c r="BA5" s="18">
        <f t="shared" si="1"/>
        <v>2656.2</v>
      </c>
      <c r="BB5" s="18">
        <f t="shared" si="1"/>
        <v>2656.2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1736.72</v>
      </c>
      <c r="F6" s="16" t="s">
        <v>1</v>
      </c>
      <c r="G6" s="16" t="s">
        <v>2</v>
      </c>
      <c r="H6" s="20">
        <f>SUMIF(I$12:AB$12,"总值",I6:AB6)</f>
        <v>1736.72</v>
      </c>
      <c r="I6" s="16">
        <f t="shared" ref="I6:AB6" si="2">ROUND($A$3*I5/$B$3,2)</f>
        <v>1736.72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1736.72</v>
      </c>
      <c r="AZ6" s="16" t="s">
        <v>3</v>
      </c>
      <c r="BA6" s="16">
        <f>ROUND($AY$6*BA5/$AZ$5,2)</f>
        <v>1736.72</v>
      </c>
      <c r="BB6" s="16">
        <f>ROUND($AY$6*BB5/$AZ$5,2)</f>
        <v>1736.72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3184</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6</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工业</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3183</v>
      </c>
      <c r="E13" s="16">
        <f>IF($C$3="是",ROUND($A$3*G13/$B$3,2),ROUND($A$3*(G13-AT13)/$B$3,2))</f>
        <v>1736.72</v>
      </c>
      <c r="F13" s="32"/>
      <c r="G13" s="33">
        <f>H13+AC13+AT13</f>
        <v>2656.2</v>
      </c>
      <c r="H13" s="20">
        <f>SUMIF(I$12:AB$12,"总值",I13:AB13)</f>
        <v>2656.2</v>
      </c>
      <c r="I13" s="1762">
        <v>2656.2</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1736.72</v>
      </c>
      <c r="AZ13" s="16">
        <f>BA13+BL13</f>
        <v>2656.2</v>
      </c>
      <c r="BA13" s="16">
        <f>SUM(BB13:BK13)</f>
        <v>2656.2</v>
      </c>
      <c r="BB13" s="16">
        <f>IF($D13="是",I13-J13,0)</f>
        <v>2656.2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7" t="s">
        <v>0</v>
      </c>
      <c r="B1" s="3307" t="s">
        <v>4</v>
      </c>
      <c r="C1" s="3307" t="s">
        <v>5</v>
      </c>
      <c r="D1" s="3308" t="s">
        <v>53</v>
      </c>
      <c r="E1" s="3308" t="s">
        <v>54</v>
      </c>
      <c r="F1" s="3308"/>
      <c r="G1" s="3308"/>
      <c r="H1" s="3308"/>
      <c r="I1" s="3308"/>
      <c r="J1" s="3308"/>
      <c r="K1" s="3308"/>
      <c r="L1" s="3308"/>
      <c r="M1" s="3308"/>
    </row>
    <row r="2" spans="1:13" ht="27" customHeight="1">
      <c r="A2" s="3307"/>
      <c r="B2" s="3307"/>
      <c r="C2" s="3307"/>
      <c r="D2" s="3308"/>
      <c r="E2" s="3308" t="s">
        <v>37</v>
      </c>
      <c r="F2" s="3308" t="s">
        <v>38</v>
      </c>
      <c r="G2" s="3308"/>
      <c r="H2" s="3308"/>
      <c r="I2" s="3308"/>
      <c r="J2" s="3308" t="s">
        <v>39</v>
      </c>
      <c r="K2" s="3308"/>
      <c r="L2" s="3308"/>
      <c r="M2" s="3308"/>
    </row>
    <row r="3" spans="1:13" ht="28.5">
      <c r="A3" s="3307"/>
      <c r="B3" s="3307"/>
      <c r="C3" s="3307"/>
      <c r="D3" s="3308"/>
      <c r="E3" s="330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8" t="s">
        <v>55</v>
      </c>
      <c r="B9" s="3308"/>
      <c r="C9" s="330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18" t="s">
        <v>1576</v>
      </c>
      <c r="B2" s="3318"/>
      <c r="C2" s="3318"/>
      <c r="D2" s="885" t="s">
        <v>1552</v>
      </c>
      <c r="E2" s="1775" t="s">
        <v>1553</v>
      </c>
      <c r="F2" s="2836"/>
      <c r="G2" s="2827"/>
      <c r="H2" s="2828"/>
      <c r="I2" s="2499" t="s">
        <v>1577</v>
      </c>
      <c r="J2" s="2836"/>
      <c r="K2" s="2836"/>
      <c r="L2" s="2836"/>
      <c r="M2" s="2836"/>
      <c r="N2" s="2838"/>
      <c r="O2" s="2836"/>
      <c r="P2" s="2836"/>
    </row>
    <row r="3" spans="1:16" ht="15.75" thickBot="1">
      <c r="A3" s="3319" t="s">
        <v>1550</v>
      </c>
      <c r="B3" s="3319"/>
      <c r="C3" s="3319"/>
      <c r="D3" s="46">
        <f>'数据-基础表'!AY6</f>
        <v>1736.72</v>
      </c>
      <c r="E3" s="46">
        <f>'数据-基础表'!AZ5</f>
        <v>2656.2</v>
      </c>
      <c r="F3" s="2836"/>
      <c r="G3" s="1260"/>
      <c r="H3" s="1138" t="s">
        <v>1551</v>
      </c>
      <c r="I3" s="945">
        <f>ROUND('数据-基础表'!B3/'数据-基础表'!A3,2)</f>
        <v>1.53</v>
      </c>
      <c r="J3" s="2836"/>
      <c r="K3" s="2836"/>
      <c r="L3" s="2836"/>
      <c r="M3" s="2836"/>
      <c r="N3" s="2838"/>
      <c r="O3" s="2836"/>
      <c r="P3" s="2836"/>
    </row>
    <row r="4" spans="1:16" ht="15">
      <c r="A4" s="3320"/>
      <c r="B4" s="3321"/>
      <c r="C4" s="3322"/>
      <c r="D4" s="1777" t="s">
        <v>1552</v>
      </c>
      <c r="E4" s="1778" t="s">
        <v>1553</v>
      </c>
      <c r="F4" s="2836"/>
      <c r="G4" s="2829" t="s">
        <v>1578</v>
      </c>
      <c r="H4" s="1138" t="s">
        <v>1558</v>
      </c>
      <c r="I4" s="945">
        <f>ROUND(SUMIF('数据-基础表'!I9:AS9,"地上",'数据-基础表'!I5:AS5)/'数据-基础表'!A3,2)</f>
        <v>1.53</v>
      </c>
      <c r="J4" s="2836"/>
      <c r="K4" s="2836"/>
      <c r="L4" s="2836"/>
      <c r="M4" s="2836"/>
      <c r="N4" s="2838"/>
      <c r="O4" s="2836"/>
      <c r="P4" s="2836"/>
    </row>
    <row r="5" spans="1:16">
      <c r="A5" s="47" t="s">
        <v>1554</v>
      </c>
      <c r="B5" s="3323" t="s">
        <v>1555</v>
      </c>
      <c r="C5" s="3323"/>
      <c r="D5" s="48">
        <f>ROUND($D$3*E5/$E$3,2)</f>
        <v>0</v>
      </c>
      <c r="E5" s="49">
        <f>SUMIF('数据-基础表'!$11:$11,"住宅",'数据-基础表'!$5:$5)</f>
        <v>0</v>
      </c>
      <c r="F5" s="2836"/>
      <c r="G5" s="1260"/>
      <c r="H5" s="1138" t="s">
        <v>1551</v>
      </c>
      <c r="I5" s="945">
        <f>ROUND(E31/D31,2)</f>
        <v>1.53</v>
      </c>
      <c r="J5" s="2836"/>
      <c r="K5" s="2836"/>
      <c r="L5" s="2836"/>
      <c r="M5" s="2836"/>
      <c r="N5" s="2836"/>
      <c r="O5" s="2836"/>
      <c r="P5" s="2836"/>
    </row>
    <row r="6" spans="1:16" ht="15" thickBot="1">
      <c r="A6" s="1780"/>
      <c r="B6" s="3323" t="s">
        <v>1556</v>
      </c>
      <c r="C6" s="3323"/>
      <c r="D6" s="48">
        <f>ROUND($D$3*E6/$E$3,2)</f>
        <v>1736.72</v>
      </c>
      <c r="E6" s="49">
        <f>E3-E5</f>
        <v>2656.2</v>
      </c>
      <c r="F6" s="2836"/>
      <c r="G6" s="2830" t="s">
        <v>1557</v>
      </c>
      <c r="H6" s="1261" t="s">
        <v>1558</v>
      </c>
      <c r="I6" s="2831">
        <f>ROUND(F31/D31,2)</f>
        <v>1.53</v>
      </c>
      <c r="J6" s="2836"/>
      <c r="K6" s="2836"/>
      <c r="L6" s="2836"/>
      <c r="M6" s="2836"/>
      <c r="N6" s="2836"/>
      <c r="O6" s="2836"/>
      <c r="P6" s="2836"/>
    </row>
    <row r="7" spans="1:16" ht="15.75" thickBot="1">
      <c r="A7" s="3315"/>
      <c r="B7" s="3316"/>
      <c r="C7" s="3317"/>
      <c r="D7" s="1777" t="s">
        <v>1552</v>
      </c>
      <c r="E7" s="1781" t="s">
        <v>1559</v>
      </c>
      <c r="F7" s="2836"/>
      <c r="G7" s="2832" t="s">
        <v>1560</v>
      </c>
      <c r="H7" s="2833"/>
      <c r="I7" s="2834"/>
      <c r="J7" s="2836"/>
      <c r="K7" s="2836"/>
      <c r="L7" s="2836"/>
      <c r="M7" s="2836"/>
      <c r="N7" s="2836"/>
      <c r="O7" s="2836"/>
      <c r="P7" s="2836"/>
    </row>
    <row r="8" spans="1:16">
      <c r="A8" s="47" t="s">
        <v>1561</v>
      </c>
      <c r="B8" s="50" t="s">
        <v>1562</v>
      </c>
      <c r="C8" s="48" t="s">
        <v>1563</v>
      </c>
      <c r="D8" s="48">
        <f t="shared" ref="D8:D15" si="0">ROUND($D$3*E8/$E$3,2)</f>
        <v>1736.72</v>
      </c>
      <c r="E8" s="51">
        <f>SUMIF('数据-基础表'!BB10:BK10,"地上",'数据-基础表'!BB5:BK5)</f>
        <v>2656.2</v>
      </c>
      <c r="F8" s="2836"/>
      <c r="G8" s="2837"/>
      <c r="H8" s="2837"/>
      <c r="I8" s="2836"/>
      <c r="J8" s="2836"/>
      <c r="K8" s="2836"/>
      <c r="L8" s="2836"/>
      <c r="M8" s="2836"/>
      <c r="N8" s="2836"/>
      <c r="O8" s="2836"/>
      <c r="P8" s="2836"/>
    </row>
    <row r="9" spans="1:16">
      <c r="A9" s="1782"/>
      <c r="B9" s="1783"/>
      <c r="C9" s="48" t="s">
        <v>1564</v>
      </c>
      <c r="D9" s="48">
        <f t="shared" si="0"/>
        <v>0</v>
      </c>
      <c r="E9" s="52">
        <v>0</v>
      </c>
      <c r="F9" s="2836"/>
      <c r="G9" s="2837"/>
      <c r="H9" s="2837"/>
      <c r="I9" s="2836"/>
      <c r="J9" s="2836"/>
      <c r="K9" s="2836"/>
      <c r="L9" s="2836"/>
      <c r="M9" s="2836"/>
      <c r="N9" s="2836"/>
      <c r="O9" s="2836"/>
      <c r="P9" s="2836"/>
    </row>
    <row r="10" spans="1:16">
      <c r="A10" s="1782"/>
      <c r="B10" s="1783"/>
      <c r="C10" s="48" t="s">
        <v>1573</v>
      </c>
      <c r="D10" s="48">
        <f t="shared" si="0"/>
        <v>0</v>
      </c>
      <c r="E10" s="51">
        <f>SUMPRODUCT(('数据-基础表'!BB10:BK10="地下")*('数据-基础表'!BB11:BK11="商业")*('数据-基础表'!BB5:BK5))</f>
        <v>0</v>
      </c>
      <c r="F10" s="2836"/>
      <c r="G10" s="2837"/>
      <c r="H10" s="2837"/>
      <c r="I10" s="2836"/>
      <c r="J10" s="2836"/>
      <c r="K10" s="2836"/>
      <c r="L10" s="2836"/>
      <c r="M10" s="2836"/>
      <c r="N10" s="2836"/>
      <c r="O10" s="2836"/>
      <c r="P10" s="2836"/>
    </row>
    <row r="11" spans="1:16">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1579</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1568</v>
      </c>
      <c r="D16" s="50">
        <f>SUM(D8:D15)</f>
        <v>1736.72</v>
      </c>
      <c r="E16" s="53">
        <f>SUM(E8:E15)</f>
        <v>2656.2</v>
      </c>
      <c r="F16" s="2836"/>
      <c r="G16" s="2837"/>
      <c r="H16" s="1784" t="s">
        <v>1580</v>
      </c>
      <c r="I16" s="1785"/>
      <c r="J16" s="1254"/>
      <c r="K16" s="3312" t="s">
        <v>1580</v>
      </c>
      <c r="L16" s="3313"/>
      <c r="M16" s="3313"/>
      <c r="N16" s="3313"/>
      <c r="O16" s="3313"/>
      <c r="P16" s="3314"/>
    </row>
    <row r="17" spans="1:19" ht="15">
      <c r="A17" s="1786" t="s">
        <v>1581</v>
      </c>
      <c r="B17" s="1787" t="s">
        <v>1582</v>
      </c>
      <c r="C17" s="1788" t="s">
        <v>1583</v>
      </c>
      <c r="D17" s="1789" t="s">
        <v>1571</v>
      </c>
      <c r="E17" s="1790" t="s">
        <v>1572</v>
      </c>
      <c r="F17" s="1791"/>
      <c r="G17" s="1792"/>
      <c r="H17" s="1793" t="s">
        <v>1584</v>
      </c>
      <c r="I17" s="1794" t="s">
        <v>1569</v>
      </c>
      <c r="J17" s="1254"/>
      <c r="K17" s="3309" t="s">
        <v>1585</v>
      </c>
      <c r="L17" s="3310"/>
      <c r="M17" s="3311"/>
      <c r="N17" s="3309" t="s">
        <v>1586</v>
      </c>
      <c r="O17" s="3310"/>
      <c r="P17" s="3311"/>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2" t="s">
        <v>3185</v>
      </c>
      <c r="D19" s="48">
        <f>ROUND($D$3*E19/$E$3,2)</f>
        <v>1736.72</v>
      </c>
      <c r="E19" s="56">
        <f t="shared" ref="E19:E26" si="1">SUM(F19:G19)</f>
        <v>2656.2</v>
      </c>
      <c r="F19" s="2976">
        <f>'数据-基础表'!I13</f>
        <v>2656.2</v>
      </c>
      <c r="G19" s="2977"/>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1736.72</v>
      </c>
      <c r="S19" s="1139">
        <f t="shared" si="5"/>
        <v>2656.2</v>
      </c>
    </row>
    <row r="20" spans="1:19">
      <c r="A20" s="1807"/>
      <c r="B20" s="50" t="s">
        <v>1598</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1736.72</v>
      </c>
      <c r="E27" s="1256">
        <f>IF(SUM(E19:E26)='数据-基础表'!BA5,SUM(E19:E26),IF(F27="地上面积有误","面积有误","地下面积有误"))</f>
        <v>2656.2</v>
      </c>
      <c r="F27" s="1255">
        <f>IF(SUM(F19:F26)=E8,SUM(F19:F26),"地上面积有误")</f>
        <v>2656.2</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1736.72</v>
      </c>
      <c r="S27" s="1138">
        <f>IF(SUM(S19:S26)=$E$3,SUM(S19:S26),SUM(S19:S26)&amp;"误差"&amp;ROUND(SUM(S19:S26)-E3,2))</f>
        <v>2656.2</v>
      </c>
    </row>
    <row r="28" spans="1:19">
      <c r="A28" s="1807"/>
      <c r="B28" s="50" t="s">
        <v>1600</v>
      </c>
      <c r="C28" s="1150" t="s">
        <v>1601</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1599</v>
      </c>
      <c r="D30" s="1255">
        <f>SUM(D28:D29)</f>
        <v>0</v>
      </c>
      <c r="E30" s="1255">
        <f>SUM(E28:E29)</f>
        <v>0</v>
      </c>
      <c r="F30" s="1255">
        <f>SUM(F28:F29)</f>
        <v>0</v>
      </c>
      <c r="G30" s="1257">
        <f>SUM(G28:G29)</f>
        <v>0</v>
      </c>
      <c r="H30" s="2836"/>
      <c r="I30" s="2836"/>
      <c r="J30" s="2836"/>
      <c r="K30" s="2836"/>
      <c r="L30" s="2836"/>
      <c r="M30" s="2836"/>
      <c r="N30" s="2836"/>
      <c r="O30" s="2836"/>
      <c r="P30" s="2836"/>
    </row>
    <row r="31" spans="1:19" ht="15.75" thickBot="1">
      <c r="A31" s="1813"/>
      <c r="B31" s="1814"/>
      <c r="C31" s="925" t="s">
        <v>1603</v>
      </c>
      <c r="D31" s="685">
        <f>D27+D30</f>
        <v>1736.72</v>
      </c>
      <c r="E31" s="685">
        <f>E27+E30</f>
        <v>2656.2</v>
      </c>
      <c r="F31" s="686">
        <f>F27+F30</f>
        <v>2656.2</v>
      </c>
      <c r="G31" s="687">
        <f>G27+G30</f>
        <v>0</v>
      </c>
      <c r="H31" s="2836"/>
      <c r="I31" s="2836"/>
      <c r="J31" s="2836"/>
      <c r="K31" s="2836"/>
      <c r="L31" s="2836"/>
      <c r="M31" s="2836"/>
      <c r="N31" s="2836"/>
      <c r="O31" s="2836"/>
      <c r="P31" s="2836"/>
    </row>
    <row r="32" spans="1:19">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J28" sqref="J28"/>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75" thickBot="1">
      <c r="A2" s="1820" t="s">
        <v>1606</v>
      </c>
      <c r="B2" s="1157">
        <f>项目基本情况!D3</f>
        <v>44705</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3187</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工业</v>
      </c>
      <c r="B6" s="1850" t="str">
        <f>IF(A6=0,"","经营性")</f>
        <v>经营性</v>
      </c>
      <c r="C6" s="1851" t="s">
        <v>6</v>
      </c>
      <c r="D6" s="948">
        <f>SUMIF(项目基本情况!D$12:I$12,C6,项目基本情况!D$14:I$14)</f>
        <v>50</v>
      </c>
      <c r="E6" s="947">
        <f>IF(B6="","",SUMIF(项目基本情况!D$12:I$12,C6,项目基本情况!D$13:I$13))</f>
        <v>58640</v>
      </c>
      <c r="F6" s="68">
        <f>SUMIF(项目基本情况!D$12:I$12,C6,项目基本情况!D$15:I$15)</f>
        <v>38.17</v>
      </c>
      <c r="G6" s="69">
        <f>IF(ISERROR(ROUND(POWER(1+H6,D6-F6)*(POWER(1+H6,F6)-1)/(POWER(1+H6,D6)-1),3)),0,ROUND(POWER(1+H6,D6-F6)*(POWER(1+H6,F6)-1)/(POWER(1+H6,D6)-1),3))</f>
        <v>0.91500000000000004</v>
      </c>
      <c r="H6" s="741">
        <v>4.4999999999999998E-2</v>
      </c>
      <c r="I6" s="741">
        <v>0.05</v>
      </c>
      <c r="J6" s="70">
        <v>6.5000000000000002E-2</v>
      </c>
      <c r="K6" s="1142">
        <f>SUMIF('数据-汇总表'!C$19:C$33,A6,'数据-汇总表'!E$19:E$33)</f>
        <v>2656.2</v>
      </c>
      <c r="L6" s="742">
        <v>3000</v>
      </c>
      <c r="M6" s="71">
        <f t="shared" ref="M6:M14" si="0">ROUND(K6*L6/10000,0)</f>
        <v>797</v>
      </c>
      <c r="N6" s="740">
        <f>ROUND(1-(2022-N20)/60,2)</f>
        <v>0.83</v>
      </c>
      <c r="O6" s="71" t="str">
        <f>IF($N$5="成新度","——",ROUND(M6*N6,0))</f>
        <v>——</v>
      </c>
      <c r="P6" s="72" t="str">
        <f>IF($N$5="成新度","——",M6-O6)</f>
        <v>——</v>
      </c>
      <c r="Q6" s="743">
        <v>0.1</v>
      </c>
      <c r="R6" s="73">
        <f ca="1">SUMIF('数据-汇总表'!C$19:C$33,A6,'数据-汇总表'!R$19:R$27)</f>
        <v>1736.72</v>
      </c>
      <c r="S6" s="54">
        <f>IF('数据-汇总表'!$I$17="按面积比例",SUMIF('数据-汇总表'!C$19:C$33,A6,'数据-汇总表'!K$19:K$33),SUMIF('数据-汇总表'!C$19:C$33,A6,'数据-汇总表'!N$19:N$33))</f>
        <v>0</v>
      </c>
      <c r="T6" s="1287">
        <f>ROUND($L$14*S6/10000,0)</f>
        <v>0</v>
      </c>
      <c r="U6" s="74">
        <v>2.5</v>
      </c>
      <c r="V6" s="75">
        <v>0.03</v>
      </c>
      <c r="W6" s="75">
        <v>0.1</v>
      </c>
      <c r="X6" s="1152"/>
      <c r="Y6" s="76">
        <f>N6</f>
        <v>0.83</v>
      </c>
      <c r="Z6" s="77"/>
      <c r="AA6" s="70"/>
      <c r="AB6" s="70"/>
      <c r="AC6" s="1152"/>
      <c r="AD6" s="78"/>
      <c r="AE6" s="1153">
        <f ca="1">IF(AN6="",0,SUMIF(INDIRECT("'"&amp;AN6&amp;"'"&amp;"!E:E"),$AE$5,INDIRECT("'"&amp;AN6&amp;"'"&amp;"!F:F")))</f>
        <v>38.17</v>
      </c>
      <c r="AF6" s="1483"/>
      <c r="AG6" s="143">
        <f>IF(AF6="",0,AE6-AF6)</f>
        <v>0</v>
      </c>
      <c r="AH6" s="79"/>
      <c r="AI6" s="81">
        <v>365</v>
      </c>
      <c r="AJ6" s="82"/>
      <c r="AK6" s="83">
        <v>0.01</v>
      </c>
      <c r="AL6" s="84">
        <v>1E-3</v>
      </c>
      <c r="AM6" s="85">
        <v>0.01</v>
      </c>
      <c r="AN6" s="1852" t="s">
        <v>3188</v>
      </c>
      <c r="AO6" s="55">
        <f ca="1">SUMIF(INDIRECT("'"&amp;AN6&amp;"'"&amp;"!A:A"),"总价",INDIRECT("'"&amp;AN6&amp;"'"&amp;"!B:B"))</f>
        <v>4375</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0.91500000000000004</v>
      </c>
      <c r="H16" s="95">
        <f>ROUND(SUMPRODUCT(H6:H13,K6:K13)/SUMPRODUCT((H6:H13&gt;0)*(K6:K13)),3)</f>
        <v>4.4999999999999998E-2</v>
      </c>
      <c r="I16" s="96"/>
      <c r="J16" s="96"/>
      <c r="K16" s="97">
        <f>SUM(K6:K15)</f>
        <v>2656.2</v>
      </c>
      <c r="L16" s="98">
        <f>ROUND(M16*10000/SUM(K6:K14),0)</f>
        <v>3001</v>
      </c>
      <c r="M16" s="98">
        <f>SUM(M6:M14)</f>
        <v>797</v>
      </c>
      <c r="N16" s="99">
        <f>ROUND(SUMPRODUCT(M6:M14,N6:N14)/M16,3)</f>
        <v>0.83</v>
      </c>
      <c r="O16" s="98">
        <f>SUM(O6:O14)</f>
        <v>0</v>
      </c>
      <c r="P16" s="98">
        <f>SUM(P6:P14)</f>
        <v>0</v>
      </c>
      <c r="Q16" s="100">
        <f>ROUND(SUMPRODUCT(Q6:Q13,K6:K13)/SUMPRODUCT((Q6:Q13&gt;0)*(K6:K13)),2)</f>
        <v>0.1</v>
      </c>
      <c r="R16" s="1146">
        <f ca="1">SUM(R6:R13)</f>
        <v>1736.72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1655</v>
      </c>
      <c r="B18" s="2864"/>
      <c r="C18" s="2852"/>
      <c r="D18" s="2855"/>
      <c r="E18" s="2852"/>
      <c r="F18" s="2852"/>
      <c r="G18" s="2852"/>
      <c r="H18" s="2852"/>
      <c r="I18" s="2852"/>
      <c r="J18" s="2852"/>
      <c r="K18" s="2851"/>
      <c r="L18" s="2851"/>
      <c r="M18" s="2850"/>
      <c r="N18" s="2850"/>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25">
      <c r="A19" s="1859" t="s">
        <v>1656</v>
      </c>
      <c r="B19" s="108">
        <v>0</v>
      </c>
      <c r="C19" s="2980" t="s">
        <v>2806</v>
      </c>
      <c r="D19" s="2855"/>
      <c r="E19" s="2852"/>
      <c r="F19" s="2852"/>
      <c r="G19" s="2852"/>
      <c r="H19" s="2852"/>
      <c r="I19" s="2852"/>
      <c r="J19" s="2852"/>
      <c r="K19" s="2851"/>
      <c r="L19" s="2851"/>
      <c r="M19" s="2850"/>
      <c r="N19" s="2850"/>
      <c r="O19" s="2850"/>
      <c r="P19" s="2850"/>
      <c r="Q19" s="2850"/>
      <c r="R19" s="2850"/>
      <c r="S19" s="2850"/>
      <c r="T19" s="2850"/>
      <c r="U19" s="2850"/>
      <c r="V19" s="2850"/>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25">
      <c r="A20" s="1860" t="s">
        <v>1657</v>
      </c>
      <c r="B20" s="109">
        <v>1</v>
      </c>
      <c r="C20" s="2981" t="s">
        <v>2804</v>
      </c>
      <c r="D20" s="2855"/>
      <c r="E20" s="2852"/>
      <c r="F20" s="2852"/>
      <c r="G20" s="2852"/>
      <c r="H20" s="2852"/>
      <c r="I20" s="2852"/>
      <c r="J20" s="2852"/>
      <c r="K20" s="2851"/>
      <c r="L20" s="2851"/>
      <c r="M20" s="2850"/>
      <c r="N20" s="2850">
        <v>2012</v>
      </c>
      <c r="O20" s="2850"/>
      <c r="P20" s="2850"/>
      <c r="Q20" s="2850"/>
      <c r="R20" s="2850"/>
      <c r="S20" s="2850"/>
      <c r="T20" s="2850"/>
      <c r="U20" s="2850"/>
      <c r="V20" s="2850"/>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25">
      <c r="A21" s="1861" t="s">
        <v>1658</v>
      </c>
      <c r="B21" s="109">
        <v>1</v>
      </c>
      <c r="C21" s="2852"/>
      <c r="D21" s="2855"/>
      <c r="E21" s="2852"/>
      <c r="F21" s="2852"/>
      <c r="G21" s="2852"/>
      <c r="H21" s="2852"/>
      <c r="I21" s="2852"/>
      <c r="J21" s="2852"/>
      <c r="K21" s="2851"/>
      <c r="L21" s="2851"/>
      <c r="M21" s="2850"/>
      <c r="N21" s="2850"/>
      <c r="O21" s="2850"/>
      <c r="P21" s="2850"/>
      <c r="Q21" s="2850"/>
      <c r="R21" s="2850"/>
      <c r="S21" s="2850"/>
      <c r="T21" s="2850"/>
      <c r="U21" s="2850"/>
      <c r="V21" s="2850"/>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25">
      <c r="A22" s="1860" t="s">
        <v>1659</v>
      </c>
      <c r="B22" s="110">
        <f>B19+B20</f>
        <v>1</v>
      </c>
      <c r="C22" s="2852"/>
      <c r="D22" s="2855"/>
      <c r="E22" s="2852"/>
      <c r="F22" s="2852"/>
      <c r="G22" s="2852"/>
      <c r="H22" s="2852"/>
      <c r="I22" s="2852"/>
      <c r="J22" s="2852"/>
      <c r="K22" s="2851"/>
      <c r="L22" s="2851"/>
      <c r="M22" s="2850"/>
      <c r="N22" s="2850"/>
      <c r="O22" s="2850"/>
      <c r="P22" s="2850"/>
      <c r="Q22" s="2850"/>
      <c r="R22" s="2850"/>
      <c r="S22" s="2850"/>
      <c r="T22" s="2850"/>
      <c r="U22" s="2850"/>
      <c r="V22" s="2850"/>
      <c r="W22" s="2850"/>
      <c r="X22" s="2850"/>
      <c r="Y22" s="2850"/>
      <c r="Z22" s="2850"/>
      <c r="AA22" s="2850"/>
      <c r="AB22" s="2850"/>
      <c r="AC22" s="2850"/>
      <c r="AD22" s="2850"/>
      <c r="AE22" s="2850"/>
      <c r="AF22" s="2850"/>
      <c r="AG22" s="2850"/>
      <c r="AH22" s="2850"/>
      <c r="AI22" s="2850"/>
      <c r="AJ22" s="2850"/>
      <c r="AK22" s="2850"/>
      <c r="AL22" s="2850"/>
      <c r="AM22" s="2850"/>
      <c r="AN22" s="2850"/>
      <c r="AO22" s="2850"/>
      <c r="AP22" s="2850"/>
      <c r="AQ22" s="2850"/>
      <c r="AR22" s="2850"/>
    </row>
    <row r="23" spans="1:67" ht="14.25">
      <c r="A23" s="1861" t="s">
        <v>1660</v>
      </c>
      <c r="B23" s="110">
        <f>B19+B21</f>
        <v>1</v>
      </c>
      <c r="C23" s="2852"/>
      <c r="D23" s="2855"/>
      <c r="E23" s="2852"/>
      <c r="F23" s="2852"/>
      <c r="G23" s="2852"/>
      <c r="H23" s="2852"/>
      <c r="I23" s="2852"/>
      <c r="J23" s="2852"/>
      <c r="K23" s="2851"/>
      <c r="L23" s="2851"/>
      <c r="M23" s="2850"/>
      <c r="N23" s="2850"/>
      <c r="O23" s="2850"/>
      <c r="P23" s="2850"/>
      <c r="Q23" s="2850"/>
      <c r="R23" s="2850"/>
      <c r="S23" s="2850"/>
      <c r="T23" s="2850"/>
      <c r="U23" s="2850"/>
      <c r="V23" s="2850"/>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1661</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5" thickBot="1">
      <c r="A25" s="1693"/>
      <c r="B25" s="1824"/>
      <c r="C25" s="2852"/>
      <c r="D25" s="2855"/>
      <c r="E25" s="2852"/>
      <c r="F25" s="2852"/>
      <c r="G25" s="2852"/>
      <c r="H25" s="2852"/>
      <c r="I25" s="2852"/>
      <c r="J25" s="2852"/>
      <c r="K25" s="2851"/>
      <c r="L25" s="2851"/>
      <c r="M25" s="2850"/>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1662</v>
      </c>
      <c r="B26" s="1863" t="s">
        <v>1663</v>
      </c>
      <c r="C26" s="2856" t="s">
        <v>1664</v>
      </c>
      <c r="D26" s="2855"/>
      <c r="E26" s="2852"/>
      <c r="F26" s="2852"/>
      <c r="G26" s="2852"/>
      <c r="H26" s="2852"/>
      <c r="I26" s="2852"/>
      <c r="J26" s="2852"/>
      <c r="K26" s="2851"/>
      <c r="L26" s="2851"/>
      <c r="M26" s="2850"/>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27.75">
      <c r="A27" s="1864" t="s">
        <v>1665</v>
      </c>
      <c r="B27" s="112">
        <v>160</v>
      </c>
      <c r="C27" s="2982" t="s">
        <v>2808</v>
      </c>
      <c r="D27" s="2858"/>
      <c r="E27" s="2838"/>
      <c r="F27" s="2838"/>
      <c r="G27" s="2852"/>
      <c r="H27" s="2852"/>
      <c r="I27" s="2852"/>
      <c r="J27" s="2852"/>
      <c r="K27" s="2851"/>
      <c r="L27" s="2851"/>
      <c r="M27" s="2850"/>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ROUND(B28*K16/10000,0)</f>
        <v>53</v>
      </c>
      <c r="C29" s="2983" t="s">
        <v>2795</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4" t="s">
        <v>2796</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0.05</v>
      </c>
      <c r="C34" s="2984" t="s">
        <v>2797</v>
      </c>
      <c r="D34" s="2863" t="s">
        <v>2805</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4" t="s">
        <v>2798</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4" t="s">
        <v>2799</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25">
      <c r="A37" s="1868" t="s">
        <v>1675</v>
      </c>
      <c r="B37" s="120">
        <v>0.02</v>
      </c>
      <c r="C37" s="2984" t="s">
        <v>2800</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25">
      <c r="A38" s="1866" t="s">
        <v>1676</v>
      </c>
      <c r="B38" s="118">
        <v>0.02</v>
      </c>
      <c r="C38" s="2984" t="s">
        <v>2800</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25">
      <c r="A39" s="1869" t="s">
        <v>1677</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29.25" thickBot="1">
      <c r="A40" s="2996" t="s">
        <v>3186</v>
      </c>
      <c r="B40" s="1191">
        <f ca="1">IF(A40="利息：取LPR",存贷款利率!G1,存贷款利率!G1+C40)</f>
        <v>4.2000000000000003E-2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25">
      <c r="A41" s="1864" t="s">
        <v>1678</v>
      </c>
      <c r="B41" s="121">
        <f>B42+B43</f>
        <v>5.5000000000000007E-2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25">
      <c r="A42" s="1870" t="s">
        <v>1679</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25">
      <c r="A43" s="1870" t="s">
        <v>1680</v>
      </c>
      <c r="B43" s="123">
        <f>B42*(B44+B45+B46)+B47</f>
        <v>5.000000000000001E-3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25">
      <c r="A44" s="1871" t="s">
        <v>1681</v>
      </c>
      <c r="B44" s="124">
        <v>0.05</v>
      </c>
      <c r="C44" s="2984" t="s">
        <v>2809</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25">
      <c r="A45" s="1871" t="s">
        <v>1682</v>
      </c>
      <c r="B45" s="122">
        <v>0.03</v>
      </c>
      <c r="C45" s="2983" t="s">
        <v>2801</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25">
      <c r="A46" s="1871" t="s">
        <v>1683</v>
      </c>
      <c r="B46" s="122">
        <v>0.02</v>
      </c>
      <c r="C46" s="2983" t="s">
        <v>2802</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1684</v>
      </c>
      <c r="B47" s="125"/>
      <c r="C47" s="2986" t="s">
        <v>2810</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25">
      <c r="A48" s="1873" t="s">
        <v>1685</v>
      </c>
      <c r="B48" s="126">
        <v>0.03</v>
      </c>
      <c r="C48" s="2983" t="s">
        <v>2801</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1686</v>
      </c>
      <c r="B49" s="122">
        <v>5.0000000000000001E-4</v>
      </c>
      <c r="C49" s="2983" t="s">
        <v>2803</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25">
      <c r="A50" s="1874" t="s">
        <v>1687</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1688</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25">
      <c r="A52" s="1874" t="s">
        <v>1689</v>
      </c>
      <c r="B52" s="129">
        <f>SUMIF(A54:A63,B53,B54:B63)</f>
        <v>1.5</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27">
      <c r="A53" s="1866" t="s">
        <v>1690</v>
      </c>
      <c r="B53" s="1875" t="s">
        <v>56</v>
      </c>
      <c r="C53" s="2838" t="s">
        <v>1691</v>
      </c>
      <c r="D53" s="2985" t="s">
        <v>2807</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25">
      <c r="A54" s="1876" t="s">
        <v>1692</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25">
      <c r="A55" s="1876" t="s">
        <v>1693</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25">
      <c r="A56" s="1876" t="s">
        <v>1694</v>
      </c>
      <c r="B56" s="80"/>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25">
      <c r="A57" s="1876" t="s">
        <v>1695</v>
      </c>
      <c r="B57" s="80"/>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25">
      <c r="A58" s="1876" t="s">
        <v>1696</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25">
      <c r="A59" s="1876" t="s">
        <v>1697</v>
      </c>
      <c r="B59" s="80">
        <v>1.5</v>
      </c>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25">
      <c r="A60" s="1876" t="s">
        <v>1698</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25">
      <c r="A61" s="1876" t="s">
        <v>1699</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25">
      <c r="A62" s="1876" t="s">
        <v>1700</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1701</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324" t="s">
        <v>2787</v>
      </c>
      <c r="B1" s="3325"/>
      <c r="C1" s="3325"/>
      <c r="D1" s="3325"/>
      <c r="E1" s="3325"/>
      <c r="F1" s="3325"/>
      <c r="G1" s="3325"/>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2782</v>
      </c>
      <c r="D2" s="2637"/>
      <c r="E2" s="2634"/>
      <c r="F2" s="2638"/>
      <c r="G2" s="2636" t="s">
        <v>2783</v>
      </c>
      <c r="H2" s="888"/>
      <c r="I2" s="888"/>
      <c r="J2" s="888"/>
      <c r="K2" s="888"/>
      <c r="L2" s="888"/>
      <c r="M2" s="888"/>
      <c r="N2" s="888"/>
      <c r="O2" s="888"/>
      <c r="P2" s="888"/>
      <c r="Q2" s="888"/>
      <c r="R2" s="888"/>
    </row>
    <row r="3" spans="1:29" ht="48">
      <c r="A3" s="2617" t="s">
        <v>2784</v>
      </c>
      <c r="B3" s="2639" t="s">
        <v>2753</v>
      </c>
      <c r="C3" s="2640" t="s">
        <v>2785</v>
      </c>
      <c r="D3" s="2641"/>
      <c r="E3" s="2618" t="s">
        <v>2784</v>
      </c>
      <c r="F3" s="2642" t="s">
        <v>2754</v>
      </c>
      <c r="G3" s="2643" t="s">
        <v>2786</v>
      </c>
      <c r="H3" s="888"/>
      <c r="I3" s="888"/>
      <c r="J3" s="888"/>
      <c r="K3" s="888"/>
      <c r="L3" s="888"/>
      <c r="M3" s="888"/>
      <c r="N3" s="888"/>
      <c r="O3" s="888"/>
      <c r="P3" s="888"/>
      <c r="Q3" s="888"/>
      <c r="R3" s="888"/>
    </row>
    <row r="4" spans="1:29" ht="36.75">
      <c r="A4" s="2618"/>
      <c r="B4" s="329" t="s">
        <v>2755</v>
      </c>
      <c r="C4" s="2644" t="s">
        <v>2756</v>
      </c>
      <c r="D4" s="2641"/>
      <c r="E4" s="2645"/>
      <c r="F4" s="1508" t="s">
        <v>2757</v>
      </c>
      <c r="G4" s="2646" t="s">
        <v>2758</v>
      </c>
      <c r="H4" s="888"/>
      <c r="I4" s="888"/>
      <c r="J4" s="888"/>
      <c r="K4" s="888"/>
      <c r="L4" s="888"/>
      <c r="M4" s="888"/>
      <c r="N4" s="888"/>
      <c r="O4" s="888"/>
      <c r="P4" s="888"/>
      <c r="Q4" s="888"/>
      <c r="R4" s="888"/>
    </row>
    <row r="5" spans="1:29" ht="36.75">
      <c r="A5" s="2618"/>
      <c r="B5" s="329" t="s">
        <v>2759</v>
      </c>
      <c r="C5" s="2644" t="s">
        <v>2760</v>
      </c>
      <c r="D5" s="2641"/>
      <c r="E5" s="2645"/>
      <c r="F5" s="329" t="s">
        <v>2761</v>
      </c>
      <c r="G5" s="2646" t="s">
        <v>2762</v>
      </c>
      <c r="H5" s="888"/>
      <c r="I5" s="888"/>
      <c r="J5" s="888"/>
      <c r="K5" s="888"/>
      <c r="L5" s="888"/>
      <c r="M5" s="888"/>
      <c r="N5" s="888"/>
      <c r="O5" s="888"/>
      <c r="P5" s="888"/>
      <c r="Q5" s="888"/>
      <c r="R5" s="888"/>
    </row>
    <row r="6" spans="1:29" ht="36">
      <c r="A6" s="2618"/>
      <c r="B6" s="329" t="s">
        <v>2763</v>
      </c>
      <c r="C6" s="2646" t="s">
        <v>2758</v>
      </c>
      <c r="D6" s="2641"/>
      <c r="E6" s="2645"/>
      <c r="F6" s="329" t="s">
        <v>2764</v>
      </c>
      <c r="G6" s="2646" t="s">
        <v>2765</v>
      </c>
      <c r="H6" s="888"/>
      <c r="I6" s="888"/>
      <c r="J6" s="888"/>
      <c r="K6" s="888"/>
      <c r="L6" s="888"/>
      <c r="M6" s="888"/>
      <c r="N6" s="888"/>
      <c r="O6" s="888"/>
      <c r="P6" s="888"/>
      <c r="Q6" s="888"/>
      <c r="R6" s="888"/>
    </row>
    <row r="7" spans="1:29" ht="24.75" thickBot="1">
      <c r="A7" s="2618"/>
      <c r="B7" s="329" t="s">
        <v>2761</v>
      </c>
      <c r="C7" s="2646" t="s">
        <v>2762</v>
      </c>
      <c r="D7" s="2647"/>
      <c r="E7" s="2648"/>
      <c r="F7" s="2649" t="s">
        <v>2766</v>
      </c>
      <c r="G7" s="2650" t="s">
        <v>2767</v>
      </c>
      <c r="H7" s="888"/>
      <c r="I7" s="888"/>
      <c r="J7" s="888"/>
      <c r="K7" s="888"/>
      <c r="L7" s="888"/>
      <c r="M7" s="888"/>
      <c r="N7" s="888"/>
      <c r="O7" s="888"/>
      <c r="P7" s="888"/>
      <c r="Q7" s="888"/>
      <c r="R7" s="888"/>
    </row>
    <row r="8" spans="1:29">
      <c r="A8" s="2618"/>
      <c r="B8" s="329" t="s">
        <v>2764</v>
      </c>
      <c r="C8" s="2646" t="s">
        <v>2765</v>
      </c>
      <c r="D8" s="2647"/>
      <c r="E8" s="2647"/>
      <c r="F8" s="2651"/>
      <c r="G8" s="2651"/>
      <c r="H8" s="888"/>
      <c r="I8" s="888"/>
      <c r="J8" s="888"/>
      <c r="K8" s="888"/>
      <c r="L8" s="888"/>
      <c r="M8" s="888"/>
      <c r="N8" s="888"/>
      <c r="O8" s="888"/>
      <c r="P8" s="888"/>
      <c r="Q8" s="888"/>
      <c r="R8" s="888"/>
    </row>
    <row r="9" spans="1:29" ht="24">
      <c r="A9" s="2618"/>
      <c r="B9" s="329" t="s">
        <v>2768</v>
      </c>
      <c r="C9" s="2644" t="s">
        <v>2769</v>
      </c>
      <c r="D9" s="2641"/>
      <c r="E9" s="2647"/>
      <c r="F9" s="2651"/>
      <c r="G9" s="2651"/>
      <c r="H9" s="888"/>
      <c r="I9" s="888"/>
      <c r="J9" s="888"/>
      <c r="K9" s="888"/>
      <c r="L9" s="888"/>
      <c r="M9" s="888"/>
      <c r="N9" s="888"/>
      <c r="O9" s="888"/>
      <c r="P9" s="888"/>
      <c r="Q9" s="888"/>
      <c r="R9" s="888"/>
    </row>
    <row r="10" spans="1:29" s="2657" customFormat="1" ht="15" thickBot="1">
      <c r="A10" s="2619"/>
      <c r="B10" s="2652" t="s">
        <v>2770</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2788</v>
      </c>
      <c r="B13" s="2660"/>
      <c r="C13" s="2660"/>
      <c r="D13" s="2658"/>
      <c r="E13" s="2660"/>
      <c r="F13" s="2660"/>
      <c r="G13" s="2660"/>
    </row>
    <row r="14" spans="1:29" ht="15" thickBot="1">
      <c r="A14" s="2670"/>
      <c r="B14" s="2670"/>
      <c r="C14" s="2671" t="s">
        <v>2771</v>
      </c>
      <c r="D14" s="2641"/>
      <c r="E14" s="2672"/>
      <c r="F14" s="2672"/>
      <c r="G14" s="2636" t="s">
        <v>2772</v>
      </c>
    </row>
    <row r="15" spans="1:29" ht="51">
      <c r="A15" s="2620" t="s">
        <v>2773</v>
      </c>
      <c r="B15" s="2673" t="s">
        <v>2753</v>
      </c>
      <c r="C15" s="2674" t="str">
        <f>C3</f>
        <v>估价对象周边居住用地比例、居住小区规模和社区发展完善程度，综合评价居住社区成熟度一般</v>
      </c>
      <c r="D15" s="2641"/>
      <c r="E15" s="2621" t="s">
        <v>2774</v>
      </c>
      <c r="F15" s="2673" t="s">
        <v>2775</v>
      </c>
      <c r="G15" s="2675" t="str">
        <f>G3</f>
        <v>估价对象位于XX开发区，园区建设成熟度XX，产业集聚程度XX</v>
      </c>
    </row>
    <row r="16" spans="1:29" ht="38.25">
      <c r="A16" s="2622"/>
      <c r="B16" s="2676" t="s">
        <v>2755</v>
      </c>
      <c r="C16" s="2677" t="str">
        <f>C4</f>
        <v>估价对象位于XX商圈，周边商业氛围成熟，人流量大，商业繁华度好</v>
      </c>
      <c r="D16" s="2641"/>
      <c r="E16" s="2623"/>
      <c r="F16" s="2678" t="s">
        <v>2757</v>
      </c>
      <c r="G16" s="2679" t="str">
        <f>G4</f>
        <v>估价对象周边道路状况、公共交通通达情况、停车便捷程度，综合评价交通便捷度较好</v>
      </c>
    </row>
    <row r="17" spans="1:18" ht="38.25">
      <c r="A17" s="2622"/>
      <c r="B17" s="2676" t="s">
        <v>2759</v>
      </c>
      <c r="C17" s="2677" t="str">
        <f>C5</f>
        <v>估价对象位于XX商圈，周边办公楼项目较多，入驻率高，办公集聚程度较好</v>
      </c>
      <c r="D17" s="2647"/>
      <c r="E17" s="2623"/>
      <c r="F17" s="2678" t="s">
        <v>2776</v>
      </c>
      <c r="G17" s="2680"/>
    </row>
    <row r="18" spans="1:18" ht="38.25">
      <c r="A18" s="2622"/>
      <c r="B18" s="2678" t="s">
        <v>2763</v>
      </c>
      <c r="C18" s="2679" t="str">
        <f>C6</f>
        <v>估价对象周边道路状况、公共交通通达情况、停车便捷程度，综合评价交通便捷度较好</v>
      </c>
      <c r="D18" s="2647"/>
      <c r="E18" s="2623"/>
      <c r="F18" s="2678" t="s">
        <v>2766</v>
      </c>
      <c r="G18" s="2679" t="str">
        <f>G7</f>
        <v>该园区内是否有污染型企业，绿化情况，卫生条件，整体环境状况判断</v>
      </c>
    </row>
    <row r="19" spans="1:18" ht="25.5">
      <c r="A19" s="2622"/>
      <c r="B19" s="2678" t="s">
        <v>2777</v>
      </c>
      <c r="C19" s="2680"/>
      <c r="D19" s="2641"/>
      <c r="E19" s="2623"/>
      <c r="F19" s="329" t="s">
        <v>2761</v>
      </c>
      <c r="G19" s="2679" t="str">
        <f>G5</f>
        <v>估价对象所在区域公共配套设施齐备情况</v>
      </c>
    </row>
    <row r="20" spans="1:18" ht="25.5">
      <c r="A20" s="2622"/>
      <c r="B20" s="2678" t="s">
        <v>2778</v>
      </c>
      <c r="C20" s="2677" t="str">
        <f>C9</f>
        <v>区域自然环境：；人文环境；综合评价环境状况一般</v>
      </c>
      <c r="D20" s="2647"/>
      <c r="E20" s="2623"/>
      <c r="F20" s="329" t="s">
        <v>2764</v>
      </c>
      <c r="G20" s="2679" t="str">
        <f>G6</f>
        <v>估价对象所在区域基础设施水平</v>
      </c>
    </row>
    <row r="21" spans="1:18" ht="25.5">
      <c r="A21" s="2622"/>
      <c r="B21" s="329" t="s">
        <v>2761</v>
      </c>
      <c r="C21" s="2679" t="str">
        <f>C7</f>
        <v>估价对象所在区域公共配套设施齐备情况</v>
      </c>
      <c r="D21" s="2641"/>
      <c r="E21" s="2623"/>
      <c r="F21" s="2678" t="s">
        <v>2779</v>
      </c>
      <c r="G21" s="2681"/>
    </row>
    <row r="22" spans="1:18" ht="13.5" customHeight="1">
      <c r="A22" s="2622"/>
      <c r="B22" s="329" t="s">
        <v>2764</v>
      </c>
      <c r="C22" s="2679" t="str">
        <f>C8</f>
        <v>估价对象所在区域基础设施水平</v>
      </c>
      <c r="D22" s="2641"/>
      <c r="E22" s="2623"/>
      <c r="F22" s="2678" t="s">
        <v>2770</v>
      </c>
      <c r="G22" s="2680"/>
    </row>
    <row r="23" spans="1:18" s="888" customFormat="1" ht="15" thickBot="1">
      <c r="A23" s="2622"/>
      <c r="B23" s="2678" t="s">
        <v>2779</v>
      </c>
      <c r="C23" s="2681"/>
      <c r="D23" s="1878"/>
      <c r="E23" s="2624"/>
      <c r="F23" s="2682" t="s">
        <v>2780</v>
      </c>
      <c r="G23" s="2683"/>
      <c r="H23" s="2667"/>
      <c r="I23" s="2668"/>
      <c r="J23" s="2667"/>
      <c r="K23" s="2667"/>
      <c r="L23" s="2668"/>
      <c r="M23" s="2667"/>
      <c r="N23" s="2667"/>
      <c r="O23" s="2668"/>
      <c r="P23" s="2667"/>
      <c r="Q23" s="2667"/>
      <c r="R23" s="2669"/>
    </row>
    <row r="24" spans="1:18" s="888" customFormat="1" ht="15" thickBot="1">
      <c r="A24" s="2625"/>
      <c r="B24" s="2682" t="s">
        <v>2781</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9" customWidth="1"/>
    <col min="2" max="9" width="15.75" style="2689" customWidth="1"/>
    <col min="10" max="16384" width="9" style="2689"/>
  </cols>
  <sheetData>
    <row r="1" spans="1:11" ht="16.5">
      <c r="A1" s="2688" t="s">
        <v>1090</v>
      </c>
      <c r="B1" s="2688">
        <f>SUM(B14:B23)</f>
        <v>2656.2</v>
      </c>
      <c r="C1" s="2865"/>
      <c r="D1" s="2865"/>
      <c r="E1" s="2865"/>
      <c r="F1" s="2865"/>
      <c r="G1" s="2866"/>
      <c r="H1" s="2867"/>
      <c r="I1" s="2867"/>
      <c r="J1" s="2867"/>
      <c r="K1" s="2867"/>
    </row>
    <row r="2" spans="1:11" ht="16.5">
      <c r="A2" s="2688" t="s">
        <v>1078</v>
      </c>
      <c r="B2" s="2688">
        <f>SUM(C14:C23)</f>
        <v>1736.72</v>
      </c>
      <c r="C2" s="2865"/>
      <c r="D2" s="2865"/>
      <c r="E2" s="2865"/>
      <c r="F2" s="2865"/>
      <c r="G2" s="2866"/>
      <c r="H2" s="2867"/>
      <c r="I2" s="2867"/>
      <c r="J2" s="2867"/>
      <c r="K2" s="2867"/>
    </row>
    <row r="3" spans="1:11" ht="16.5">
      <c r="A3" s="2688" t="s">
        <v>1087</v>
      </c>
      <c r="B3" s="2690">
        <f>项目基本情况!D3</f>
        <v>44705</v>
      </c>
      <c r="C3" s="2865"/>
      <c r="D3" s="2865"/>
      <c r="E3" s="2865"/>
      <c r="F3" s="2865"/>
      <c r="G3" s="2866"/>
      <c r="H3" s="2867"/>
      <c r="I3" s="2867"/>
      <c r="J3" s="2867"/>
      <c r="K3" s="2867"/>
    </row>
    <row r="4" spans="1:11" ht="33">
      <c r="A4" s="2688" t="s">
        <v>1086</v>
      </c>
      <c r="B4" s="2688" t="s">
        <v>1085</v>
      </c>
      <c r="C4" s="2688" t="s">
        <v>1084</v>
      </c>
      <c r="D4" s="2688" t="s">
        <v>1083</v>
      </c>
      <c r="E4" s="2865"/>
      <c r="F4" s="2866"/>
      <c r="G4" s="2866"/>
      <c r="H4" s="2867"/>
      <c r="I4" s="2867"/>
      <c r="J4" s="2867"/>
      <c r="K4" s="2867"/>
    </row>
    <row r="5" spans="1:11" ht="16.5">
      <c r="A5" s="2688" t="s">
        <v>1082</v>
      </c>
      <c r="B5" s="2688">
        <f ca="1">SUM(D14:D23)</f>
        <v>4926</v>
      </c>
      <c r="C5" s="2688">
        <f ca="1">ROUND(B5*10000/$B$1,0)</f>
        <v>18545</v>
      </c>
      <c r="D5" s="2688">
        <f ca="1">ROUND(B5*10000/$B$2,0)</f>
        <v>28364</v>
      </c>
      <c r="E5" s="2865"/>
      <c r="F5" s="2866"/>
      <c r="G5" s="2866"/>
      <c r="H5" s="2867"/>
      <c r="I5" s="2867"/>
      <c r="J5" s="2867"/>
      <c r="K5" s="2867"/>
    </row>
    <row r="6" spans="1:11" ht="16.5">
      <c r="A6" s="2688" t="s">
        <v>1081</v>
      </c>
      <c r="B6" s="2688">
        <f ca="1">SUM(G14:G23)</f>
        <v>4926</v>
      </c>
      <c r="C6" s="2688">
        <f ca="1">ROUND(B6*10000/$B$1,0)</f>
        <v>18545</v>
      </c>
      <c r="D6" s="2688">
        <f ca="1">ROUND(B6*10000/$B$2,0)</f>
        <v>28364</v>
      </c>
      <c r="E6" s="2865"/>
      <c r="F6" s="2866"/>
      <c r="G6" s="2866"/>
      <c r="H6" s="2867"/>
      <c r="I6" s="2867"/>
      <c r="J6" s="2867"/>
      <c r="K6" s="2867"/>
    </row>
    <row r="7" spans="1:11" ht="16.5">
      <c r="A7" s="2688" t="s">
        <v>1089</v>
      </c>
      <c r="B7" s="2688">
        <f>SUM(H14:H23)</f>
        <v>0</v>
      </c>
      <c r="C7" s="2688">
        <f>ROUND(B7*10000/$B$1,0)</f>
        <v>0</v>
      </c>
      <c r="D7" s="2688">
        <f>ROUND(B7*10000/$B$2,0)</f>
        <v>0</v>
      </c>
      <c r="E7" s="2865"/>
      <c r="F7" s="2866"/>
      <c r="G7" s="2866"/>
      <c r="H7" s="2867"/>
      <c r="I7" s="2867"/>
      <c r="J7" s="2867"/>
      <c r="K7" s="2867"/>
    </row>
    <row r="8" spans="1:11" ht="16.5">
      <c r="A8" s="2688" t="s">
        <v>1012</v>
      </c>
      <c r="B8" s="2688">
        <f ca="1">SUM(I14:I23)</f>
        <v>2084</v>
      </c>
      <c r="C8" s="2688">
        <f ca="1">ROUND(B8*10000/$B$1,0)</f>
        <v>7846</v>
      </c>
      <c r="D8" s="2688">
        <f ca="1">ROUND(B8*10000/$B$2,0)</f>
        <v>12000</v>
      </c>
      <c r="E8" s="2865"/>
      <c r="F8" s="2866"/>
      <c r="G8" s="2866"/>
      <c r="H8" s="2867"/>
      <c r="I8" s="2867"/>
      <c r="J8" s="2867"/>
      <c r="K8" s="2867"/>
    </row>
    <row r="9" spans="1:11" ht="16.5">
      <c r="A9" s="2688" t="s">
        <v>1080</v>
      </c>
      <c r="B9" s="2696"/>
      <c r="C9" s="2865"/>
      <c r="D9" s="2865"/>
      <c r="E9" s="2865"/>
      <c r="F9" s="2866"/>
      <c r="G9" s="2866"/>
      <c r="H9" s="2867"/>
      <c r="I9" s="2867"/>
      <c r="J9" s="2867"/>
      <c r="K9" s="2867"/>
    </row>
    <row r="10" spans="1:11" ht="16.5">
      <c r="A10" s="2688" t="s">
        <v>1079</v>
      </c>
      <c r="B10" s="2696"/>
      <c r="C10" s="2865"/>
      <c r="D10" s="2865"/>
      <c r="E10" s="2865"/>
      <c r="F10" s="2866"/>
      <c r="G10" s="2866"/>
      <c r="H10" s="2867"/>
      <c r="I10" s="2867"/>
      <c r="J10" s="2867"/>
      <c r="K10" s="2867"/>
    </row>
    <row r="11" spans="1:11" ht="16.5">
      <c r="A11" s="2688" t="s">
        <v>1095</v>
      </c>
      <c r="B11" s="2696"/>
      <c r="C11" s="2865"/>
      <c r="D11" s="2865"/>
      <c r="E11" s="2865"/>
      <c r="F11" s="2866"/>
      <c r="G11" s="2866"/>
      <c r="H11" s="2867"/>
      <c r="I11" s="2867"/>
      <c r="J11" s="2867"/>
      <c r="K11" s="2867"/>
    </row>
    <row r="12" spans="1:11" ht="16.5">
      <c r="A12" s="2865"/>
      <c r="B12" s="2865"/>
      <c r="C12" s="2865"/>
      <c r="D12" s="2865"/>
      <c r="E12" s="2865"/>
      <c r="F12" s="2866"/>
      <c r="G12" s="2866"/>
      <c r="H12" s="2867"/>
      <c r="I12" s="2867"/>
      <c r="J12" s="2867"/>
      <c r="K12" s="2867"/>
    </row>
    <row r="13" spans="1:11" ht="33">
      <c r="A13" s="2691" t="s">
        <v>1094</v>
      </c>
      <c r="B13" s="2692" t="s">
        <v>1091</v>
      </c>
      <c r="C13" s="2692" t="s">
        <v>1093</v>
      </c>
      <c r="D13" s="2692" t="s">
        <v>1092</v>
      </c>
      <c r="E13" s="2688" t="s">
        <v>1084</v>
      </c>
      <c r="F13" s="2688" t="s">
        <v>1083</v>
      </c>
      <c r="G13" s="2692" t="s">
        <v>1077</v>
      </c>
      <c r="H13" s="2692" t="s">
        <v>1088</v>
      </c>
      <c r="I13" s="2692" t="s">
        <v>1076</v>
      </c>
      <c r="J13" s="2866"/>
      <c r="K13" s="2867"/>
    </row>
    <row r="14" spans="1:11" ht="16.5">
      <c r="A14" s="2693" t="s">
        <v>1075</v>
      </c>
      <c r="B14" s="2694">
        <f>结果表!B118</f>
        <v>2656.2</v>
      </c>
      <c r="C14" s="2694">
        <f>结果表!C118</f>
        <v>1736.72</v>
      </c>
      <c r="D14" s="2694">
        <f ca="1">结果表!H118</f>
        <v>4926</v>
      </c>
      <c r="E14" s="2694">
        <f ca="1">ROUND(D14*10000/B14,0)</f>
        <v>18545</v>
      </c>
      <c r="F14" s="2694">
        <f ca="1">ROUND(D14*10000/C14,0)</f>
        <v>28364</v>
      </c>
      <c r="G14" s="2694">
        <f ca="1">结果表!D122</f>
        <v>4926</v>
      </c>
      <c r="H14" s="2694" t="str">
        <f>结果表!D124</f>
        <v>——</v>
      </c>
      <c r="I14" s="2694">
        <f ca="1">结果表!D126</f>
        <v>2084</v>
      </c>
      <c r="J14" s="2866"/>
      <c r="K14" s="2867"/>
    </row>
    <row r="15" spans="1:11" ht="16.5">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ht="16.5">
      <c r="A16" s="2693" t="s">
        <v>1073</v>
      </c>
      <c r="B16" s="2695"/>
      <c r="C16" s="2695"/>
      <c r="D16" s="2695"/>
      <c r="E16" s="2694" t="e">
        <f t="shared" si="0"/>
        <v>#DIV/0!</v>
      </c>
      <c r="F16" s="2694" t="e">
        <f t="shared" si="1"/>
        <v>#DIV/0!</v>
      </c>
      <c r="G16" s="1452"/>
      <c r="H16" s="1452"/>
      <c r="I16" s="2695"/>
      <c r="J16" s="2867"/>
      <c r="K16" s="2867"/>
    </row>
    <row r="17" spans="1:11" ht="16.5">
      <c r="A17" s="2693" t="s">
        <v>1072</v>
      </c>
      <c r="B17" s="2695"/>
      <c r="C17" s="2695"/>
      <c r="D17" s="2695"/>
      <c r="E17" s="2694" t="e">
        <f t="shared" si="0"/>
        <v>#DIV/0!</v>
      </c>
      <c r="F17" s="2694" t="e">
        <f t="shared" si="1"/>
        <v>#DIV/0!</v>
      </c>
      <c r="G17" s="1452"/>
      <c r="H17" s="1452"/>
      <c r="I17" s="2695"/>
      <c r="J17" s="2867"/>
      <c r="K17" s="2867"/>
    </row>
    <row r="18" spans="1:11" ht="16.5">
      <c r="A18" s="2693" t="s">
        <v>1071</v>
      </c>
      <c r="B18" s="2695"/>
      <c r="C18" s="2695"/>
      <c r="D18" s="2695"/>
      <c r="E18" s="2694" t="e">
        <f t="shared" si="0"/>
        <v>#DIV/0!</v>
      </c>
      <c r="F18" s="2694" t="e">
        <f t="shared" si="1"/>
        <v>#DIV/0!</v>
      </c>
      <c r="G18" s="2695"/>
      <c r="H18" s="2695"/>
      <c r="I18" s="2695"/>
      <c r="J18" s="2867"/>
      <c r="K18" s="2867"/>
    </row>
    <row r="19" spans="1:11" ht="16.5">
      <c r="A19" s="2693" t="s">
        <v>1070</v>
      </c>
      <c r="B19" s="2695"/>
      <c r="C19" s="2695"/>
      <c r="D19" s="2695"/>
      <c r="E19" s="2694" t="e">
        <f t="shared" si="0"/>
        <v>#DIV/0!</v>
      </c>
      <c r="F19" s="2694" t="e">
        <f t="shared" si="1"/>
        <v>#DIV/0!</v>
      </c>
      <c r="G19" s="2695"/>
      <c r="H19" s="2695"/>
      <c r="I19" s="2695"/>
      <c r="J19" s="2867"/>
      <c r="K19" s="2867"/>
    </row>
    <row r="20" spans="1:11" ht="16.5">
      <c r="A20" s="2693" t="s">
        <v>1069</v>
      </c>
      <c r="B20" s="2695"/>
      <c r="C20" s="2695"/>
      <c r="D20" s="2695"/>
      <c r="E20" s="2694" t="e">
        <f t="shared" si="0"/>
        <v>#DIV/0!</v>
      </c>
      <c r="F20" s="2694" t="e">
        <f t="shared" si="1"/>
        <v>#DIV/0!</v>
      </c>
      <c r="G20" s="2695"/>
      <c r="H20" s="2695"/>
      <c r="I20" s="2695"/>
      <c r="J20" s="2867"/>
      <c r="K20" s="2867"/>
    </row>
    <row r="21" spans="1:11" ht="16.5">
      <c r="A21" s="2693" t="s">
        <v>1068</v>
      </c>
      <c r="B21" s="2695"/>
      <c r="C21" s="2695"/>
      <c r="D21" s="2695"/>
      <c r="E21" s="2694" t="e">
        <f t="shared" si="0"/>
        <v>#DIV/0!</v>
      </c>
      <c r="F21" s="2694" t="e">
        <f t="shared" si="1"/>
        <v>#DIV/0!</v>
      </c>
      <c r="G21" s="2695"/>
      <c r="H21" s="2695"/>
      <c r="I21" s="2695"/>
      <c r="J21" s="2867"/>
      <c r="K21" s="2867"/>
    </row>
    <row r="22" spans="1:11" ht="16.5">
      <c r="A22" s="2693" t="s">
        <v>1067</v>
      </c>
      <c r="B22" s="2695"/>
      <c r="C22" s="2695"/>
      <c r="D22" s="2695"/>
      <c r="E22" s="2694" t="e">
        <f t="shared" si="0"/>
        <v>#DIV/0!</v>
      </c>
      <c r="F22" s="2694" t="e">
        <f t="shared" si="1"/>
        <v>#DIV/0!</v>
      </c>
      <c r="G22" s="2695"/>
      <c r="H22" s="2695"/>
      <c r="I22" s="2695"/>
      <c r="J22" s="2867"/>
      <c r="K22" s="2867"/>
    </row>
    <row r="23" spans="1:11" ht="16.5">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7" zoomScale="70" zoomScaleNormal="100" zoomScaleSheetLayoutView="70" zoomScalePageLayoutView="80" workbookViewId="0">
      <selection activeCell="B118" sqref="B118:I118"/>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396" t="str">
        <f>项目基本情况!S2</f>
        <v>北京市房地产</v>
      </c>
      <c r="B2" s="3397"/>
      <c r="C2" s="3397"/>
      <c r="D2" s="3397"/>
      <c r="E2" s="3397"/>
      <c r="F2" s="3397"/>
      <c r="G2" s="3397"/>
      <c r="H2" s="3397"/>
      <c r="I2" s="3398"/>
    </row>
    <row r="3" spans="1:12" ht="12.75">
      <c r="A3" s="3400" t="s">
        <v>1709</v>
      </c>
      <c r="B3" s="3401"/>
      <c r="C3" s="3401"/>
      <c r="D3" s="3401"/>
      <c r="E3" s="3401"/>
      <c r="F3" s="3401"/>
      <c r="G3" s="3401"/>
      <c r="H3" s="3401"/>
      <c r="I3" s="3401"/>
    </row>
    <row r="4" spans="1:12" ht="14.25">
      <c r="A4" s="1891" t="s">
        <v>1710</v>
      </c>
      <c r="B4" s="1892" t="s">
        <v>1711</v>
      </c>
      <c r="C4" s="1893" t="s">
        <v>3196</v>
      </c>
      <c r="D4" s="1893" t="s">
        <v>3188</v>
      </c>
      <c r="E4" s="3405" t="s">
        <v>1712</v>
      </c>
      <c r="F4" s="3406"/>
      <c r="G4" s="3406"/>
      <c r="H4" s="3406"/>
      <c r="I4" s="3407"/>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1" t="s">
        <v>1713</v>
      </c>
      <c r="B5" s="3399">
        <v>25</v>
      </c>
      <c r="C5" s="3402"/>
      <c r="D5" s="3390"/>
      <c r="E5" s="136" t="s">
        <v>1714</v>
      </c>
      <c r="F5" s="1894"/>
      <c r="G5" s="1894"/>
      <c r="H5" s="1894"/>
      <c r="I5" s="1508"/>
    </row>
    <row r="6" spans="1:12" ht="12.75">
      <c r="A6" s="3341"/>
      <c r="B6" s="3399"/>
      <c r="C6" s="3404"/>
      <c r="D6" s="3390"/>
      <c r="E6" s="136" t="s">
        <v>1715</v>
      </c>
      <c r="F6" s="1894"/>
      <c r="G6" s="1894"/>
      <c r="H6" s="1894"/>
      <c r="I6" s="1508"/>
    </row>
    <row r="7" spans="1:12" ht="12.75">
      <c r="A7" s="3341"/>
      <c r="B7" s="3399"/>
      <c r="C7" s="3403"/>
      <c r="D7" s="3390"/>
      <c r="E7" s="136" t="s">
        <v>1716</v>
      </c>
      <c r="F7" s="1894"/>
      <c r="G7" s="1894"/>
      <c r="H7" s="1894"/>
      <c r="I7" s="1508"/>
    </row>
    <row r="8" spans="1:12" ht="12.75">
      <c r="A8" s="3341" t="s">
        <v>1717</v>
      </c>
      <c r="B8" s="3399">
        <v>15</v>
      </c>
      <c r="C8" s="3402"/>
      <c r="D8" s="3390"/>
      <c r="E8" s="136" t="s">
        <v>1718</v>
      </c>
      <c r="F8" s="1894"/>
      <c r="G8" s="1894"/>
      <c r="H8" s="1894"/>
      <c r="I8" s="1508"/>
    </row>
    <row r="9" spans="1:12" ht="12.75">
      <c r="A9" s="3341"/>
      <c r="B9" s="3399"/>
      <c r="C9" s="3403"/>
      <c r="D9" s="3390"/>
      <c r="E9" s="136" t="s">
        <v>1719</v>
      </c>
      <c r="F9" s="1894"/>
      <c r="G9" s="1894"/>
      <c r="H9" s="1894"/>
      <c r="I9" s="1508"/>
    </row>
    <row r="10" spans="1:12" ht="12.75">
      <c r="A10" s="3341" t="s">
        <v>1720</v>
      </c>
      <c r="B10" s="3399">
        <v>15</v>
      </c>
      <c r="C10" s="3402"/>
      <c r="D10" s="3390"/>
      <c r="E10" s="136" t="s">
        <v>1721</v>
      </c>
      <c r="F10" s="1894"/>
      <c r="G10" s="1894"/>
      <c r="H10" s="1894"/>
      <c r="I10" s="1508"/>
    </row>
    <row r="11" spans="1:12" ht="12.75">
      <c r="A11" s="3341"/>
      <c r="B11" s="3399"/>
      <c r="C11" s="3403"/>
      <c r="D11" s="3390"/>
      <c r="E11" s="136" t="s">
        <v>1722</v>
      </c>
      <c r="F11" s="1894"/>
      <c r="G11" s="1894"/>
      <c r="H11" s="1894"/>
      <c r="I11" s="1508"/>
    </row>
    <row r="12" spans="1:12" ht="12.75">
      <c r="A12" s="3341" t="s">
        <v>1723</v>
      </c>
      <c r="B12" s="3399">
        <v>15</v>
      </c>
      <c r="C12" s="3402"/>
      <c r="D12" s="3390"/>
      <c r="E12" s="136" t="s">
        <v>1724</v>
      </c>
      <c r="F12" s="1894"/>
      <c r="G12" s="1894"/>
      <c r="H12" s="1894"/>
      <c r="I12" s="1508"/>
    </row>
    <row r="13" spans="1:12" ht="12.75">
      <c r="A13" s="3341"/>
      <c r="B13" s="3399"/>
      <c r="C13" s="3403"/>
      <c r="D13" s="3390"/>
      <c r="E13" s="136" t="s">
        <v>1725</v>
      </c>
      <c r="F13" s="1894"/>
      <c r="G13" s="1894"/>
      <c r="H13" s="1894"/>
      <c r="I13" s="1508"/>
    </row>
    <row r="14" spans="1:12" ht="12.75">
      <c r="A14" s="3341" t="s">
        <v>1726</v>
      </c>
      <c r="B14" s="3399">
        <v>30</v>
      </c>
      <c r="C14" s="3402">
        <v>5</v>
      </c>
      <c r="D14" s="3390">
        <v>5</v>
      </c>
      <c r="E14" s="136" t="s">
        <v>1727</v>
      </c>
      <c r="F14" s="1894"/>
      <c r="G14" s="1894"/>
      <c r="H14" s="1894"/>
      <c r="I14" s="1508"/>
    </row>
    <row r="15" spans="1:12" ht="12.75">
      <c r="A15" s="3341"/>
      <c r="B15" s="3399"/>
      <c r="C15" s="3404"/>
      <c r="D15" s="3390"/>
      <c r="E15" s="136" t="s">
        <v>1728</v>
      </c>
      <c r="F15" s="1894"/>
      <c r="G15" s="1894"/>
      <c r="H15" s="1894"/>
      <c r="I15" s="1508"/>
    </row>
    <row r="16" spans="1:12" ht="12.75">
      <c r="A16" s="3341"/>
      <c r="B16" s="3399"/>
      <c r="C16" s="3403"/>
      <c r="D16" s="3390"/>
      <c r="E16" s="136" t="s">
        <v>1729</v>
      </c>
      <c r="F16" s="1894"/>
      <c r="G16" s="1894"/>
      <c r="H16" s="1894"/>
      <c r="I16" s="1508"/>
    </row>
    <row r="17" spans="1:36" ht="15">
      <c r="A17" s="1895" t="s">
        <v>1730</v>
      </c>
      <c r="B17" s="60"/>
      <c r="C17" s="137">
        <f>SUM(C5:C16)</f>
        <v>5</v>
      </c>
      <c r="D17" s="137">
        <f>SUM(D5:D16)</f>
        <v>5</v>
      </c>
      <c r="E17" s="134"/>
      <c r="F17" s="134"/>
      <c r="G17" s="134"/>
      <c r="H17" s="134"/>
      <c r="I17" s="134"/>
      <c r="K17" s="308"/>
      <c r="L17" s="308" t="s">
        <v>1731</v>
      </c>
      <c r="M17" s="308" t="s">
        <v>1732</v>
      </c>
    </row>
    <row r="18" spans="1:36" ht="31.9" customHeight="1" thickBot="1">
      <c r="A18" s="1896" t="s">
        <v>1733</v>
      </c>
      <c r="B18" s="1897"/>
      <c r="C18" s="138">
        <f>ROUND(C17/SUM(C17:D17),2)</f>
        <v>0.5</v>
      </c>
      <c r="D18" s="138">
        <f>1-C18</f>
        <v>0.5</v>
      </c>
      <c r="E18" s="3421" t="s">
        <v>2632</v>
      </c>
      <c r="F18" s="3422"/>
      <c r="G18" s="3422"/>
      <c r="H18" s="3422"/>
      <c r="I18" s="3422"/>
      <c r="K18" s="308" t="s">
        <v>1734</v>
      </c>
      <c r="L18" s="308">
        <f>IF(C1="",'数据-汇总表'!E3,SUMIF(项目类型,C1,'数据-汇总表'!E17:E26)+SUMIF(项目类型,C1,'数据-汇总表'!I17:I26))</f>
        <v>2656.2</v>
      </c>
      <c r="M18" s="308">
        <f>IF(C1="",'数据-汇总表'!E3,SUMIF(项目类型,C1,'数据-汇总表'!E17:E26))</f>
        <v>2656.2</v>
      </c>
    </row>
    <row r="19" spans="1:36" ht="15">
      <c r="A19" s="1898" t="s">
        <v>1735</v>
      </c>
      <c r="B19" s="1899" t="s">
        <v>1736</v>
      </c>
      <c r="C19" s="139">
        <f ca="1">SUMIF(INDIRECT("'"&amp;C4&amp;"'"&amp;"!A:A"),结果表!B19,INDIRECT("'"&amp;C4&amp;"'"&amp;"!B:B"))</f>
        <v>5476</v>
      </c>
      <c r="D19" s="140">
        <f ca="1">SUMIF(INDIRECT("'"&amp;D4&amp;"'"&amp;"!A:A"),结果表!B19,INDIRECT("'"&amp;D4&amp;"'"&amp;"!B:B"))</f>
        <v>4375</v>
      </c>
      <c r="E19" s="1898" t="s">
        <v>1737</v>
      </c>
      <c r="F19" s="1899" t="s">
        <v>1736</v>
      </c>
      <c r="G19" s="141">
        <f ca="1">ROUND(C19*$C$18+D19*$D$18,0)</f>
        <v>4926</v>
      </c>
      <c r="H19" s="1900" t="s">
        <v>1738</v>
      </c>
      <c r="I19" s="134"/>
      <c r="K19" s="308" t="s">
        <v>1739</v>
      </c>
      <c r="L19" s="308">
        <f>IF(C1="",'数据-汇总表'!D3,SUMIF(项目类型,C1,'数据-汇总表'!D17:D26)+SUMIF(项目类型,C1,'数据-汇总表'!H17:H27))</f>
        <v>1736.72</v>
      </c>
      <c r="M19" s="308">
        <f>IF(C1="",'数据-汇总表'!D3,SUMIF(项目类型,C1,'数据-汇总表'!D17:D26))</f>
        <v>1736.72</v>
      </c>
    </row>
    <row r="20" spans="1:36" ht="15">
      <c r="A20" s="1901"/>
      <c r="B20" s="1138" t="s">
        <v>1740</v>
      </c>
      <c r="C20" s="142">
        <f ca="1">SUMIF(INDIRECT("'"&amp;C4&amp;"'"&amp;"!A:A"),结果表!B20,INDIRECT("'"&amp;C4&amp;"'"&amp;"!B:B"))</f>
        <v>20616</v>
      </c>
      <c r="D20" s="143">
        <f ca="1">SUMIF(INDIRECT("'"&amp;D4&amp;"'"&amp;"!A:A"),结果表!B20,INDIRECT("'"&amp;D4&amp;"'"&amp;"!B:B"))</f>
        <v>16471</v>
      </c>
      <c r="E20" s="1901"/>
      <c r="F20" s="1138" t="s">
        <v>1740</v>
      </c>
      <c r="G20" s="144">
        <f ca="1">ROUND(C20*$C$18+D20*$D$18,0)</f>
        <v>18544</v>
      </c>
      <c r="H20" s="898" t="s">
        <v>1741</v>
      </c>
      <c r="I20" s="134"/>
    </row>
    <row r="21" spans="1:36" ht="15" customHeight="1" thickBot="1">
      <c r="A21" s="918"/>
      <c r="B21" s="1902" t="s">
        <v>1742</v>
      </c>
      <c r="C21" s="728">
        <f ca="1">ROUND(C19*10000/L19,0)</f>
        <v>31531</v>
      </c>
      <c r="D21" s="729">
        <f ca="1">ROUND(D19*10000/L19,0)</f>
        <v>25191</v>
      </c>
      <c r="E21" s="918"/>
      <c r="F21" s="1902" t="s">
        <v>1742</v>
      </c>
      <c r="G21" s="145">
        <f ca="1">ROUND(G19*10000/L19,0)</f>
        <v>28364</v>
      </c>
      <c r="H21" s="1903" t="s">
        <v>1741</v>
      </c>
      <c r="I21" s="134"/>
    </row>
    <row r="22" spans="1:36" ht="15" thickBot="1">
      <c r="A22" s="1825" t="s">
        <v>1743</v>
      </c>
      <c r="B22" s="1904"/>
      <c r="C22" s="1905"/>
      <c r="D22" s="730">
        <f ca="1">IF(C19&lt;D19,D19/C19-1,C19/D19-1)</f>
        <v>0.2516571428571428</v>
      </c>
      <c r="E22" s="134"/>
      <c r="F22" s="134"/>
      <c r="G22" s="134"/>
      <c r="H22" s="134"/>
      <c r="I22" s="134"/>
    </row>
    <row r="23" spans="1:36" ht="13.5" thickBot="1">
      <c r="A23" s="1884"/>
      <c r="B23" s="1884"/>
      <c r="C23" s="1884"/>
      <c r="D23" s="1884"/>
      <c r="E23" s="134"/>
      <c r="F23" s="134"/>
      <c r="G23" s="134"/>
      <c r="H23" s="134"/>
      <c r="I23" s="134"/>
    </row>
    <row r="24" spans="1:36" ht="14.25">
      <c r="A24" s="3414" t="s">
        <v>1744</v>
      </c>
      <c r="B24" s="1899" t="s">
        <v>1736</v>
      </c>
      <c r="C24" s="141">
        <f>IF(B30=0,0,D30)</f>
        <v>0</v>
      </c>
      <c r="D24" s="1906"/>
      <c r="E24" s="134"/>
      <c r="F24" s="134"/>
      <c r="G24" s="134"/>
      <c r="H24" s="134"/>
      <c r="I24" s="134"/>
    </row>
    <row r="25" spans="1:36" ht="14.25">
      <c r="A25" s="3415"/>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4926</v>
      </c>
      <c r="D32" s="1912" t="s">
        <v>3197</v>
      </c>
      <c r="E32" s="134"/>
      <c r="F32" s="134"/>
      <c r="G32" s="134"/>
      <c r="H32" s="134"/>
      <c r="I32" s="134"/>
    </row>
    <row r="33" spans="1:15" ht="15">
      <c r="A33" s="875" t="s">
        <v>1751</v>
      </c>
      <c r="B33" s="1913"/>
      <c r="C33" s="1914" t="s">
        <v>3200</v>
      </c>
      <c r="D33" s="1915" t="s">
        <v>3188</v>
      </c>
      <c r="E33" s="1916" t="s">
        <v>1752</v>
      </c>
      <c r="F33" s="1917" t="str">
        <f>IF(D32="楼面单价","取值（单价）","取值（总价）")</f>
        <v>取值（总价）</v>
      </c>
      <c r="G33" s="134"/>
      <c r="H33" s="134"/>
      <c r="I33" s="134"/>
    </row>
    <row r="34" spans="1:15" ht="15">
      <c r="A34" s="1918"/>
      <c r="B34" s="1919" t="s">
        <v>1753</v>
      </c>
      <c r="C34" s="153">
        <f ca="1">IF(C33="自定义",F34,C32-C35)</f>
        <v>3187</v>
      </c>
      <c r="D34" s="951">
        <f ca="1">IF(C33="自定义",ROUND(C34/C32,3),IF(C33="收益比率",SUMIF(INDIRECT("'"&amp;D33&amp;"'"&amp;"!b:b"),"土地收益比率",INDIRECT("'"&amp;D33&amp;"'"&amp;"!c:c")),SUMIF(INDIRECT("'"&amp;D33&amp;"'"&amp;"!b:b"),"土地成本比率",INDIRECT("'"&amp;D33&amp;"'"&amp;"!c:c"))))</f>
        <v>0.64700000000000002</v>
      </c>
      <c r="E34" s="1920" t="s">
        <v>1754</v>
      </c>
      <c r="F34" s="1451"/>
      <c r="G34" s="134"/>
      <c r="H34" s="134"/>
      <c r="I34" s="134"/>
    </row>
    <row r="35" spans="1:15" ht="15.75" thickBot="1">
      <c r="A35" s="1921"/>
      <c r="B35" s="1922" t="s">
        <v>1755</v>
      </c>
      <c r="C35" s="1285">
        <f ca="1">IF(C33="自定义",F35,ROUND(C32*D35,0))</f>
        <v>1739</v>
      </c>
      <c r="D35" s="1286">
        <f ca="1">IF(C33="自定义",ROUND(C35/C32,3),IF(C33="收益比率",SUMIF(INDIRECT("'"&amp;D33&amp;"'"&amp;"!b:b"),"建筑物收益比率",INDIRECT("'"&amp;D33&amp;"'"&amp;"!c:c")),SUMIF(INDIRECT("'"&amp;D33&amp;"'"&amp;"!b:b"),"建筑物成本比率",INDIRECT("'"&amp;D33&amp;"'"&amp;"!c:c"))))</f>
        <v>0.35299999999999998</v>
      </c>
      <c r="E35" s="1923" t="s">
        <v>1756</v>
      </c>
      <c r="F35" s="159"/>
      <c r="G35" s="134"/>
      <c r="H35" s="134"/>
      <c r="I35" s="134"/>
    </row>
    <row r="36" spans="1:15" ht="15.75" thickBot="1">
      <c r="A36" s="3391" t="s">
        <v>1757</v>
      </c>
      <c r="B36" s="1924" t="s">
        <v>1758</v>
      </c>
      <c r="C36" s="150"/>
      <c r="D36" s="1925"/>
      <c r="E36" s="1926"/>
      <c r="F36" s="1927"/>
      <c r="G36" s="134"/>
      <c r="H36" s="134"/>
      <c r="I36" s="134"/>
    </row>
    <row r="37" spans="1:15" ht="15.75" thickBot="1">
      <c r="A37" s="3392"/>
      <c r="B37" s="1811" t="s">
        <v>1759</v>
      </c>
      <c r="C37" s="152"/>
      <c r="D37" s="1254"/>
      <c r="E37" s="1254"/>
      <c r="F37" s="1927"/>
      <c r="G37" s="134"/>
      <c r="H37" s="134"/>
      <c r="I37" s="134"/>
    </row>
    <row r="38" spans="1:15" ht="15.75" thickBot="1">
      <c r="A38" s="3393"/>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411" t="s">
        <v>1771</v>
      </c>
      <c r="B45" s="3412"/>
      <c r="C45" s="3413"/>
      <c r="D45" s="160">
        <f ca="1">ROUND(H101*F45,0)</f>
        <v>4926</v>
      </c>
      <c r="E45" s="161" t="s">
        <v>1772</v>
      </c>
      <c r="F45" s="162">
        <v>1</v>
      </c>
      <c r="G45" s="163" t="s">
        <v>1773</v>
      </c>
      <c r="H45" s="134"/>
      <c r="I45" s="134"/>
      <c r="J45" s="3328" t="s">
        <v>1774</v>
      </c>
      <c r="K45" s="3328"/>
      <c r="L45" s="3328"/>
      <c r="M45" s="3328"/>
      <c r="N45" s="3328"/>
      <c r="O45" s="3328"/>
    </row>
    <row r="46" spans="1:15" ht="14.25" customHeight="1">
      <c r="A46" s="3408" t="s">
        <v>1775</v>
      </c>
      <c r="B46" s="3409"/>
      <c r="C46" s="3409"/>
      <c r="D46" s="3409"/>
      <c r="E46" s="3409"/>
      <c r="F46" s="3409"/>
      <c r="G46" s="3410"/>
      <c r="H46" s="1943"/>
      <c r="I46" s="164"/>
      <c r="J46" s="2699">
        <v>1</v>
      </c>
      <c r="K46" s="3329" t="s">
        <v>1776</v>
      </c>
      <c r="L46" s="3329"/>
      <c r="M46" s="3330"/>
      <c r="N46" s="3330"/>
      <c r="O46" s="3330"/>
    </row>
    <row r="47" spans="1:15" ht="12" customHeight="1">
      <c r="A47" s="165" t="s">
        <v>1777</v>
      </c>
      <c r="B47" s="166"/>
      <c r="C47" s="167"/>
      <c r="D47" s="1200" t="s">
        <v>1778</v>
      </c>
      <c r="E47" s="308" t="s">
        <v>1779</v>
      </c>
      <c r="F47" s="168" t="s">
        <v>1780</v>
      </c>
      <c r="G47" s="2722" t="s">
        <v>1781</v>
      </c>
      <c r="H47" s="2723"/>
      <c r="I47" s="164"/>
      <c r="J47" s="2699">
        <v>2</v>
      </c>
      <c r="K47" s="3329" t="s">
        <v>1782</v>
      </c>
      <c r="L47" s="3329"/>
      <c r="M47" s="3331">
        <f>'数据-取费表'!B2</f>
        <v>44705</v>
      </c>
      <c r="N47" s="3331"/>
      <c r="O47" s="3331"/>
    </row>
    <row r="48" spans="1:15" ht="25.5">
      <c r="A48" s="3394" t="s">
        <v>1783</v>
      </c>
      <c r="B48" s="3395"/>
      <c r="C48" s="3395"/>
      <c r="D48" s="2498" t="b">
        <f>IF(H48="情况1",0,IF(H48="情况2",D52,IF(H48="情况3",D53,IF(H48="情况4",D54))))</f>
        <v>0</v>
      </c>
      <c r="E48" s="2508" t="str">
        <f>IF(H48="情况4","(销售额-原购置价)×税（费）率","销售额×税（费）率")</f>
        <v>销售额×税（费）率</v>
      </c>
      <c r="F48" s="2724">
        <f>IF(H48="情况1","免征",'数据-取费表'!B41)</f>
        <v>5.5000000000000007E-2</v>
      </c>
      <c r="G48" s="2725" t="s">
        <v>1784</v>
      </c>
      <c r="H48" s="2726"/>
      <c r="I48" s="1943"/>
      <c r="J48" s="2699">
        <v>3</v>
      </c>
      <c r="K48" s="3329" t="s">
        <v>1785</v>
      </c>
      <c r="L48" s="3329"/>
      <c r="M48" s="3332">
        <f ca="1">H101</f>
        <v>4926</v>
      </c>
      <c r="N48" s="3332"/>
      <c r="O48" s="3332"/>
    </row>
    <row r="49" spans="1:35" ht="25.5" customHeight="1">
      <c r="A49" s="2507" t="s">
        <v>1786</v>
      </c>
      <c r="B49" s="3377" t="s">
        <v>1787</v>
      </c>
      <c r="C49" s="3377"/>
      <c r="D49" s="1726">
        <v>0</v>
      </c>
      <c r="E49" s="330" t="s">
        <v>1788</v>
      </c>
      <c r="F49" s="2600" t="s">
        <v>34</v>
      </c>
      <c r="G49" s="3360"/>
      <c r="H49" s="2479" t="s">
        <v>2635</v>
      </c>
      <c r="I49" s="2480"/>
      <c r="J49" s="2699">
        <v>4</v>
      </c>
      <c r="K49" s="3329" t="str">
        <f>IF(项目基本情况!E8="房地产抵押价值","房地产抵押价值","抵押担保权已注销时的房地产抵押价值")</f>
        <v>房地产抵押价值</v>
      </c>
      <c r="L49" s="3329"/>
      <c r="M49" s="3332">
        <f ca="1">IF(项目基本情况!E8="房地产抵押价值",H107,H109)</f>
        <v>4926</v>
      </c>
      <c r="N49" s="3332"/>
      <c r="O49" s="3332"/>
    </row>
    <row r="50" spans="1:35" ht="25.5" customHeight="1">
      <c r="A50" s="2727"/>
      <c r="B50" s="3377" t="s">
        <v>1789</v>
      </c>
      <c r="C50" s="3377"/>
      <c r="D50" s="2728"/>
      <c r="E50" s="338"/>
      <c r="F50" s="2600"/>
      <c r="G50" s="3361"/>
      <c r="H50" s="2481" t="s">
        <v>2636</v>
      </c>
      <c r="I50" s="2480"/>
      <c r="J50" s="3328" t="s">
        <v>1790</v>
      </c>
      <c r="K50" s="3328"/>
      <c r="L50" s="3328"/>
      <c r="M50" s="3328"/>
      <c r="N50" s="3328"/>
      <c r="O50" s="3328"/>
    </row>
    <row r="51" spans="1:35" ht="20.45" customHeight="1">
      <c r="A51" s="2729"/>
      <c r="B51" s="3377" t="s">
        <v>1791</v>
      </c>
      <c r="C51" s="3377"/>
      <c r="D51" s="1200"/>
      <c r="E51" s="333"/>
      <c r="F51" s="2600"/>
      <c r="G51" s="3362"/>
      <c r="H51" s="2481" t="s">
        <v>2637</v>
      </c>
      <c r="I51" s="2480"/>
      <c r="J51" s="2700" t="s">
        <v>1792</v>
      </c>
      <c r="K51" s="3329" t="s">
        <v>1793</v>
      </c>
      <c r="L51" s="3329"/>
      <c r="M51" s="2700" t="s">
        <v>1794</v>
      </c>
      <c r="N51" s="2700" t="s">
        <v>1795</v>
      </c>
      <c r="O51" s="2700" t="s">
        <v>1796</v>
      </c>
    </row>
    <row r="52" spans="1:35" ht="24" customHeight="1">
      <c r="A52" s="2509" t="s">
        <v>1797</v>
      </c>
      <c r="B52" s="3377" t="s">
        <v>1798</v>
      </c>
      <c r="C52" s="3377"/>
      <c r="D52" s="1200">
        <f ca="1">ROUND(D45*'数据-取费表'!B41/(1+'数据-取费表'!C42),0)</f>
        <v>258</v>
      </c>
      <c r="E52" s="2508" t="s">
        <v>1799</v>
      </c>
      <c r="F52" s="2730">
        <f>'数据-取费表'!B41</f>
        <v>5.5000000000000007E-2</v>
      </c>
      <c r="G52" s="2731"/>
      <c r="H52" s="2720"/>
      <c r="I52" s="1944"/>
      <c r="J52" s="2699">
        <v>1</v>
      </c>
      <c r="K52" s="3354" t="s">
        <v>1800</v>
      </c>
      <c r="L52" s="3354"/>
      <c r="M52" s="2701" t="b">
        <f>D48</f>
        <v>0</v>
      </c>
      <c r="N52" s="2699" t="str">
        <f>E48</f>
        <v>销售额×税（费）率</v>
      </c>
      <c r="O52" s="2702">
        <f>F48</f>
        <v>5.5000000000000007E-2</v>
      </c>
    </row>
    <row r="53" spans="1:35" ht="12" customHeight="1">
      <c r="A53" s="2509" t="s">
        <v>1801</v>
      </c>
      <c r="B53" s="3378" t="s">
        <v>2792</v>
      </c>
      <c r="C53" s="3379"/>
      <c r="D53" s="1200">
        <f ca="1">ROUND(D45*'数据-取费表'!B41/(1+'数据-取费表'!C42),0)</f>
        <v>258</v>
      </c>
      <c r="E53" s="2508" t="s">
        <v>1799</v>
      </c>
      <c r="F53" s="2730">
        <f>'数据-取费表'!B41</f>
        <v>5.5000000000000007E-2</v>
      </c>
      <c r="G53" s="2731"/>
      <c r="H53" s="2720"/>
      <c r="I53" s="1944"/>
      <c r="J53" s="2699">
        <v>2</v>
      </c>
      <c r="K53" s="3354" t="s">
        <v>1802</v>
      </c>
      <c r="L53" s="3354"/>
      <c r="M53" s="2701">
        <f t="shared" ref="M53:O54" ca="1" si="0">D55</f>
        <v>2</v>
      </c>
      <c r="N53" s="2699" t="str">
        <f t="shared" si="0"/>
        <v>销售额×税（费）率</v>
      </c>
      <c r="O53" s="2702" t="str">
        <f t="shared" si="0"/>
        <v>免征</v>
      </c>
    </row>
    <row r="54" spans="1:35" ht="12" customHeight="1">
      <c r="A54" s="2509" t="s">
        <v>1803</v>
      </c>
      <c r="B54" s="3378" t="s">
        <v>2793</v>
      </c>
      <c r="C54" s="3379"/>
      <c r="D54" s="1200">
        <f ca="1">C68</f>
        <v>258</v>
      </c>
      <c r="E54" s="333" t="s">
        <v>1804</v>
      </c>
      <c r="F54" s="2730">
        <f>'数据-取费表'!B41</f>
        <v>5.5000000000000007E-2</v>
      </c>
      <c r="G54" s="2731"/>
      <c r="H54" s="2732"/>
      <c r="I54" s="1944"/>
      <c r="J54" s="2699">
        <v>3</v>
      </c>
      <c r="K54" s="3354" t="s">
        <v>1805</v>
      </c>
      <c r="L54" s="3354"/>
      <c r="M54" s="2701">
        <f t="shared" ca="1" si="0"/>
        <v>2793</v>
      </c>
      <c r="N54" s="2699" t="str">
        <f t="shared" si="0"/>
        <v>增值额×税（费）率</v>
      </c>
      <c r="O54" s="2703" t="str">
        <f t="shared" si="0"/>
        <v>免征</v>
      </c>
    </row>
    <row r="55" spans="1:35" ht="24" customHeight="1">
      <c r="A55" s="3417" t="s">
        <v>1806</v>
      </c>
      <c r="B55" s="3395"/>
      <c r="C55" s="3395"/>
      <c r="D55" s="2498">
        <f ca="1">IF(H55="个人住宅",0,ROUND(D45*I55,0))</f>
        <v>2</v>
      </c>
      <c r="E55" s="2508" t="s">
        <v>1807</v>
      </c>
      <c r="F55" s="2730" t="str">
        <f>IF(H55="正常",I55,"免征")</f>
        <v>免征</v>
      </c>
      <c r="G55" s="2731"/>
      <c r="H55" s="2726"/>
      <c r="I55" s="170">
        <f>'数据-取费表'!B49</f>
        <v>5.0000000000000001E-4</v>
      </c>
      <c r="J55" s="2699">
        <f>IF(H59="非个人房产","",4)</f>
        <v>4</v>
      </c>
      <c r="K55" s="3354" t="str">
        <f>IF(H59="非个人房产","——","个人所得税")</f>
        <v>个人所得税</v>
      </c>
      <c r="L55" s="3354"/>
      <c r="M55" s="2704">
        <f ca="1">D59</f>
        <v>47</v>
      </c>
      <c r="N55" s="2179" t="str">
        <f>E59</f>
        <v>差额计税</v>
      </c>
      <c r="O55" s="2705">
        <f>F59</f>
        <v>0.01</v>
      </c>
    </row>
    <row r="56" spans="1:35" ht="24.75">
      <c r="A56" s="3417" t="s">
        <v>1808</v>
      </c>
      <c r="B56" s="3395"/>
      <c r="C56" s="3395"/>
      <c r="D56" s="2498">
        <f ca="1">IF(H56="个人住宅",D57,D58)</f>
        <v>2793</v>
      </c>
      <c r="E56" s="2508" t="s">
        <v>1809</v>
      </c>
      <c r="F56" s="2730" t="str">
        <f>IF(H56="正常",F58,"免征")</f>
        <v>免征</v>
      </c>
      <c r="G56" s="2733" t="s">
        <v>1810</v>
      </c>
      <c r="H56" s="2734"/>
      <c r="I56" s="1945"/>
      <c r="J56" s="2699" t="str">
        <f>IF(项目基本情况!K6="上海银行",IF(J55="",4,J55+1),"")</f>
        <v/>
      </c>
      <c r="K56" s="3335" t="str">
        <f>IF(项目基本情况!K6="上海银行","其他处置费用","")</f>
        <v/>
      </c>
      <c r="L56" s="3336"/>
      <c r="M56" s="2701" t="str">
        <f>IF(项目基本情况!K6="上海银行",M69,"")</f>
        <v/>
      </c>
      <c r="N56" s="3335" t="str">
        <f>IF(项目基本情况!K6="上海银行","包含处置中涉及的律师、诉讼、拍卖、评估等费用","")</f>
        <v/>
      </c>
      <c r="O56" s="3338"/>
    </row>
    <row r="57" spans="1:35" ht="12.75">
      <c r="A57" s="2509" t="s">
        <v>1786</v>
      </c>
      <c r="B57" s="3378" t="s">
        <v>1811</v>
      </c>
      <c r="C57" s="3379"/>
      <c r="D57" s="1726">
        <v>0</v>
      </c>
      <c r="E57" s="330" t="s">
        <v>1788</v>
      </c>
      <c r="F57" s="308"/>
      <c r="G57" s="2731"/>
      <c r="H57" s="2735"/>
      <c r="I57" s="1945"/>
      <c r="J57" s="3354">
        <f>IF(AND(J55="",J56=""),4,IF(项目基本情况!K6="上海银行",结果表!J56+1,结果表!J55+1))</f>
        <v>5</v>
      </c>
      <c r="K57" s="3354" t="s">
        <v>1812</v>
      </c>
      <c r="L57" s="2706" t="s">
        <v>1813</v>
      </c>
      <c r="M57" s="2707"/>
      <c r="N57" s="2708">
        <f ca="1">SUMIF(M52:M56,"&lt;9e307")</f>
        <v>2842</v>
      </c>
      <c r="O57" s="2709"/>
      <c r="P57" s="2869">
        <f ca="1">N57/M49</f>
        <v>0.57693869265123832</v>
      </c>
    </row>
    <row r="58" spans="1:35" ht="24.75">
      <c r="A58" s="2509" t="s">
        <v>1797</v>
      </c>
      <c r="B58" s="3378" t="s">
        <v>1814</v>
      </c>
      <c r="C58" s="3377"/>
      <c r="D58" s="2498">
        <f ca="1">IF(H58="转让取得",C81,C97)</f>
        <v>2793</v>
      </c>
      <c r="E58" s="2508" t="s">
        <v>1809</v>
      </c>
      <c r="F58" s="308" t="s">
        <v>34</v>
      </c>
      <c r="G58" s="2731"/>
      <c r="H58" s="2734"/>
      <c r="I58" s="1945"/>
      <c r="J58" s="3354"/>
      <c r="K58" s="3354"/>
      <c r="L58" s="2706" t="s">
        <v>1815</v>
      </c>
      <c r="M58" s="2710"/>
      <c r="N58" s="2711" t="str">
        <f ca="1">NUMBERSTRING(INT(N57*10000),2)&amp;"元整"</f>
        <v>贰仟捌佰肆拾贰万元整</v>
      </c>
      <c r="O58" s="2712"/>
    </row>
    <row r="59" spans="1:35" ht="24.75" thickBot="1">
      <c r="A59" s="3358" t="s">
        <v>1816</v>
      </c>
      <c r="B59" s="3359"/>
      <c r="C59" s="3359"/>
      <c r="D59" s="2736">
        <f ca="1">IF(H59="非个人房产","——",IF(H59="个人住宅（满五唯一有凭证）",0,IF(H59="个人其他（无凭证）",ROUND(D45*F59,0),ROUND(C67*F59,0))))</f>
        <v>47</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1810</v>
      </c>
      <c r="H59" s="2483"/>
      <c r="I59" s="2482" t="s">
        <v>2638</v>
      </c>
      <c r="J59" s="3356">
        <f>J57+1</f>
        <v>6</v>
      </c>
      <c r="K59" s="3354" t="s">
        <v>1817</v>
      </c>
      <c r="L59" s="2699" t="s">
        <v>1813</v>
      </c>
      <c r="M59" s="2713"/>
      <c r="N59" s="2714">
        <f ca="1">M49-N57</f>
        <v>2084</v>
      </c>
      <c r="O59" s="2715"/>
    </row>
    <row r="60" spans="1:35" ht="12" customHeight="1">
      <c r="A60" s="1946"/>
      <c r="B60" s="1884"/>
      <c r="C60" s="1884"/>
      <c r="D60" s="1884"/>
      <c r="E60" s="1714"/>
      <c r="F60" s="1945"/>
      <c r="G60" s="1945"/>
      <c r="H60" s="1947"/>
      <c r="I60" s="134"/>
      <c r="J60" s="3357"/>
      <c r="K60" s="3354"/>
      <c r="L60" s="2706" t="s">
        <v>1815</v>
      </c>
      <c r="M60" s="2710"/>
      <c r="N60" s="2711" t="str">
        <f ca="1">NUMBERSTRING(INT(N59*10000),2)&amp;"元整"</f>
        <v>贰仟零捌拾肆万元整</v>
      </c>
      <c r="O60" s="2712"/>
    </row>
    <row r="61" spans="1:35" ht="13.5" thickBot="1">
      <c r="A61" s="3416" t="s">
        <v>1818</v>
      </c>
      <c r="B61" s="3416"/>
      <c r="C61" s="3416"/>
      <c r="D61" s="3416"/>
      <c r="E61" s="3416"/>
      <c r="F61" s="1945"/>
      <c r="G61" s="1945"/>
      <c r="H61" s="1947"/>
      <c r="I61" s="134"/>
      <c r="J61" s="2699">
        <f>J59+1</f>
        <v>7</v>
      </c>
      <c r="K61" s="3354" t="s">
        <v>1819</v>
      </c>
      <c r="L61" s="3354"/>
      <c r="M61" s="2716"/>
      <c r="N61" s="2717">
        <f ca="1">ROUND(N59*10000/'数据-汇总表'!E3,0)</f>
        <v>7846</v>
      </c>
      <c r="O61" s="2718"/>
    </row>
    <row r="62" spans="1:35" ht="12.75">
      <c r="A62" s="3373" t="s">
        <v>1820</v>
      </c>
      <c r="B62" s="3374"/>
      <c r="C62" s="2160"/>
      <c r="D62" s="2160" t="s">
        <v>1821</v>
      </c>
      <c r="E62" s="171" t="s">
        <v>1822</v>
      </c>
      <c r="F62" s="1945"/>
      <c r="G62" s="1945"/>
      <c r="H62" s="1947"/>
      <c r="I62" s="134"/>
    </row>
    <row r="63" spans="1:35" ht="12.75">
      <c r="A63" s="178" t="s">
        <v>594</v>
      </c>
      <c r="B63" s="172" t="s">
        <v>1823</v>
      </c>
      <c r="C63" s="2740">
        <f ca="1">ROUND((C64+C65)/(1+'数据-取费表'!C42),0)</f>
        <v>4691</v>
      </c>
      <c r="D63" s="172"/>
      <c r="E63" s="173"/>
      <c r="F63" s="1945"/>
      <c r="G63" s="1945"/>
      <c r="H63" s="1947"/>
      <c r="I63" s="134"/>
      <c r="J63" s="3337" t="s">
        <v>1824</v>
      </c>
      <c r="K63" s="1453" t="s">
        <v>1825</v>
      </c>
      <c r="L63" s="1453">
        <f ca="1">IF(M49&gt;10000,M49*0.5%,IF(AND(M49&gt;1000,M49&lt;=10000),M49*1%,IF(AND(M49&gt;100,M49&lt;=1000),M49*3%,IF(AND(M49&gt;10,M49&lt;=100),M49*5%,M49*8%))))</f>
        <v>49.26</v>
      </c>
      <c r="M63" s="308">
        <f ca="1">ROUND(L63,1)</f>
        <v>49.3</v>
      </c>
      <c r="N63" s="2719"/>
      <c r="Z63" s="1889"/>
      <c r="AI63" s="1890"/>
    </row>
    <row r="64" spans="1:35" ht="14.25" customHeight="1">
      <c r="A64" s="174" t="s">
        <v>589</v>
      </c>
      <c r="B64" s="175" t="s">
        <v>1826</v>
      </c>
      <c r="C64" s="2741">
        <f ca="1">D45</f>
        <v>4926</v>
      </c>
      <c r="D64" s="175" t="s">
        <v>32</v>
      </c>
      <c r="E64" s="177"/>
      <c r="F64" s="1945"/>
      <c r="G64" s="1945"/>
      <c r="H64" s="1947"/>
      <c r="I64" s="134"/>
      <c r="J64" s="3337"/>
      <c r="K64" s="1453" t="s">
        <v>1827</v>
      </c>
      <c r="L64" s="1453">
        <f ca="1">IF(M49&gt;2000,M49*0.5%,IF(AND(M49&gt;1000,M49&lt;=2000),M49*0.6%,IF(AND(M49&gt;500,M49&lt;=1000),M49*0.7%,IF(AND(M49&gt;200,M49&lt;=500),M49*0.8%,IF(AND(M49&gt;100,M49&lt;=200),M49*0.9%,IF(AND(M49&gt;50,M49&lt;=100),M49*1%,IF(AND(M49&gt;20,M49&lt;=50),M49*1.5%,IF(AND(M49&gt;10,M49&lt;=20),M49*2%,IF(AND(M49&gt;1,M49&lt;=10),M49*2.5%)))))))))</f>
        <v>24.63</v>
      </c>
      <c r="M64" s="308">
        <f t="shared" ref="M64:M65" ca="1" si="1">ROUND(L64,1)</f>
        <v>24.6</v>
      </c>
      <c r="N64" s="2720" t="s">
        <v>1828</v>
      </c>
      <c r="Z64" s="1889"/>
      <c r="AI64" s="1890"/>
    </row>
    <row r="65" spans="1:35" ht="14.25" customHeight="1">
      <c r="A65" s="174" t="s">
        <v>590</v>
      </c>
      <c r="B65" s="175" t="s">
        <v>1829</v>
      </c>
      <c r="C65" s="2742"/>
      <c r="D65" s="175"/>
      <c r="E65" s="177"/>
      <c r="F65" s="1945"/>
      <c r="G65" s="1945"/>
      <c r="H65" s="1947"/>
      <c r="I65" s="134"/>
      <c r="J65" s="3337"/>
      <c r="K65" s="1453" t="s">
        <v>1830</v>
      </c>
      <c r="L65" s="1453">
        <f ca="1">IF(M49&gt;1000,M49*0.1%,IF(AND(M49&gt;500,M49&lt;=1000),M49*0.5%,IF(AND(M49&gt;50,M49&lt;=500),M49*1%,IF(AND(M49&gt;1,M49&lt;=50),M49*1.5%))))</f>
        <v>4.9260000000000002</v>
      </c>
      <c r="M65" s="308">
        <f t="shared" ca="1" si="1"/>
        <v>4.9000000000000004</v>
      </c>
      <c r="N65" s="2720" t="s">
        <v>1828</v>
      </c>
      <c r="Z65" s="1889"/>
      <c r="AI65" s="1890"/>
    </row>
    <row r="66" spans="1:35" ht="14.25" customHeight="1">
      <c r="A66" s="178" t="s">
        <v>591</v>
      </c>
      <c r="B66" s="179" t="s">
        <v>1831</v>
      </c>
      <c r="C66" s="2743"/>
      <c r="D66" s="179" t="s">
        <v>32</v>
      </c>
      <c r="E66" s="1460" t="s">
        <v>1096</v>
      </c>
      <c r="F66" s="1945"/>
      <c r="G66" s="1945"/>
      <c r="H66" s="1947"/>
      <c r="I66" s="134"/>
      <c r="J66" s="3337"/>
      <c r="K66" s="1453" t="s">
        <v>1832</v>
      </c>
      <c r="L66" s="1453">
        <f ca="1">M49*0.5%</f>
        <v>24.63</v>
      </c>
      <c r="M66" s="308">
        <f ca="1">IF(L66&gt;0.5,0.5,ROUND(L66,0))</f>
        <v>0.5</v>
      </c>
      <c r="N66" s="2720" t="s">
        <v>1833</v>
      </c>
      <c r="Z66" s="1889"/>
      <c r="AI66" s="1890"/>
    </row>
    <row r="67" spans="1:35" ht="14.25" customHeight="1">
      <c r="A67" s="178" t="s">
        <v>592</v>
      </c>
      <c r="B67" s="179" t="s">
        <v>1834</v>
      </c>
      <c r="C67" s="2744">
        <f ca="1">C63-C66</f>
        <v>4691</v>
      </c>
      <c r="D67" s="175" t="s">
        <v>32</v>
      </c>
      <c r="E67" s="177"/>
      <c r="F67" s="1945"/>
      <c r="G67" s="1945"/>
      <c r="H67" s="1947"/>
      <c r="I67" s="134"/>
      <c r="J67" s="3337"/>
      <c r="K67" s="1453" t="s">
        <v>1835</v>
      </c>
      <c r="L67" s="1453">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19"/>
      <c r="Z67" s="1889"/>
      <c r="AI67" s="1890"/>
    </row>
    <row r="68" spans="1:35" ht="14.25" customHeight="1" thickBot="1">
      <c r="A68" s="181" t="s">
        <v>593</v>
      </c>
      <c r="B68" s="182" t="s">
        <v>1836</v>
      </c>
      <c r="C68" s="2745">
        <f ca="1">IF(C67&lt;=0,0,ROUND(C67*D68,0))</f>
        <v>258</v>
      </c>
      <c r="D68" s="2746">
        <f>'数据-取费表'!B41</f>
        <v>5.5000000000000007E-2</v>
      </c>
      <c r="E68" s="184"/>
      <c r="F68" s="1945"/>
      <c r="G68" s="1945"/>
      <c r="H68" s="1947"/>
      <c r="I68" s="134"/>
      <c r="J68" s="3337"/>
      <c r="K68" s="1453" t="s">
        <v>1837</v>
      </c>
      <c r="L68" s="1453">
        <f ca="1">IF(M49&gt;10000,M49*0.5%,IF(AND(M49&gt;5000,M49&lt;=10000),M49*1%,IF(AND(M49&gt;1000,M49&lt;=5000),M49*2%,IF(AND(M49&gt;200,M49&lt;=1000),M49*3%,M49*5%))))</f>
        <v>98.52</v>
      </c>
      <c r="M68" s="308">
        <f ca="1">ROUND(L68,1)</f>
        <v>98.5</v>
      </c>
      <c r="N68" s="2719"/>
      <c r="Z68" s="1889"/>
      <c r="AI68" s="1890"/>
    </row>
    <row r="69" spans="1:35" s="1909" customFormat="1" ht="16.5" customHeight="1">
      <c r="A69" s="1948"/>
      <c r="B69" s="1949"/>
      <c r="C69" s="1950"/>
      <c r="D69" s="1951"/>
      <c r="E69" s="1952"/>
      <c r="F69" s="1714"/>
      <c r="G69" s="1714"/>
      <c r="H69" s="1713"/>
      <c r="I69" s="1884"/>
      <c r="J69" s="3337"/>
      <c r="K69" s="1453" t="s">
        <v>1838</v>
      </c>
      <c r="L69" s="1453"/>
      <c r="M69" s="308">
        <f ca="1">ROUND(SUM(M63:M68),0)</f>
        <v>180</v>
      </c>
      <c r="N69" s="2721">
        <f ca="1">M69/M49</f>
        <v>3.6540803897685749E-2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81" t="s">
        <v>1839</v>
      </c>
      <c r="B70" s="3382"/>
      <c r="C70" s="3382"/>
      <c r="D70" s="3382"/>
      <c r="E70" s="3382"/>
      <c r="F70" s="3382"/>
      <c r="G70" s="3382"/>
      <c r="H70" s="3382"/>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73" t="s">
        <v>1820</v>
      </c>
      <c r="B71" s="3374"/>
      <c r="C71" s="2160"/>
      <c r="D71" s="2160" t="s">
        <v>1821</v>
      </c>
      <c r="E71" s="185" t="s">
        <v>1822</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4">
        <f ca="1">ROUND(D45/(1+'数据-取费表'!C42),0)</f>
        <v>4691</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4">
        <f ca="1">C74+C78</f>
        <v>23</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7"/>
      <c r="D75" s="175" t="s">
        <v>32</v>
      </c>
      <c r="E75" s="190" t="s">
        <v>1844</v>
      </c>
      <c r="F75" s="2748"/>
      <c r="G75" s="190" t="s">
        <v>1845</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50">
        <v>0.05</v>
      </c>
      <c r="E76" s="3378" t="s">
        <v>1847</v>
      </c>
      <c r="F76" s="3377"/>
      <c r="G76" s="3377"/>
      <c r="H76" s="3380"/>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1">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2">
        <f ca="1">ROUND(D45*D78/(1+'数据-取费表'!C42),0)</f>
        <v>23</v>
      </c>
      <c r="D78" s="2753">
        <f>'数据-取费表'!B43</f>
        <v>5.000000000000001E-3</v>
      </c>
      <c r="E78" s="3370" t="s">
        <v>1851</v>
      </c>
      <c r="F78" s="3371"/>
      <c r="G78" s="3371"/>
      <c r="H78" s="3372"/>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4">
        <f ca="1">C72-C73</f>
        <v>4668</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4">
        <f ca="1">IF(C79&lt;=0,0,C79/C73)</f>
        <v>202.95652173913044</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5">
        <f ca="1">ROUND(IF(C79&lt;=0,0,IF(C80&gt;=200%,C79*60%-C73*35%,IF(C80&gt;=100%,C79*50%-C73*15%,IF(C80&gt;=50%,C79*40%-C73*5%,IF(C80&lt;50%,C79*30%,0))))),0)</f>
        <v>2793</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81" t="s">
        <v>1855</v>
      </c>
      <c r="B83" s="3382"/>
      <c r="C83" s="3382"/>
      <c r="D83" s="3382"/>
      <c r="E83" s="3382"/>
      <c r="F83" s="3382"/>
      <c r="G83" s="3382"/>
      <c r="H83" s="3382"/>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73" t="s">
        <v>1820</v>
      </c>
      <c r="B84" s="3374"/>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4">
        <f ca="1">ROUND(D45/(1+'数据-取费表'!C42),0)</f>
        <v>4691</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4">
        <f ca="1">IF(H88="仅含出让金",C87+C90+C91+C92+C93+C94,C87+C91+C92+C93+C94)</f>
        <v>23</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8"/>
      <c r="D88" s="2753"/>
      <c r="E88" s="199" t="s">
        <v>1858</v>
      </c>
      <c r="F88" s="2501"/>
      <c r="G88" s="200" t="s">
        <v>1859</v>
      </c>
      <c r="H88" s="1961"/>
      <c r="I88" s="1958"/>
      <c r="J88" s="2697"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2">
        <f>ROUND(C88*D89,0)</f>
        <v>0</v>
      </c>
      <c r="D89" s="2753">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8"/>
      <c r="D90" s="2753"/>
      <c r="E90" s="199" t="str">
        <f>IF(H88="-","土地取得成本中已包含该笔费用"," ")</f>
        <v xml:space="preserve"> </v>
      </c>
      <c r="F90" s="2501"/>
      <c r="G90" s="3339" t="s">
        <v>2630</v>
      </c>
      <c r="H90" s="3340"/>
      <c r="I90" s="1958"/>
      <c r="J90" s="2697"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2">
        <f>IF(H91="——",成本法!C33,I91)</f>
        <v>0</v>
      </c>
      <c r="D91" s="2753"/>
      <c r="E91" s="3370" t="s">
        <v>1864</v>
      </c>
      <c r="F91" s="3371"/>
      <c r="G91" s="3371"/>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2">
        <f>ROUND((C87+C90+C91)*D92,0)</f>
        <v>0</v>
      </c>
      <c r="D92" s="2759"/>
      <c r="E92" s="3370" t="s">
        <v>1867</v>
      </c>
      <c r="F92" s="3371"/>
      <c r="G92" s="3371"/>
      <c r="H92" s="3372"/>
      <c r="I92" s="1958"/>
      <c r="J92" s="2698"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2">
        <f ca="1">ROUND(D45*D93/(1+'数据-取费表'!C42),0)</f>
        <v>23</v>
      </c>
      <c r="D93" s="2753">
        <f>'数据-取费表'!B43</f>
        <v>5.000000000000001E-3</v>
      </c>
      <c r="E93" s="3370" t="s">
        <v>1851</v>
      </c>
      <c r="F93" s="3371"/>
      <c r="G93" s="3371"/>
      <c r="H93" s="3372"/>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8">
        <f>ROUND((C87+C90+C91)*D94,0)</f>
        <v>0</v>
      </c>
      <c r="D94" s="2753">
        <v>0.2</v>
      </c>
      <c r="E94" s="3418" t="s">
        <v>1871</v>
      </c>
      <c r="F94" s="3419"/>
      <c r="G94" s="3419"/>
      <c r="H94" s="3420"/>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4">
        <f ca="1">ROUND(C85-C86,0)</f>
        <v>4668</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4">
        <f ca="1">IF(C95&lt;=0,0,C95/C86)</f>
        <v>202.95652173913044</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5">
        <f ca="1">ROUND(IF(C95&lt;=0,0,IF(C96&gt;=200%,C95*60%-C86*35%,IF(C96&gt;=100%,C95*50%-C86*15%,IF(C96&gt;=50%,C95*40%-C86*5%,IF(C96&lt;50%,C95*30%,0))))),0)</f>
        <v>2793</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20" t="s">
        <v>1873</v>
      </c>
      <c r="B100" s="3321"/>
      <c r="C100" s="3321"/>
      <c r="D100" s="3355"/>
      <c r="E100" s="3321" t="s">
        <v>1874</v>
      </c>
      <c r="F100" s="3321"/>
      <c r="G100" s="3321"/>
      <c r="H100" s="3355"/>
      <c r="I100" s="134"/>
    </row>
    <row r="101" spans="1:35" ht="18.75" customHeight="1">
      <c r="A101" s="3363" t="s">
        <v>1875</v>
      </c>
      <c r="B101" s="3364"/>
      <c r="C101" s="2761" t="str">
        <f>C4</f>
        <v>比较法-工业</v>
      </c>
      <c r="D101" s="2762" t="str">
        <f>D4</f>
        <v>收益法</v>
      </c>
      <c r="E101" s="3333" t="s">
        <v>1876</v>
      </c>
      <c r="F101" s="3334"/>
      <c r="G101" s="1964" t="s">
        <v>1877</v>
      </c>
      <c r="H101" s="2771">
        <f ca="1">H118</f>
        <v>4926</v>
      </c>
      <c r="I101" s="134"/>
    </row>
    <row r="102" spans="1:35" ht="18.75" customHeight="1">
      <c r="A102" s="3365" t="s">
        <v>1878</v>
      </c>
      <c r="B102" s="2760" t="s">
        <v>1877</v>
      </c>
      <c r="C102" s="2761">
        <f ca="1">C19</f>
        <v>5476</v>
      </c>
      <c r="D102" s="2762">
        <f ca="1">D19</f>
        <v>4375</v>
      </c>
      <c r="E102" s="3333"/>
      <c r="F102" s="3334"/>
      <c r="G102" s="1964" t="s">
        <v>1879</v>
      </c>
      <c r="H102" s="2731">
        <f ca="1">I118</f>
        <v>18545</v>
      </c>
      <c r="I102" s="134"/>
    </row>
    <row r="103" spans="1:35" ht="42.75" customHeight="1">
      <c r="A103" s="3365"/>
      <c r="B103" s="2760" t="s">
        <v>1879</v>
      </c>
      <c r="C103" s="2763">
        <f ca="1">C20</f>
        <v>20616</v>
      </c>
      <c r="D103" s="2764">
        <f ca="1">D20</f>
        <v>16471</v>
      </c>
      <c r="E103" s="3326" t="s">
        <v>1880</v>
      </c>
      <c r="F103" s="3327"/>
      <c r="G103" s="1965" t="s">
        <v>1881</v>
      </c>
      <c r="H103" s="2771">
        <f>IF(D36="正常操作",H104+H105+H106,H105+H106)</f>
        <v>0</v>
      </c>
      <c r="I103" s="134"/>
    </row>
    <row r="104" spans="1:35" ht="18.75" customHeight="1">
      <c r="A104" s="3365" t="s">
        <v>1882</v>
      </c>
      <c r="B104" s="2765" t="s">
        <v>1877</v>
      </c>
      <c r="C104" s="2766">
        <f ca="1">H118</f>
        <v>4926</v>
      </c>
      <c r="D104" s="2767"/>
      <c r="E104" s="1811" t="s">
        <v>1883</v>
      </c>
      <c r="F104" s="1802"/>
      <c r="G104" s="1965" t="s">
        <v>1881</v>
      </c>
      <c r="H104" s="2772">
        <f>IF(D36="同一抵押权人同一抵押物续贷",C36&amp;"（续贷，未扣减，详见特别提示）",C36)</f>
        <v>0</v>
      </c>
      <c r="I104" s="134"/>
    </row>
    <row r="105" spans="1:35" ht="18.75" customHeight="1" thickBot="1">
      <c r="A105" s="3375"/>
      <c r="B105" s="2768" t="s">
        <v>1879</v>
      </c>
      <c r="C105" s="2769">
        <f ca="1">I118</f>
        <v>18545</v>
      </c>
      <c r="D105" s="2770"/>
      <c r="E105" s="1811" t="s">
        <v>1884</v>
      </c>
      <c r="F105" s="1802"/>
      <c r="G105" s="1965" t="s">
        <v>1881</v>
      </c>
      <c r="H105" s="2773">
        <f>C37</f>
        <v>0</v>
      </c>
      <c r="I105" s="134"/>
    </row>
    <row r="106" spans="1:35" ht="18.75" customHeight="1">
      <c r="A106" s="1884" t="s">
        <v>1885</v>
      </c>
      <c r="B106" s="1884"/>
      <c r="C106" s="1884"/>
      <c r="D106" s="1884"/>
      <c r="E106" s="1966" t="s">
        <v>1886</v>
      </c>
      <c r="F106" s="1802"/>
      <c r="G106" s="1965" t="s">
        <v>1881</v>
      </c>
      <c r="H106" s="2773">
        <f>C38</f>
        <v>0</v>
      </c>
      <c r="I106" s="134"/>
    </row>
    <row r="107" spans="1:35" ht="18.75" customHeight="1">
      <c r="A107" s="134"/>
      <c r="B107" s="134"/>
      <c r="C107" s="134"/>
      <c r="D107" s="134"/>
      <c r="E107" s="3366" t="str">
        <f>IF(项目基本情况!E8="已注销","——","3.房地产抵押价值")</f>
        <v>3.房地产抵押价值</v>
      </c>
      <c r="F107" s="3334"/>
      <c r="G107" s="1964" t="s">
        <v>1877</v>
      </c>
      <c r="H107" s="2771">
        <f ca="1">IF(E107="——","——",H101-H103)</f>
        <v>4926</v>
      </c>
      <c r="I107" s="134"/>
    </row>
    <row r="108" spans="1:35" ht="18.75" customHeight="1">
      <c r="A108" s="134"/>
      <c r="B108" s="134"/>
      <c r="C108" s="134"/>
      <c r="D108" s="134"/>
      <c r="E108" s="3366"/>
      <c r="F108" s="3334"/>
      <c r="G108" s="1964" t="s">
        <v>1879</v>
      </c>
      <c r="H108" s="2731">
        <f ca="1">ROUND(H107*10000/'数据-汇总表'!E3,0)</f>
        <v>18545</v>
      </c>
      <c r="I108" s="134"/>
    </row>
    <row r="109" spans="1:35" ht="18.75" customHeight="1">
      <c r="A109" s="134"/>
      <c r="B109" s="134"/>
      <c r="C109" s="134"/>
      <c r="D109" s="134"/>
      <c r="E109" s="3366" t="str">
        <f>IF(项目基本情况!E8="已注销及未注销","4.抵押担保权已注销时的房地产抵押价值",IF(项目基本情况!E8="已注销","3.抵押担保权已注销时的房地产抵押价值","——"))</f>
        <v>——</v>
      </c>
      <c r="F109" s="3334"/>
      <c r="G109" s="1964" t="s">
        <v>1877</v>
      </c>
      <c r="H109" s="2774" t="str">
        <f>IF(E109="——","——",H101-H105-H106)</f>
        <v>——</v>
      </c>
      <c r="I109" s="134"/>
    </row>
    <row r="110" spans="1:35" ht="18.75" customHeight="1">
      <c r="A110" s="134"/>
      <c r="B110" s="134"/>
      <c r="C110" s="134"/>
      <c r="D110" s="134"/>
      <c r="E110" s="3366"/>
      <c r="F110" s="3334"/>
      <c r="G110" s="1964" t="s">
        <v>1879</v>
      </c>
      <c r="H110" s="2731" t="str">
        <f>IF(H109="——","——",ROUND(H109*10000/'数据-汇总表'!E3,0))</f>
        <v>——</v>
      </c>
      <c r="I110" s="134"/>
    </row>
    <row r="111" spans="1:35" ht="18.75" customHeight="1">
      <c r="A111" s="134"/>
      <c r="B111" s="134"/>
      <c r="C111" s="134"/>
      <c r="D111" s="134"/>
      <c r="E111" s="3367" t="str">
        <f>IF(项目基本情况!E9="抵押净值",IF(OR(项目基本情况!E8="已注销",项目基本情况!E8="房地产抵押价值"),"4.抵押净值","5.抵押净值"),"——")</f>
        <v>4.抵押净值</v>
      </c>
      <c r="F111" s="3353"/>
      <c r="G111" s="1964" t="s">
        <v>1877</v>
      </c>
      <c r="H111" s="2771">
        <f ca="1">IF(E111="——","——",N59)</f>
        <v>2084</v>
      </c>
      <c r="I111" s="134"/>
    </row>
    <row r="112" spans="1:35" ht="18.75" customHeight="1" thickBot="1">
      <c r="A112" s="134"/>
      <c r="B112" s="134"/>
      <c r="C112" s="134"/>
      <c r="D112" s="134"/>
      <c r="E112" s="3368"/>
      <c r="F112" s="3369"/>
      <c r="G112" s="1967" t="s">
        <v>1879</v>
      </c>
      <c r="H112" s="2775">
        <f ca="1">IF(E111="——","——",N61)</f>
        <v>7846</v>
      </c>
      <c r="I112" s="134"/>
    </row>
    <row r="113" spans="1:27" ht="18.75" customHeight="1">
      <c r="A113" s="134"/>
      <c r="B113" s="134"/>
      <c r="C113" s="134"/>
      <c r="D113" s="134"/>
      <c r="E113" s="3376" t="s">
        <v>1885</v>
      </c>
      <c r="F113" s="3376"/>
      <c r="G113" s="3376"/>
      <c r="H113" s="3376"/>
      <c r="I113" s="134"/>
    </row>
    <row r="114" spans="1:27" ht="3.75" customHeight="1">
      <c r="A114" s="1884"/>
      <c r="B114" s="1884"/>
      <c r="C114" s="1884"/>
      <c r="D114" s="1884"/>
      <c r="E114" s="1946"/>
      <c r="F114" s="1946"/>
      <c r="G114" s="1946"/>
      <c r="H114" s="1946"/>
      <c r="I114" s="1884"/>
    </row>
    <row r="115" spans="1:27" ht="18.75" customHeight="1">
      <c r="A115" s="3387" t="s">
        <v>1887</v>
      </c>
      <c r="B115" s="3388"/>
      <c r="C115" s="3388"/>
      <c r="D115" s="3388"/>
      <c r="E115" s="3388"/>
      <c r="F115" s="3388"/>
      <c r="G115" s="3388"/>
      <c r="H115" s="3388"/>
      <c r="I115" s="3389"/>
    </row>
    <row r="116" spans="1:27" ht="27" customHeight="1">
      <c r="A116" s="3341" t="s">
        <v>1888</v>
      </c>
      <c r="B116" s="3345" t="s">
        <v>1889</v>
      </c>
      <c r="C116" s="3345" t="s">
        <v>1890</v>
      </c>
      <c r="D116" s="3351" t="s">
        <v>1891</v>
      </c>
      <c r="E116" s="3352"/>
      <c r="F116" s="3383" t="s">
        <v>1892</v>
      </c>
      <c r="G116" s="3383"/>
      <c r="H116" s="3341" t="s">
        <v>1893</v>
      </c>
      <c r="I116" s="3341"/>
    </row>
    <row r="117" spans="1:27" ht="18.75" customHeight="1">
      <c r="A117" s="3341"/>
      <c r="B117" s="3346"/>
      <c r="C117" s="3346"/>
      <c r="D117" s="2503" t="s">
        <v>1894</v>
      </c>
      <c r="E117" s="2503" t="s">
        <v>1895</v>
      </c>
      <c r="F117" s="2503" t="s">
        <v>1894</v>
      </c>
      <c r="G117" s="2503" t="s">
        <v>1896</v>
      </c>
      <c r="H117" s="2503" t="s">
        <v>1894</v>
      </c>
      <c r="I117" s="2503" t="s">
        <v>1896</v>
      </c>
    </row>
    <row r="118" spans="1:27" ht="24.75" customHeight="1">
      <c r="A118" s="2776" t="str">
        <f>项目基本情况!S2</f>
        <v>北京市房地产</v>
      </c>
      <c r="B118" s="2503">
        <f>M18</f>
        <v>2656.2</v>
      </c>
      <c r="C118" s="2503">
        <f>M19</f>
        <v>1736.72</v>
      </c>
      <c r="D118" s="2503">
        <f ca="1">ROUND(IF(D32="总价",C34,E118*B118/10000),0)</f>
        <v>3187</v>
      </c>
      <c r="E118" s="2503">
        <f ca="1">ROUND(IF(C33="自定义",IF(D32="楼面单价",C34,D118*10000/B118),I118-G118),0)</f>
        <v>11998</v>
      </c>
      <c r="F118" s="2503">
        <f ca="1">ROUND(IF(D32="总价",C35,G118*B118/10000),0)</f>
        <v>1739</v>
      </c>
      <c r="G118" s="2503">
        <f ca="1">ROUND(IF(D32="楼面单价",C35,F118*10000/B118),0)</f>
        <v>6547</v>
      </c>
      <c r="H118" s="2503">
        <f ca="1">ROUND(IF(D32="总价",C32,I118*B118/10000),0)</f>
        <v>4926</v>
      </c>
      <c r="I118" s="2503">
        <f ca="1">ROUND(IF(D32="楼面单价",C32,H118*10000/B118),0)</f>
        <v>18545</v>
      </c>
    </row>
    <row r="119" spans="1:27" ht="18.75" customHeight="1">
      <c r="A119" s="3341" t="s">
        <v>1897</v>
      </c>
      <c r="B119" s="3341"/>
      <c r="C119" s="3341"/>
      <c r="D119" s="3347" t="str">
        <f ca="1">NUMBERSTRING(INT(D118*10000),2)&amp;"元整"</f>
        <v>叁仟壹佰捌拾柒万元整</v>
      </c>
      <c r="E119" s="3348"/>
      <c r="F119" s="3347" t="str">
        <f ca="1">NUMBERSTRING(INT(F118*10000),2)&amp;"元整"</f>
        <v>壹仟柒佰叁拾玖万元整</v>
      </c>
      <c r="G119" s="3348"/>
      <c r="H119" s="3347" t="str">
        <f ca="1">NUMBERSTRING(INT(H118*10000),2)&amp;"元整"</f>
        <v>肆仟玖佰贰拾陆万元整</v>
      </c>
      <c r="I119" s="3348"/>
    </row>
    <row r="120" spans="1:27" ht="18.75" customHeight="1">
      <c r="A120" s="3342" t="str">
        <f>IF(项目基本情况!B9="房地产市场价值","",MID(E103,3,LEN(E103)-2))</f>
        <v>估价师知悉的法定优先受偿款</v>
      </c>
      <c r="B120" s="3343"/>
      <c r="C120" s="3344"/>
      <c r="D120" s="3342">
        <f>H103</f>
        <v>0</v>
      </c>
      <c r="E120" s="3343"/>
      <c r="F120" s="3343"/>
      <c r="G120" s="3343"/>
      <c r="H120" s="3343"/>
      <c r="I120" s="3344"/>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4" t="s">
        <v>1897</v>
      </c>
      <c r="B121" s="3385"/>
      <c r="C121" s="3386"/>
      <c r="D121" s="3347" t="str">
        <f>IF(D120=0,"零元整",NUMBERSTRING(INT(D120*10000),2)&amp;"元整")</f>
        <v>零元整</v>
      </c>
      <c r="E121" s="3349"/>
      <c r="F121" s="3349"/>
      <c r="G121" s="3349"/>
      <c r="H121" s="3349"/>
      <c r="I121" s="3348"/>
      <c r="AA121" s="734"/>
    </row>
    <row r="122" spans="1:27" ht="18.75" customHeight="1">
      <c r="A122" s="3353" t="str">
        <f>IF(项目基本情况!B9="房地产市场价值","",MID(E107,3,LEN(E107)-2))</f>
        <v>房地产抵押价值</v>
      </c>
      <c r="B122" s="3353"/>
      <c r="C122" s="3353"/>
      <c r="D122" s="3342">
        <f ca="1">H107</f>
        <v>4926</v>
      </c>
      <c r="E122" s="3343"/>
      <c r="F122" s="3343"/>
      <c r="G122" s="3343"/>
      <c r="H122" s="3343"/>
      <c r="I122" s="3344"/>
      <c r="AA122" s="734"/>
    </row>
    <row r="123" spans="1:27" ht="18.75" customHeight="1">
      <c r="A123" s="3341" t="s">
        <v>1897</v>
      </c>
      <c r="B123" s="3341"/>
      <c r="C123" s="3341"/>
      <c r="D123" s="3347" t="str">
        <f ca="1">NUMBERSTRING(INT(D122*10000),2)&amp;"元整"</f>
        <v>肆仟玖佰贰拾陆万元整</v>
      </c>
      <c r="E123" s="3349"/>
      <c r="F123" s="3349"/>
      <c r="G123" s="3349"/>
      <c r="H123" s="3349"/>
      <c r="I123" s="3348"/>
      <c r="AA123" s="734"/>
    </row>
    <row r="124" spans="1:27" ht="18.75" customHeight="1">
      <c r="A124" s="3353" t="str">
        <f>IF(项目基本情况!B9="房地产市场价值","",MID(E109,3,LEN(E109)-2))</f>
        <v/>
      </c>
      <c r="B124" s="3353"/>
      <c r="C124" s="3353"/>
      <c r="D124" s="3342" t="str">
        <f>H109</f>
        <v>——</v>
      </c>
      <c r="E124" s="3343"/>
      <c r="F124" s="3343"/>
      <c r="G124" s="3343"/>
      <c r="H124" s="3343"/>
      <c r="I124" s="3344"/>
      <c r="AA124" s="734"/>
    </row>
    <row r="125" spans="1:27" ht="18.75" customHeight="1">
      <c r="A125" s="3341" t="s">
        <v>1897</v>
      </c>
      <c r="B125" s="3341"/>
      <c r="C125" s="3341"/>
      <c r="D125" s="3347" t="e">
        <f>NUMBERSTRING(INT(D124*10000),2)&amp;"元整"</f>
        <v>#VALUE!</v>
      </c>
      <c r="E125" s="3349"/>
      <c r="F125" s="3349"/>
      <c r="G125" s="3349"/>
      <c r="H125" s="3349"/>
      <c r="I125" s="3348"/>
      <c r="AA125" s="734"/>
    </row>
    <row r="126" spans="1:27" ht="18.75" customHeight="1">
      <c r="A126" s="3353" t="str">
        <f>IF(项目基本情况!B9="房地产市场价值","",MID(E111,3,LEN(E111)-2))</f>
        <v>抵押净值</v>
      </c>
      <c r="B126" s="3353"/>
      <c r="C126" s="3353"/>
      <c r="D126" s="3342">
        <f ca="1">H111</f>
        <v>2084</v>
      </c>
      <c r="E126" s="3343"/>
      <c r="F126" s="3343"/>
      <c r="G126" s="3343"/>
      <c r="H126" s="3343"/>
      <c r="I126" s="3344"/>
      <c r="AA126" s="734"/>
    </row>
    <row r="127" spans="1:27" ht="18.75" customHeight="1">
      <c r="A127" s="3341" t="s">
        <v>1897</v>
      </c>
      <c r="B127" s="3341"/>
      <c r="C127" s="3341"/>
      <c r="D127" s="3347" t="str">
        <f ca="1">NUMBERSTRING(INT(D126*10000),2)&amp;"元整"</f>
        <v>贰仟零捌拾肆万元整</v>
      </c>
      <c r="E127" s="3349"/>
      <c r="F127" s="3349"/>
      <c r="G127" s="3349"/>
      <c r="H127" s="3349"/>
      <c r="I127" s="3348"/>
      <c r="AA127" s="734"/>
    </row>
    <row r="128" spans="1:27" ht="21.75" customHeight="1">
      <c r="A128" s="3350" t="s">
        <v>1898</v>
      </c>
      <c r="B128" s="3350"/>
      <c r="C128" s="3350"/>
      <c r="D128" s="3350"/>
      <c r="E128" s="3350"/>
      <c r="F128" s="3350"/>
      <c r="G128" s="3350"/>
      <c r="H128" s="3350"/>
      <c r="I128" s="3350"/>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1042</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3923</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C6+C7+C8</f>
        <v>53</v>
      </c>
      <c r="D5" s="217" t="s">
        <v>1914</v>
      </c>
      <c r="E5" s="218" t="s">
        <v>1915</v>
      </c>
      <c r="F5" s="218" t="s">
        <v>1916</v>
      </c>
      <c r="G5" s="219"/>
    </row>
    <row r="6" spans="1:9" s="220" customFormat="1" ht="13.5" customHeight="1">
      <c r="A6" s="867" t="s">
        <v>1917</v>
      </c>
      <c r="B6" s="221" t="s">
        <v>1918</v>
      </c>
      <c r="C6" s="222"/>
      <c r="D6" s="223"/>
      <c r="E6" s="224"/>
      <c r="F6" s="224"/>
      <c r="G6" s="225"/>
    </row>
    <row r="7" spans="1:9" s="220" customFormat="1" ht="13.5" customHeight="1">
      <c r="A7" s="867" t="s">
        <v>1919</v>
      </c>
      <c r="B7" s="221" t="s">
        <v>1920</v>
      </c>
      <c r="C7" s="226">
        <f>ROUND(C6*F7,0)</f>
        <v>0</v>
      </c>
      <c r="D7" s="226"/>
      <c r="E7" s="224"/>
      <c r="F7" s="227">
        <f>IF(项目基本情况!B8="出让",0,'数据-取费表'!B48+'数据-取费表'!B49)</f>
        <v>3.0499999999999999E-2</v>
      </c>
      <c r="G7" s="225"/>
    </row>
    <row r="8" spans="1:9" s="229" customFormat="1">
      <c r="A8" s="867" t="s">
        <v>1921</v>
      </c>
      <c r="B8" s="221" t="s">
        <v>1922</v>
      </c>
      <c r="C8" s="226">
        <f>IF(G8="已包含在土地购买价格中","0",IF(B1="",'数据-取费表'!B29,IF(G9="全部缴纳",C9+C10,H9)))</f>
        <v>53</v>
      </c>
      <c r="D8" s="228"/>
      <c r="E8" s="226"/>
      <c r="F8" s="227"/>
      <c r="G8" s="1993"/>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160</v>
      </c>
      <c r="F9" s="227"/>
      <c r="G9" s="1994"/>
      <c r="H9" s="1252"/>
      <c r="I9" s="1995" t="s">
        <v>1924</v>
      </c>
    </row>
    <row r="10" spans="1:9" s="220" customFormat="1" ht="13.5" customHeight="1">
      <c r="A10" s="868" t="s">
        <v>620</v>
      </c>
      <c r="B10" s="230" t="s">
        <v>1925</v>
      </c>
      <c r="C10" s="231">
        <f ca="1">ROUND(D10*E10/10000,0)</f>
        <v>53</v>
      </c>
      <c r="D10" s="935">
        <f ca="1">IF(B1="",'数据-汇总表'!E6,IF(INDIRECT("'数据-取费表'!c"&amp;$G$1)="住宅",INDIRECT("'数据-取费表'!s"&amp;$G$1),INDIRECT("'数据-取费表'!k"&amp;$G$1)+INDIRECT("'数据-取费表'!s"&amp;$G$1)))</f>
        <v>2656.2</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f ca="1">IF(G19="已包含在土地取得成本中","0",ROUND(D19*E19/10000,0))</f>
        <v>53</v>
      </c>
      <c r="D19" s="939">
        <f ca="1">D9+D10</f>
        <v>2656.2</v>
      </c>
      <c r="E19" s="217">
        <f>'数据-取费表'!B31</f>
        <v>200</v>
      </c>
      <c r="F19" s="237"/>
      <c r="G19" s="1993"/>
    </row>
    <row r="20" spans="1:7" s="220" customFormat="1" ht="13.5" customHeight="1">
      <c r="A20" s="261" t="s">
        <v>1938</v>
      </c>
      <c r="B20" s="216" t="s">
        <v>1939</v>
      </c>
      <c r="C20" s="238">
        <f ca="1">ROUND((C5+C19)*F20,0)</f>
        <v>2</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4</v>
      </c>
      <c r="D22" s="241">
        <f ca="1">C26</f>
        <v>4.0000000000000002E-4</v>
      </c>
      <c r="E22" s="242" t="s">
        <v>1943</v>
      </c>
      <c r="F22" s="243">
        <f ca="1">'数据-取费表'!B40</f>
        <v>4.2000000000000003E-2</v>
      </c>
      <c r="G22" s="240" t="str">
        <f>IF('数据-取费表'!B22&lt;=1,"单利计息","复利计息")</f>
        <v>单利计息</v>
      </c>
    </row>
    <row r="23" spans="1:7" s="220" customFormat="1" ht="13.5" customHeight="1">
      <c r="A23" s="869" t="s">
        <v>1947</v>
      </c>
      <c r="B23" s="221" t="s">
        <v>1948</v>
      </c>
      <c r="C23" s="1218">
        <f ca="1">ROUND(IF('数据-取费表'!B22&lt;=1,C5*F22*'数据-取费表'!B23,C5*(POWER((1+F22),'数据-取费表'!B23)-1)),0)</f>
        <v>2</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2</v>
      </c>
      <c r="D24" s="244"/>
      <c r="E24" s="244"/>
      <c r="F24" s="245"/>
      <c r="G24" s="246" t="s">
        <v>1952</v>
      </c>
    </row>
    <row r="25" spans="1:7" s="220" customFormat="1" ht="24">
      <c r="A25" s="869" t="s">
        <v>1953</v>
      </c>
      <c r="B25" s="221" t="s">
        <v>1954</v>
      </c>
      <c r="C25" s="1218">
        <f ca="1">ROUND(IF('数据-取费表'!B22&lt;=1,C20*F22*'数据-取费表'!B23/2,C20*(POWER((1+F22),'数据-取费表'!B23/2)-1)),0)</f>
        <v>0</v>
      </c>
      <c r="D25" s="244"/>
      <c r="E25" s="247"/>
      <c r="F25" s="245"/>
      <c r="G25" s="248" t="s">
        <v>1955</v>
      </c>
    </row>
    <row r="26" spans="1:7" s="220" customFormat="1">
      <c r="A26" s="869" t="s">
        <v>614</v>
      </c>
      <c r="B26" s="221" t="s">
        <v>1956</v>
      </c>
      <c r="C26" s="244">
        <f ca="1">ROUND(IF('数据-取费表'!B22&lt;=1,F21*F22*'数据-取费表'!B23/2,F21*(POWER((1+F22),'数据-取费表'!B23/2)-1)),4)</f>
        <v>4.0000000000000002E-4</v>
      </c>
      <c r="D26" s="244"/>
      <c r="E26" s="247"/>
      <c r="F26" s="245"/>
      <c r="G26" s="249"/>
    </row>
    <row r="27" spans="1:7" s="220" customFormat="1" ht="24.75">
      <c r="A27" s="261" t="s">
        <v>1957</v>
      </c>
      <c r="B27" s="250" t="s">
        <v>1958</v>
      </c>
      <c r="C27" s="251">
        <f ca="1">C28</f>
        <v>11</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ROUND((C5+C19+C20)*F27*'数据-取费表'!B21/'数据-取费表'!B20,0)</f>
        <v>11</v>
      </c>
      <c r="D28" s="241"/>
      <c r="E28" s="242"/>
      <c r="F28" s="252"/>
      <c r="G28" s="253"/>
    </row>
    <row r="29" spans="1:7" s="220" customFormat="1" ht="13.5" customHeight="1">
      <c r="A29" s="869" t="s">
        <v>611</v>
      </c>
      <c r="B29" s="254" t="s">
        <v>1962</v>
      </c>
      <c r="C29" s="244">
        <f ca="1">ROUND(C21*F27*'数据-取费表'!B21/'数据-取费表'!B20,4)</f>
        <v>2E-3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133</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886</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797</v>
      </c>
      <c r="D34" s="223"/>
      <c r="E34" s="226"/>
      <c r="F34" s="263">
        <f ca="1">IF('数据-取费表'!B24=0,1,IF(B1="",'数据-取费表'!N16,INDIRECT("'数据-取费表'!n"&amp;$G$1)))</f>
        <v>1</v>
      </c>
      <c r="G34" s="225" t="s">
        <v>1971</v>
      </c>
    </row>
    <row r="35" spans="1:7" ht="13.5" customHeight="1">
      <c r="A35" s="869" t="s">
        <v>615</v>
      </c>
      <c r="B35" s="221" t="s">
        <v>1972</v>
      </c>
      <c r="C35" s="226">
        <f ca="1">ROUND(C34*F35,0)</f>
        <v>24</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1975</v>
      </c>
    </row>
    <row r="37" spans="1:7" s="264" customFormat="1" ht="13.5" customHeight="1">
      <c r="A37" s="869" t="s">
        <v>617</v>
      </c>
      <c r="B37" s="221" t="s">
        <v>1976</v>
      </c>
      <c r="C37" s="255">
        <f ca="1">ROUND(E37*D37*F34/10000,0)</f>
        <v>53</v>
      </c>
      <c r="D37" s="223">
        <f ca="1">D19</f>
        <v>2656.2</v>
      </c>
      <c r="E37" s="255">
        <f>'数据-取费表'!B35</f>
        <v>200</v>
      </c>
      <c r="F37" s="265"/>
      <c r="G37" s="267" t="s">
        <v>1977</v>
      </c>
    </row>
    <row r="38" spans="1:7" ht="13.5" customHeight="1">
      <c r="A38" s="869" t="s">
        <v>618</v>
      </c>
      <c r="B38" s="221" t="s">
        <v>1978</v>
      </c>
      <c r="C38" s="226">
        <f ca="1">ROUND(C34*F38,0)</f>
        <v>12</v>
      </c>
      <c r="D38" s="226"/>
      <c r="E38" s="226"/>
      <c r="F38" s="265">
        <f>'数据-取费表'!B36</f>
        <v>1.4999999999999999E-2</v>
      </c>
      <c r="G38" s="225" t="s">
        <v>1973</v>
      </c>
    </row>
    <row r="39" spans="1:7" s="220" customFormat="1" ht="13.5" customHeight="1">
      <c r="A39" s="261" t="s">
        <v>1979</v>
      </c>
      <c r="B39" s="216" t="s">
        <v>1980</v>
      </c>
      <c r="C39" s="238">
        <f ca="1">ROUND(C33*F20,0)</f>
        <v>18</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19</v>
      </c>
      <c r="D41" s="241">
        <f ca="1">C44</f>
        <v>4.0000000000000002E-4</v>
      </c>
      <c r="E41" s="242" t="s">
        <v>1984</v>
      </c>
      <c r="F41" s="2487">
        <f ca="1">F22</f>
        <v>4.2000000000000003E-2</v>
      </c>
      <c r="G41" s="240" t="str">
        <f>IF('数据-取费表'!B22&lt;=1,"单利计息","复利计息")</f>
        <v>单利计息</v>
      </c>
    </row>
    <row r="42" spans="1:7" ht="13.5" customHeight="1">
      <c r="A42" s="869" t="s">
        <v>610</v>
      </c>
      <c r="B42" s="221" t="s">
        <v>1988</v>
      </c>
      <c r="C42" s="244">
        <f ca="1">ROUND(IF('数据-取费表'!B22&lt;=1,C33*F22*'数据-取费表'!B21/2,C33*(POWER((1+F22),'数据-取费表'!B21/2)-1)),0)</f>
        <v>19</v>
      </c>
      <c r="D42" s="244"/>
      <c r="E42" s="244"/>
      <c r="F42" s="245"/>
      <c r="G42" s="3423" t="s">
        <v>1989</v>
      </c>
    </row>
    <row r="43" spans="1:7" ht="13.5" customHeight="1">
      <c r="A43" s="869" t="s">
        <v>611</v>
      </c>
      <c r="B43" s="221" t="s">
        <v>1990</v>
      </c>
      <c r="C43" s="244">
        <f ca="1">ROUND(IF('数据-取费表'!B22&lt;=1,C39*F22*'数据-取费表'!B21/2,C39*(POWER((1+F22),'数据-取费表'!B21/2)-1)),0)</f>
        <v>0</v>
      </c>
      <c r="D43" s="244"/>
      <c r="E43" s="244"/>
      <c r="F43" s="245"/>
      <c r="G43" s="3424"/>
    </row>
    <row r="44" spans="1:7" ht="13.5" customHeight="1">
      <c r="A44" s="869" t="s">
        <v>612</v>
      </c>
      <c r="B44" s="221" t="s">
        <v>1991</v>
      </c>
      <c r="C44" s="244">
        <f ca="1">ROUND(IF('数据-取费表'!B22&lt;=1,C40*F22*'数据-取费表'!B21/2,C40*(POWER((1+F22),'数据-取费表'!B21/2)-1)),4)</f>
        <v>4.0000000000000002E-4</v>
      </c>
      <c r="D44" s="244"/>
      <c r="E44" s="244"/>
      <c r="F44" s="245"/>
      <c r="G44" s="3425"/>
    </row>
    <row r="45" spans="1:7" s="220" customFormat="1" ht="13.5" customHeight="1">
      <c r="A45" s="261" t="s">
        <v>1992</v>
      </c>
      <c r="B45" s="250" t="s">
        <v>1958</v>
      </c>
      <c r="C45" s="251">
        <f ca="1">C46</f>
        <v>90</v>
      </c>
      <c r="D45" s="241">
        <f ca="1">C47</f>
        <v>2E-3</v>
      </c>
      <c r="E45" s="242" t="s">
        <v>1984</v>
      </c>
      <c r="F45" s="2488">
        <f ca="1">F27</f>
        <v>0.1</v>
      </c>
      <c r="G45" s="253" t="s">
        <v>1993</v>
      </c>
    </row>
    <row r="46" spans="1:7" s="220" customFormat="1" ht="13.5" customHeight="1">
      <c r="A46" s="869" t="s">
        <v>610</v>
      </c>
      <c r="B46" s="254" t="s">
        <v>1994</v>
      </c>
      <c r="C46" s="255">
        <f ca="1">ROUND((C33+C39)*F27,0)</f>
        <v>90</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1448">
        <f>ROUND(F30/(1+'数据-取费表'!C42),4)</f>
        <v>5.2400000000000002E-2</v>
      </c>
      <c r="D48" s="242" t="s">
        <v>1984</v>
      </c>
      <c r="E48" s="238"/>
      <c r="F48" s="2487">
        <f>F30</f>
        <v>5.5000000000000007E-2</v>
      </c>
      <c r="G48" s="240" t="s">
        <v>1997</v>
      </c>
    </row>
    <row r="49" spans="1:7" ht="16.5" customHeight="1">
      <c r="A49" s="261" t="s">
        <v>1963</v>
      </c>
      <c r="B49" s="216" t="s">
        <v>1998</v>
      </c>
      <c r="C49" s="238">
        <f ca="1">ROUND((C33+C39+C41+C45)/(1-C40-D41-D45-C48),0)</f>
        <v>1095</v>
      </c>
      <c r="D49" s="238"/>
      <c r="E49" s="238"/>
      <c r="F49" s="270"/>
      <c r="G49" s="240" t="s">
        <v>1999</v>
      </c>
    </row>
    <row r="50" spans="1:7" s="264" customFormat="1" ht="24">
      <c r="A50" s="261" t="s">
        <v>2000</v>
      </c>
      <c r="B50" s="216" t="s">
        <v>2001</v>
      </c>
      <c r="C50" s="238"/>
      <c r="D50" s="238"/>
      <c r="E50" s="238"/>
      <c r="F50" s="270">
        <f>IF('数据-取费表'!B24=0,'数据-取费表'!N16,1)</f>
        <v>0.83</v>
      </c>
      <c r="G50" s="253" t="s">
        <v>2002</v>
      </c>
    </row>
    <row r="51" spans="1:7" ht="16.5" customHeight="1">
      <c r="A51" s="261" t="s">
        <v>2003</v>
      </c>
      <c r="B51" s="216" t="s">
        <v>2004</v>
      </c>
      <c r="C51" s="238">
        <f ca="1">ROUND(C49*F50,0)</f>
        <v>909</v>
      </c>
      <c r="D51" s="238"/>
      <c r="E51" s="238"/>
      <c r="F51" s="270"/>
      <c r="G51" s="240" t="s">
        <v>2005</v>
      </c>
    </row>
    <row r="52" spans="1:7" s="214" customFormat="1" ht="16.5" thickBot="1">
      <c r="A52" s="271" t="s">
        <v>2006</v>
      </c>
      <c r="B52" s="272"/>
      <c r="C52" s="273">
        <f ca="1">C31+C51</f>
        <v>1042</v>
      </c>
      <c r="D52" s="272"/>
      <c r="E52" s="272"/>
      <c r="F52" s="272"/>
      <c r="G52" s="274"/>
    </row>
    <row r="55" spans="1:7" ht="15">
      <c r="B55" s="276" t="s">
        <v>2007</v>
      </c>
      <c r="C55" s="277"/>
    </row>
    <row r="56" spans="1:7">
      <c r="B56" s="279" t="s">
        <v>1237</v>
      </c>
      <c r="C56" s="281">
        <f ca="1">1-C57</f>
        <v>0.128</v>
      </c>
    </row>
    <row r="57" spans="1:7">
      <c r="B57" s="279" t="s">
        <v>1238</v>
      </c>
      <c r="C57" s="280">
        <f ca="1">ROUND(C51/C52,3)</f>
        <v>0.872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1042</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3923</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531240</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531240</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1925</v>
      </c>
      <c r="C10" s="231">
        <f ca="1">ROUND(D10*E10,0)</f>
        <v>531240</v>
      </c>
      <c r="D10" s="935">
        <f ca="1">IF(B1="",'数据-汇总表'!E6,IF(INDIRECT("'数据-取费表'!c"&amp;$G$1)="住宅",INDIRECT("'数据-取费表'!s"&amp;$G$1),INDIRECT("'数据-取费表'!k"&amp;$G$1)+INDIRECT("'数据-取费表'!s"&amp;$G$1)))</f>
        <v>2656.2</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531240</v>
      </c>
      <c r="D19" s="939">
        <f ca="1">D9+D10</f>
        <v>2656.2</v>
      </c>
      <c r="E19" s="217">
        <f>'数据-取费表'!B31</f>
        <v>200</v>
      </c>
      <c r="F19" s="237"/>
      <c r="G19" s="1993"/>
    </row>
    <row r="20" spans="1:7" s="220" customFormat="1" ht="13.5" customHeight="1">
      <c r="A20" s="261" t="s">
        <v>2019</v>
      </c>
      <c r="B20" s="216" t="s">
        <v>2020</v>
      </c>
      <c r="C20" s="238">
        <f ca="1">ROUND((C5+C19)*F20,0)</f>
        <v>21250</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45070</v>
      </c>
      <c r="D22" s="241">
        <f ca="1">C26</f>
        <v>4.0000000000000002E-4</v>
      </c>
      <c r="E22" s="242" t="s">
        <v>2024</v>
      </c>
      <c r="F22" s="243">
        <f ca="1">'数据-取费表'!B40</f>
        <v>4.2000000000000003E-2</v>
      </c>
      <c r="G22" s="240" t="str">
        <f>IF('数据-取费表'!B22&lt;=1,"单利计息","复利计息")</f>
        <v>单利计息</v>
      </c>
    </row>
    <row r="23" spans="1:7" s="220" customFormat="1" ht="13.5" customHeight="1">
      <c r="A23" s="869" t="s">
        <v>1917</v>
      </c>
      <c r="B23" s="221" t="s">
        <v>2028</v>
      </c>
      <c r="C23" s="1243">
        <f ca="1">ROUND(IF('数据-取费表'!B22&lt;=1,C5*F22*'数据-取费表'!B22,C5*(POWER((1+F22),'数据-取费表'!B22)-1)),0)</f>
        <v>22312</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22312</v>
      </c>
      <c r="D24" s="244"/>
      <c r="E24" s="244"/>
      <c r="F24" s="245"/>
      <c r="G24" s="246" t="s">
        <v>2031</v>
      </c>
    </row>
    <row r="25" spans="1:7" s="220" customFormat="1" ht="24">
      <c r="A25" s="869" t="s">
        <v>1921</v>
      </c>
      <c r="B25" s="221" t="s">
        <v>2032</v>
      </c>
      <c r="C25" s="1243">
        <f ca="1">ROUND(IF('数据-取费表'!B22&lt;=1,C20*F22*'数据-取费表'!B22/2,C20*(POWER((1+F22),'数据-取费表'!B22/2)-1)),0)</f>
        <v>446</v>
      </c>
      <c r="D25" s="244"/>
      <c r="E25" s="247"/>
      <c r="F25" s="245"/>
      <c r="G25" s="248" t="s">
        <v>2033</v>
      </c>
    </row>
    <row r="26" spans="1:7" s="220" customFormat="1">
      <c r="A26" s="869" t="s">
        <v>614</v>
      </c>
      <c r="B26" s="221" t="s">
        <v>1956</v>
      </c>
      <c r="C26" s="244">
        <f ca="1">ROUND(IF('数据-取费表'!B22&lt;=1,F21*F22*'数据-取费表'!B22/2,F21*(POWER((1+F22),'数据-取费表'!B22/2)-1)),4)</f>
        <v>4.0000000000000002E-4</v>
      </c>
      <c r="D26" s="244"/>
      <c r="E26" s="247"/>
      <c r="F26" s="245"/>
      <c r="G26" s="249"/>
    </row>
    <row r="27" spans="1:7" s="220" customFormat="1" ht="24.75">
      <c r="A27" s="261" t="s">
        <v>1957</v>
      </c>
      <c r="B27" s="250" t="s">
        <v>1958</v>
      </c>
      <c r="C27" s="251">
        <f ca="1">C28</f>
        <v>108373</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ROUND((C5+C19+C20)*F27,0)</f>
        <v>108373</v>
      </c>
      <c r="D28" s="241"/>
      <c r="E28" s="242"/>
      <c r="F28" s="252"/>
      <c r="G28" s="253"/>
    </row>
    <row r="29" spans="1:7" s="220" customFormat="1" ht="13.5" customHeight="1">
      <c r="A29" s="869" t="s">
        <v>611</v>
      </c>
      <c r="B29" s="254" t="s">
        <v>1962</v>
      </c>
      <c r="C29" s="244">
        <f ca="1">ROUND(C21*F27,4)</f>
        <v>2E-3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1337195</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8858427</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7968600</v>
      </c>
      <c r="D34" s="223"/>
      <c r="E34" s="226"/>
      <c r="F34" s="263"/>
      <c r="G34" s="225"/>
    </row>
    <row r="35" spans="1:7" ht="13.5" customHeight="1">
      <c r="A35" s="869" t="s">
        <v>615</v>
      </c>
      <c r="B35" s="221" t="s">
        <v>1972</v>
      </c>
      <c r="C35" s="226">
        <f ca="1">ROUND(C34*F35,0)</f>
        <v>239058</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0.05</v>
      </c>
      <c r="G36" s="266" t="s">
        <v>1975</v>
      </c>
    </row>
    <row r="37" spans="1:7" s="264" customFormat="1" ht="13.5" customHeight="1">
      <c r="A37" s="869" t="s">
        <v>617</v>
      </c>
      <c r="B37" s="221" t="s">
        <v>1976</v>
      </c>
      <c r="C37" s="255">
        <f ca="1">ROUND(E37*D37,0)</f>
        <v>531240</v>
      </c>
      <c r="D37" s="223">
        <f ca="1">D19</f>
        <v>2656.2</v>
      </c>
      <c r="E37" s="255">
        <f>'数据-取费表'!B35</f>
        <v>200</v>
      </c>
      <c r="F37" s="265"/>
      <c r="G37" s="267"/>
    </row>
    <row r="38" spans="1:7" ht="13.5" customHeight="1">
      <c r="A38" s="869" t="s">
        <v>618</v>
      </c>
      <c r="B38" s="221" t="s">
        <v>1978</v>
      </c>
      <c r="C38" s="226">
        <f ca="1">ROUND(C34*F38,0)</f>
        <v>119529</v>
      </c>
      <c r="D38" s="226"/>
      <c r="E38" s="226"/>
      <c r="F38" s="265">
        <f>'数据-取费表'!B36</f>
        <v>1.4999999999999999E-2</v>
      </c>
      <c r="G38" s="225" t="s">
        <v>1973</v>
      </c>
    </row>
    <row r="39" spans="1:7" s="220" customFormat="1" ht="13.5" customHeight="1">
      <c r="A39" s="261" t="s">
        <v>1979</v>
      </c>
      <c r="B39" s="216" t="s">
        <v>1980</v>
      </c>
      <c r="C39" s="238">
        <f ca="1">ROUND(C33*F20,0)</f>
        <v>177169</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189748</v>
      </c>
      <c r="D41" s="241">
        <f ca="1">C44</f>
        <v>4.0000000000000002E-4</v>
      </c>
      <c r="E41" s="242" t="s">
        <v>1984</v>
      </c>
      <c r="F41" s="2487">
        <f ca="1">F22</f>
        <v>4.2000000000000003E-2</v>
      </c>
      <c r="G41" s="240" t="str">
        <f>IF('数据-取费表'!B22&lt;=1,"单利计息","复利计息")</f>
        <v>单利计息</v>
      </c>
    </row>
    <row r="42" spans="1:7" ht="13.5" customHeight="1">
      <c r="A42" s="869" t="s">
        <v>610</v>
      </c>
      <c r="B42" s="221" t="s">
        <v>1988</v>
      </c>
      <c r="C42" s="244">
        <f ca="1">ROUND(IF('数据-取费表'!B22&lt;=1,C33*F22*'数据-取费表'!B20/2,C33*(POWER((1+F22),'数据-取费表'!B20/2)-1)),0)</f>
        <v>186027</v>
      </c>
      <c r="D42" s="244"/>
      <c r="E42" s="244"/>
      <c r="F42" s="245"/>
      <c r="G42" s="3423" t="s">
        <v>2036</v>
      </c>
    </row>
    <row r="43" spans="1:7" ht="13.5" customHeight="1">
      <c r="A43" s="869" t="s">
        <v>611</v>
      </c>
      <c r="B43" s="221" t="s">
        <v>1990</v>
      </c>
      <c r="C43" s="244">
        <f ca="1">ROUND(IF('数据-取费表'!B22&lt;=1,C39*F22*'数据-取费表'!B20/2,C39*(POWER((1+F22),'数据-取费表'!B20/2)-1)),0)</f>
        <v>3721</v>
      </c>
      <c r="D43" s="244"/>
      <c r="E43" s="244"/>
      <c r="F43" s="245"/>
      <c r="G43" s="3424"/>
    </row>
    <row r="44" spans="1:7" ht="13.5" customHeight="1">
      <c r="A44" s="869" t="s">
        <v>612</v>
      </c>
      <c r="B44" s="221" t="s">
        <v>1991</v>
      </c>
      <c r="C44" s="244">
        <f ca="1">ROUND(IF('数据-取费表'!B22&lt;=1,C40*F22*'数据-取费表'!B20/2,C40*(POWER((1+F22),'数据-取费表'!B20/2)-1)),4)</f>
        <v>4.0000000000000002E-4</v>
      </c>
      <c r="D44" s="244"/>
      <c r="E44" s="244"/>
      <c r="F44" s="245"/>
      <c r="G44" s="3425"/>
    </row>
    <row r="45" spans="1:7" s="220" customFormat="1" ht="13.5" customHeight="1">
      <c r="A45" s="261" t="s">
        <v>1992</v>
      </c>
      <c r="B45" s="250" t="s">
        <v>1958</v>
      </c>
      <c r="C45" s="251">
        <f ca="1">C46</f>
        <v>903560</v>
      </c>
      <c r="D45" s="241">
        <f ca="1">C47</f>
        <v>2E-3</v>
      </c>
      <c r="E45" s="242" t="s">
        <v>1984</v>
      </c>
      <c r="F45" s="2488">
        <f ca="1">F27</f>
        <v>0.1</v>
      </c>
      <c r="G45" s="253" t="s">
        <v>1993</v>
      </c>
    </row>
    <row r="46" spans="1:7" s="220" customFormat="1" ht="13.5" customHeight="1">
      <c r="A46" s="869" t="s">
        <v>610</v>
      </c>
      <c r="B46" s="254" t="s">
        <v>1994</v>
      </c>
      <c r="C46" s="255">
        <f ca="1">ROUND((C33+C39)*F27,0)</f>
        <v>903560</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268">
        <f>ROUND(F30/(1+'数据-取费表'!C42),4)</f>
        <v>5.2400000000000002E-2</v>
      </c>
      <c r="D48" s="242" t="s">
        <v>1984</v>
      </c>
      <c r="E48" s="238"/>
      <c r="F48" s="2487">
        <f>F30</f>
        <v>5.5000000000000007E-2</v>
      </c>
      <c r="G48" s="240" t="s">
        <v>1997</v>
      </c>
    </row>
    <row r="49" spans="1:7" ht="16.5" customHeight="1">
      <c r="A49" s="261" t="s">
        <v>1963</v>
      </c>
      <c r="B49" s="216" t="s">
        <v>2037</v>
      </c>
      <c r="C49" s="238">
        <f ca="1">ROUND((C33+C39+C41+C45)/(1-C40-D41-D45-C48),0)</f>
        <v>10947799</v>
      </c>
      <c r="D49" s="238"/>
      <c r="E49" s="238"/>
      <c r="F49" s="270"/>
      <c r="G49" s="240" t="s">
        <v>1999</v>
      </c>
    </row>
    <row r="50" spans="1:7" s="264" customFormat="1">
      <c r="A50" s="261" t="s">
        <v>2000</v>
      </c>
      <c r="B50" s="216" t="s">
        <v>2001</v>
      </c>
      <c r="C50" s="238"/>
      <c r="D50" s="238"/>
      <c r="E50" s="238"/>
      <c r="F50" s="270">
        <f>IF('数据-取费表'!B24=0,'数据-取费表'!N16,1)</f>
        <v>0.83</v>
      </c>
      <c r="G50" s="253"/>
    </row>
    <row r="51" spans="1:7" ht="16.5" customHeight="1">
      <c r="A51" s="261" t="s">
        <v>2003</v>
      </c>
      <c r="B51" s="216" t="s">
        <v>2038</v>
      </c>
      <c r="C51" s="238">
        <f ca="1">ROUND(C49*F50,0)</f>
        <v>9086673</v>
      </c>
      <c r="D51" s="238"/>
      <c r="E51" s="238"/>
      <c r="F51" s="270"/>
      <c r="G51" s="240" t="s">
        <v>2005</v>
      </c>
    </row>
    <row r="52" spans="1:7" s="214" customFormat="1" ht="16.5" thickBot="1">
      <c r="A52" s="271" t="s">
        <v>2006</v>
      </c>
      <c r="B52" s="272"/>
      <c r="C52" s="273">
        <f ca="1">C31+C51</f>
        <v>10423868</v>
      </c>
      <c r="D52" s="272"/>
      <c r="E52" s="272"/>
      <c r="F52" s="272"/>
      <c r="G52" s="274"/>
    </row>
    <row r="55" spans="1:7" ht="15">
      <c r="B55" s="276" t="s">
        <v>2007</v>
      </c>
      <c r="C55" s="277"/>
    </row>
    <row r="56" spans="1:7">
      <c r="B56" s="279" t="s">
        <v>1237</v>
      </c>
      <c r="C56" s="281">
        <f ca="1">1-C57</f>
        <v>0.128</v>
      </c>
    </row>
    <row r="57" spans="1:7">
      <c r="B57" s="279" t="s">
        <v>1238</v>
      </c>
      <c r="C57" s="280">
        <f ca="1">ROUND(C51/C52,3)</f>
        <v>0.872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7"/>
      <c r="F1" s="2987"/>
      <c r="G1" s="2850"/>
      <c r="H1" s="2987"/>
      <c r="I1" s="2987"/>
      <c r="J1" s="2987"/>
      <c r="K1" s="2988">
        <f>MATCH(C1,'数据-取费表'!A6:A16,0)+5</f>
        <v>7</v>
      </c>
    </row>
    <row r="2" spans="1:33" ht="18" customHeight="1">
      <c r="A2" s="207" t="s">
        <v>1907</v>
      </c>
      <c r="B2" s="210">
        <f ca="1">C32</f>
        <v>0</v>
      </c>
      <c r="C2" s="282" t="s">
        <v>2040</v>
      </c>
      <c r="D2" s="282"/>
      <c r="E2" s="2987"/>
      <c r="F2" s="2987"/>
      <c r="G2" s="2987"/>
      <c r="H2" s="2987"/>
      <c r="I2" s="2987"/>
      <c r="J2" s="2987"/>
      <c r="K2" s="2987"/>
    </row>
    <row r="3" spans="1:33" ht="18" customHeight="1" thickBot="1">
      <c r="A3" s="209" t="s">
        <v>1909</v>
      </c>
      <c r="B3" s="210">
        <f ca="1">ROUND(B2*10000/IF(C1="",'数据-汇总表'!E3,INDIRECT("'数据-取费表'!K"&amp;$K$1)),0)</f>
        <v>0</v>
      </c>
      <c r="C3" s="282" t="s">
        <v>2041</v>
      </c>
      <c r="D3" s="282"/>
      <c r="E3" s="2987"/>
      <c r="F3" s="2987"/>
      <c r="G3" s="2987"/>
      <c r="H3" s="2987"/>
      <c r="I3" s="2987"/>
      <c r="J3" s="2987"/>
      <c r="K3" s="2987"/>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0.05</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2656.2</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2656.2</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2075</v>
      </c>
      <c r="C20" s="24">
        <f ca="1">ROUND(D20*E20/10000,0)</f>
        <v>53</v>
      </c>
      <c r="D20" s="936">
        <f ca="1">IF(C1="",'数据-汇总表'!E6,IF(INDIRECT("'数据-取费表'!c"&amp;$K$1)="住宅",INDIRECT("'数据-取费表'!s"&amp;$K$1),INDIRECT("'数据-取费表'!k"&amp;$K$1)+INDIRECT("'数据-取费表'!s"&amp;$K$1)))</f>
        <v>2656.2</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（(1)+取得税费率/(1+5%)）×年利率×建设期</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（1）-（3）项×年利率×建设期÷2</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0.1</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5.5000000000000007E-2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7" zoomScale="60" zoomScaleNormal="60" workbookViewId="0">
      <selection activeCell="M25" sqref="M2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t="s">
        <v>6</v>
      </c>
      <c r="E1" s="1355"/>
      <c r="F1" s="2016" t="s">
        <v>3194</v>
      </c>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f>IF(C2="——",ROUND(C43*D3/10000,0),ROUND(C43*D3/10000,0)-D2)</f>
        <v>5476</v>
      </c>
      <c r="C2" s="2018" t="s">
        <v>70</v>
      </c>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f>IF(C2="——",C43,ROUND(B2*10000/D3,0))</f>
        <v>20616</v>
      </c>
      <c r="C3" s="360" t="s">
        <v>2224</v>
      </c>
      <c r="D3" s="359">
        <f>IF(D1="",'数据-汇总表'!E3,SUMIF('数据-汇总表'!$C19:$C33,D1,'数据-汇总表'!$E19:$E33))</f>
        <v>2656.2</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44" t="s">
        <v>2226</v>
      </c>
      <c r="D4" s="3445"/>
      <c r="E4" s="3446" t="s">
        <v>2227</v>
      </c>
      <c r="F4" s="3447"/>
      <c r="G4" s="3444" t="s">
        <v>2228</v>
      </c>
      <c r="H4" s="3445"/>
      <c r="I4" s="3444" t="s">
        <v>2229</v>
      </c>
      <c r="J4" s="3445"/>
      <c r="K4" s="567" t="s">
        <v>2230</v>
      </c>
      <c r="L4" s="1025"/>
      <c r="M4" s="1026"/>
      <c r="N4" s="1026"/>
      <c r="O4" s="1026"/>
      <c r="P4" s="3448" t="s">
        <v>2231</v>
      </c>
      <c r="Q4" s="3449"/>
      <c r="R4" s="3431" t="s">
        <v>2227</v>
      </c>
      <c r="S4" s="3432"/>
      <c r="T4" s="3431" t="s">
        <v>2228</v>
      </c>
      <c r="U4" s="3432"/>
      <c r="V4" s="3456" t="s">
        <v>2229</v>
      </c>
      <c r="W4" s="3456"/>
      <c r="X4" s="1490"/>
      <c r="Y4" s="3431" t="s">
        <v>2231</v>
      </c>
      <c r="Z4" s="3432"/>
      <c r="AA4" s="3426" t="s">
        <v>2227</v>
      </c>
      <c r="AB4" s="3427" t="s">
        <v>2228</v>
      </c>
      <c r="AC4" s="3426" t="s">
        <v>2229</v>
      </c>
    </row>
    <row r="5" spans="1:29" ht="15">
      <c r="A5" s="364"/>
      <c r="B5" s="365"/>
      <c r="C5" s="3437" t="s">
        <v>2122</v>
      </c>
      <c r="D5" s="3438"/>
      <c r="E5" s="3435" t="str">
        <f>Sheet1!S6</f>
        <v>企业墅</v>
      </c>
      <c r="F5" s="3436"/>
      <c r="G5" s="3437" t="str">
        <f>Sheet1!S7</f>
        <v>企业墅</v>
      </c>
      <c r="H5" s="3438"/>
      <c r="I5" s="3437" t="str">
        <f>Sheet1!S8</f>
        <v>企业墅</v>
      </c>
      <c r="J5" s="3438"/>
      <c r="K5" s="567"/>
      <c r="L5" s="1025"/>
      <c r="M5" s="1026"/>
      <c r="N5" s="1026"/>
      <c r="O5" s="1026"/>
      <c r="P5" s="3450"/>
      <c r="Q5" s="3451"/>
      <c r="R5" s="3433"/>
      <c r="S5" s="3434"/>
      <c r="T5" s="3433"/>
      <c r="U5" s="3434"/>
      <c r="V5" s="3456"/>
      <c r="W5" s="3456"/>
      <c r="X5" s="1490"/>
      <c r="Y5" s="3433"/>
      <c r="Z5" s="3434"/>
      <c r="AA5" s="3427"/>
      <c r="AB5" s="3427"/>
      <c r="AC5" s="3427"/>
    </row>
    <row r="6" spans="1:29" ht="15.75" thickBot="1">
      <c r="A6" s="366"/>
      <c r="B6" s="367"/>
      <c r="C6" s="3439" t="s">
        <v>2126</v>
      </c>
      <c r="D6" s="3440"/>
      <c r="E6" s="3441" t="s">
        <v>2126</v>
      </c>
      <c r="F6" s="3442"/>
      <c r="G6" s="3439" t="s">
        <v>2126</v>
      </c>
      <c r="H6" s="3440"/>
      <c r="I6" s="3439" t="s">
        <v>2126</v>
      </c>
      <c r="J6" s="3440"/>
      <c r="K6" s="567" t="s">
        <v>2127</v>
      </c>
      <c r="L6" s="1025"/>
      <c r="M6" s="1026"/>
      <c r="N6" s="1026"/>
      <c r="O6" s="1026"/>
      <c r="P6" s="3452"/>
      <c r="Q6" s="3453"/>
      <c r="R6" s="3433"/>
      <c r="S6" s="3434"/>
      <c r="T6" s="3454"/>
      <c r="U6" s="3455"/>
      <c r="V6" s="3456"/>
      <c r="W6" s="3456"/>
      <c r="X6" s="1490"/>
      <c r="Y6" s="3454"/>
      <c r="Z6" s="3455"/>
      <c r="AA6" s="3428"/>
      <c r="AB6" s="3428"/>
      <c r="AC6" s="3428"/>
    </row>
    <row r="7" spans="1:29" s="113" customFormat="1" ht="15.75" thickBot="1">
      <c r="A7" s="368" t="s">
        <v>2128</v>
      </c>
      <c r="B7" s="369"/>
      <c r="C7" s="370">
        <f>'数据-取费表'!B2</f>
        <v>44705</v>
      </c>
      <c r="D7" s="371">
        <v>100</v>
      </c>
      <c r="E7" s="372">
        <f>C7</f>
        <v>44705</v>
      </c>
      <c r="F7" s="373">
        <f>SUMIF(52:52,YEAR(E7)&amp;"-"&amp;MONTH(E7),53:53)</f>
        <v>100</v>
      </c>
      <c r="G7" s="372">
        <f>C7</f>
        <v>44705</v>
      </c>
      <c r="H7" s="371">
        <f>SUMIF(52:52,YEAR(G7)&amp;"-"&amp;MONTH(G7),53:53)</f>
        <v>100</v>
      </c>
      <c r="I7" s="372">
        <f>C7</f>
        <v>44705</v>
      </c>
      <c r="J7" s="371">
        <f>SUMIF(52:52,YEAR(I7)&amp;"-"&amp;MONTH(I7),53:53)</f>
        <v>100</v>
      </c>
      <c r="K7" s="568"/>
      <c r="L7" s="1027"/>
      <c r="M7" s="1028"/>
      <c r="N7" s="1028"/>
      <c r="O7" s="1028"/>
      <c r="P7" s="3429" t="s">
        <v>2129</v>
      </c>
      <c r="Q7" s="3457"/>
      <c r="R7" s="710" t="s">
        <v>17</v>
      </c>
      <c r="S7" s="711">
        <f t="shared" ref="S7:S15" si="0">F7</f>
        <v>100</v>
      </c>
      <c r="T7" s="710" t="s">
        <v>17</v>
      </c>
      <c r="U7" s="711">
        <f t="shared" ref="U7:U15" si="1">H7</f>
        <v>100</v>
      </c>
      <c r="V7" s="710" t="s">
        <v>17</v>
      </c>
      <c r="W7" s="711">
        <f t="shared" ref="W7:W15" si="2">J7</f>
        <v>100</v>
      </c>
      <c r="X7" s="712"/>
      <c r="Y7" s="3429" t="s">
        <v>2129</v>
      </c>
      <c r="Z7" s="3430"/>
      <c r="AA7" s="713">
        <f>D7/F7</f>
        <v>1</v>
      </c>
      <c r="AB7" s="713">
        <f>D7/H7</f>
        <v>1</v>
      </c>
      <c r="AC7" s="713">
        <f>D7/J7</f>
        <v>1</v>
      </c>
    </row>
    <row r="8" spans="1:29" s="113" customFormat="1" ht="15.75" thickBot="1">
      <c r="A8" s="368" t="s">
        <v>2130</v>
      </c>
      <c r="B8" s="369"/>
      <c r="C8" s="374" t="s">
        <v>2131</v>
      </c>
      <c r="D8" s="371">
        <v>100</v>
      </c>
      <c r="E8" s="3233" t="s">
        <v>3195</v>
      </c>
      <c r="F8" s="373">
        <f>SUMIF(55:55,E8,56:56)-SUMIF(55:55,C8,56:56)+100</f>
        <v>100</v>
      </c>
      <c r="G8" s="3233" t="s">
        <v>3195</v>
      </c>
      <c r="H8" s="371">
        <f>SUMIF(55:55,G8,56:56)-SUMIF(55:55,C8,56:56)+100</f>
        <v>100</v>
      </c>
      <c r="I8" s="3233" t="s">
        <v>3195</v>
      </c>
      <c r="J8" s="371">
        <f>SUMIF(55:55,I8,56:56)-SUMIF(55:55,C8,56:56)+100</f>
        <v>100</v>
      </c>
      <c r="K8" s="568"/>
      <c r="L8" s="1027"/>
      <c r="M8" s="1028"/>
      <c r="N8" s="1028"/>
      <c r="O8" s="1028"/>
      <c r="P8" s="3429" t="s">
        <v>2132</v>
      </c>
      <c r="Q8" s="3430"/>
      <c r="R8" s="710" t="s">
        <v>17</v>
      </c>
      <c r="S8" s="711">
        <f t="shared" si="0"/>
        <v>100</v>
      </c>
      <c r="T8" s="710" t="s">
        <v>17</v>
      </c>
      <c r="U8" s="711">
        <f t="shared" si="1"/>
        <v>100</v>
      </c>
      <c r="V8" s="710" t="s">
        <v>17</v>
      </c>
      <c r="W8" s="711">
        <f t="shared" si="2"/>
        <v>100</v>
      </c>
      <c r="X8" s="712"/>
      <c r="Y8" s="3429" t="s">
        <v>2132</v>
      </c>
      <c r="Z8" s="3430"/>
      <c r="AA8" s="713">
        <f t="shared" ref="AA8:AA40" si="3">D8/F8</f>
        <v>1</v>
      </c>
      <c r="AB8" s="713">
        <f t="shared" ref="AB8:AB40" si="4">D8/H8</f>
        <v>1</v>
      </c>
      <c r="AC8" s="713">
        <f t="shared" ref="AC8:AC40" si="5">D8/J8</f>
        <v>1</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43" t="s">
        <v>2135</v>
      </c>
      <c r="Q9" s="1478" t="str">
        <f t="shared" ref="Q9:Q15" si="6">B9</f>
        <v>用途</v>
      </c>
      <c r="R9" s="710" t="s">
        <v>17</v>
      </c>
      <c r="S9" s="711">
        <f t="shared" si="0"/>
        <v>100</v>
      </c>
      <c r="T9" s="710" t="s">
        <v>17</v>
      </c>
      <c r="U9" s="711">
        <f t="shared" si="1"/>
        <v>100</v>
      </c>
      <c r="V9" s="710" t="s">
        <v>17</v>
      </c>
      <c r="W9" s="711">
        <f t="shared" si="2"/>
        <v>100</v>
      </c>
      <c r="X9" s="712"/>
      <c r="Y9" s="339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43"/>
      <c r="Q10" s="1478" t="str">
        <f t="shared" si="6"/>
        <v>土地使用年限（年）</v>
      </c>
      <c r="R10" s="710" t="s">
        <v>17</v>
      </c>
      <c r="S10" s="711">
        <f t="shared" si="0"/>
        <v>100</v>
      </c>
      <c r="T10" s="710" t="s">
        <v>17</v>
      </c>
      <c r="U10" s="711">
        <f t="shared" si="1"/>
        <v>100</v>
      </c>
      <c r="V10" s="710" t="s">
        <v>17</v>
      </c>
      <c r="W10" s="711">
        <f t="shared" si="2"/>
        <v>100</v>
      </c>
      <c r="X10" s="712"/>
      <c r="Y10" s="3399"/>
      <c r="Z10" s="55" t="str">
        <f t="shared" si="7"/>
        <v>土地使用年限（年）</v>
      </c>
      <c r="AA10" s="713">
        <f t="shared" si="3"/>
        <v>1</v>
      </c>
      <c r="AB10" s="713">
        <f t="shared" si="4"/>
        <v>1</v>
      </c>
      <c r="AC10" s="713">
        <f t="shared" si="5"/>
        <v>1</v>
      </c>
    </row>
    <row r="11" spans="1:29" ht="15">
      <c r="A11" s="387"/>
      <c r="B11" s="381" t="s">
        <v>2138</v>
      </c>
      <c r="C11" s="388"/>
      <c r="D11" s="132">
        <v>100</v>
      </c>
      <c r="E11" s="388"/>
      <c r="F11" s="132">
        <f>LOOKUP(E11,62:62,63:63)-LOOKUP(C11,62:62,63:63)+100</f>
        <v>100</v>
      </c>
      <c r="G11" s="389"/>
      <c r="H11" s="132">
        <f>LOOKUP(G11,62:62,63:63)-LOOKUP(C11,62:62,63:63)+100</f>
        <v>100</v>
      </c>
      <c r="I11" s="388"/>
      <c r="J11" s="132">
        <f>LOOKUP(I11,62:62,63:63)-LOOKUP(C11,62:62,63:63)+100</f>
        <v>100</v>
      </c>
      <c r="K11" s="569"/>
      <c r="L11" s="1033"/>
      <c r="M11" s="1026"/>
      <c r="N11" s="1026"/>
      <c r="O11" s="1034"/>
      <c r="P11" s="3443"/>
      <c r="Q11" s="1478" t="str">
        <f t="shared" si="6"/>
        <v>容积率</v>
      </c>
      <c r="R11" s="710" t="s">
        <v>17</v>
      </c>
      <c r="S11" s="711">
        <f t="shared" si="0"/>
        <v>100</v>
      </c>
      <c r="T11" s="710" t="s">
        <v>17</v>
      </c>
      <c r="U11" s="711">
        <f t="shared" si="1"/>
        <v>100</v>
      </c>
      <c r="V11" s="710" t="s">
        <v>17</v>
      </c>
      <c r="W11" s="711">
        <f t="shared" si="2"/>
        <v>100</v>
      </c>
      <c r="X11" s="712"/>
      <c r="Y11" s="3399"/>
      <c r="Z11" s="55" t="str">
        <f t="shared" si="7"/>
        <v>容积率</v>
      </c>
      <c r="AA11" s="713">
        <f t="shared" si="3"/>
        <v>1</v>
      </c>
      <c r="AB11" s="713">
        <f t="shared" si="4"/>
        <v>1</v>
      </c>
      <c r="AC11" s="713">
        <f t="shared" si="5"/>
        <v>1</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43"/>
      <c r="Q12" s="1478">
        <f t="shared" si="6"/>
        <v>111</v>
      </c>
      <c r="R12" s="710" t="s">
        <v>17</v>
      </c>
      <c r="S12" s="711">
        <f t="shared" si="0"/>
        <v>100</v>
      </c>
      <c r="T12" s="710" t="s">
        <v>17</v>
      </c>
      <c r="U12" s="711">
        <f t="shared" si="1"/>
        <v>100</v>
      </c>
      <c r="V12" s="710" t="s">
        <v>17</v>
      </c>
      <c r="W12" s="711">
        <f t="shared" si="2"/>
        <v>100</v>
      </c>
      <c r="X12" s="712"/>
      <c r="Y12" s="3399"/>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43"/>
      <c r="Q13" s="1478">
        <f t="shared" si="6"/>
        <v>111</v>
      </c>
      <c r="R13" s="710" t="s">
        <v>17</v>
      </c>
      <c r="S13" s="711">
        <f t="shared" si="0"/>
        <v>100</v>
      </c>
      <c r="T13" s="710" t="s">
        <v>17</v>
      </c>
      <c r="U13" s="711">
        <f t="shared" si="1"/>
        <v>100</v>
      </c>
      <c r="V13" s="710" t="s">
        <v>17</v>
      </c>
      <c r="W13" s="711">
        <f t="shared" si="2"/>
        <v>100</v>
      </c>
      <c r="X13" s="712"/>
      <c r="Y13" s="3399"/>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43"/>
      <c r="Q14" s="1478">
        <f t="shared" si="6"/>
        <v>111</v>
      </c>
      <c r="R14" s="710" t="s">
        <v>17</v>
      </c>
      <c r="S14" s="711">
        <f t="shared" si="0"/>
        <v>100</v>
      </c>
      <c r="T14" s="710" t="s">
        <v>17</v>
      </c>
      <c r="U14" s="711">
        <f t="shared" si="1"/>
        <v>100</v>
      </c>
      <c r="V14" s="710" t="s">
        <v>17</v>
      </c>
      <c r="W14" s="711">
        <f t="shared" si="2"/>
        <v>100</v>
      </c>
      <c r="X14" s="712"/>
      <c r="Y14" s="3399"/>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58" t="s">
        <v>2140</v>
      </c>
      <c r="Q15" s="1487" t="str">
        <f t="shared" si="6"/>
        <v>产业集聚程度</v>
      </c>
      <c r="R15" s="714" t="s">
        <v>17</v>
      </c>
      <c r="S15" s="715">
        <f t="shared" si="0"/>
        <v>100</v>
      </c>
      <c r="T15" s="714" t="s">
        <v>17</v>
      </c>
      <c r="U15" s="715">
        <f t="shared" si="1"/>
        <v>100</v>
      </c>
      <c r="V15" s="714" t="s">
        <v>17</v>
      </c>
      <c r="W15" s="715">
        <f t="shared" si="2"/>
        <v>100</v>
      </c>
      <c r="X15" s="1490"/>
      <c r="Y15" s="3458"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59"/>
      <c r="Q16" s="1487"/>
      <c r="R16" s="714"/>
      <c r="S16" s="715"/>
      <c r="T16" s="714"/>
      <c r="U16" s="715"/>
      <c r="V16" s="714"/>
      <c r="W16" s="715"/>
      <c r="X16" s="1490"/>
      <c r="Y16" s="3459"/>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59"/>
      <c r="Q17" s="1487" t="str">
        <f>B17</f>
        <v>交通便捷度</v>
      </c>
      <c r="R17" s="714" t="s">
        <v>17</v>
      </c>
      <c r="S17" s="715">
        <f>F17</f>
        <v>100</v>
      </c>
      <c r="T17" s="714" t="s">
        <v>17</v>
      </c>
      <c r="U17" s="715">
        <f>H17</f>
        <v>100</v>
      </c>
      <c r="V17" s="714" t="s">
        <v>17</v>
      </c>
      <c r="W17" s="715">
        <f>J17</f>
        <v>100</v>
      </c>
      <c r="X17" s="1490"/>
      <c r="Y17" s="3459"/>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59"/>
      <c r="Q18" s="1487"/>
      <c r="R18" s="714"/>
      <c r="S18" s="715"/>
      <c r="T18" s="714"/>
      <c r="U18" s="715"/>
      <c r="V18" s="714"/>
      <c r="W18" s="715"/>
      <c r="X18" s="1490"/>
      <c r="Y18" s="3459"/>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59"/>
      <c r="Q19" s="1487" t="str">
        <f>B19</f>
        <v>公共配套设施</v>
      </c>
      <c r="R19" s="714" t="s">
        <v>17</v>
      </c>
      <c r="S19" s="715">
        <f>F19</f>
        <v>100</v>
      </c>
      <c r="T19" s="714" t="s">
        <v>17</v>
      </c>
      <c r="U19" s="715">
        <f>H19</f>
        <v>100</v>
      </c>
      <c r="V19" s="714" t="s">
        <v>17</v>
      </c>
      <c r="W19" s="715">
        <f>J19</f>
        <v>100</v>
      </c>
      <c r="X19" s="1490"/>
      <c r="Y19" s="3459"/>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59"/>
      <c r="Q20" s="1487"/>
      <c r="R20" s="714"/>
      <c r="S20" s="715"/>
      <c r="T20" s="714"/>
      <c r="U20" s="715"/>
      <c r="V20" s="714"/>
      <c r="W20" s="715"/>
      <c r="X20" s="1490"/>
      <c r="Y20" s="3459"/>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59"/>
      <c r="Q21" s="1487" t="str">
        <f>B21</f>
        <v>基础设施水平</v>
      </c>
      <c r="R21" s="714" t="s">
        <v>17</v>
      </c>
      <c r="S21" s="715">
        <f>F21</f>
        <v>100</v>
      </c>
      <c r="T21" s="714" t="s">
        <v>17</v>
      </c>
      <c r="U21" s="715">
        <f>H21</f>
        <v>100</v>
      </c>
      <c r="V21" s="714" t="s">
        <v>17</v>
      </c>
      <c r="W21" s="715">
        <f>J21</f>
        <v>100</v>
      </c>
      <c r="X21" s="1490"/>
      <c r="Y21" s="345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59"/>
      <c r="Q22" s="1487"/>
      <c r="R22" s="714"/>
      <c r="S22" s="715"/>
      <c r="T22" s="714"/>
      <c r="U22" s="715"/>
      <c r="V22" s="714"/>
      <c r="W22" s="715"/>
      <c r="X22" s="1490"/>
      <c r="Y22" s="3459"/>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59"/>
      <c r="Q23" s="1487" t="str">
        <f>B23</f>
        <v>环境质量</v>
      </c>
      <c r="R23" s="714" t="s">
        <v>17</v>
      </c>
      <c r="S23" s="715">
        <f>F23</f>
        <v>100</v>
      </c>
      <c r="T23" s="714" t="s">
        <v>17</v>
      </c>
      <c r="U23" s="715">
        <f>H23</f>
        <v>100</v>
      </c>
      <c r="V23" s="714" t="s">
        <v>17</v>
      </c>
      <c r="W23" s="715">
        <f>J23</f>
        <v>100</v>
      </c>
      <c r="X23" s="1490"/>
      <c r="Y23" s="3459"/>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59"/>
      <c r="Q24" s="1487"/>
      <c r="R24" s="714"/>
      <c r="S24" s="715"/>
      <c r="T24" s="714"/>
      <c r="U24" s="715"/>
      <c r="V24" s="714"/>
      <c r="W24" s="715"/>
      <c r="X24" s="1490"/>
      <c r="Y24" s="3459"/>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59"/>
      <c r="Q25" s="1487">
        <f>B25</f>
        <v>111</v>
      </c>
      <c r="R25" s="714" t="s">
        <v>17</v>
      </c>
      <c r="S25" s="715">
        <f>F25</f>
        <v>100</v>
      </c>
      <c r="T25" s="714" t="s">
        <v>17</v>
      </c>
      <c r="U25" s="715">
        <f>H25</f>
        <v>100</v>
      </c>
      <c r="V25" s="714" t="s">
        <v>17</v>
      </c>
      <c r="W25" s="715">
        <f>J25</f>
        <v>100</v>
      </c>
      <c r="X25" s="1490"/>
      <c r="Y25" s="3459"/>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59"/>
      <c r="Q26" s="1487">
        <f t="shared" ref="Q26:Q40" si="11">B26</f>
        <v>111</v>
      </c>
      <c r="R26" s="714" t="s">
        <v>17</v>
      </c>
      <c r="S26" s="715">
        <f>F26</f>
        <v>100</v>
      </c>
      <c r="T26" s="714" t="s">
        <v>17</v>
      </c>
      <c r="U26" s="715">
        <f>H26</f>
        <v>100</v>
      </c>
      <c r="V26" s="714" t="s">
        <v>17</v>
      </c>
      <c r="W26" s="715">
        <f>J26</f>
        <v>100</v>
      </c>
      <c r="X26" s="1490"/>
      <c r="Y26" s="3459"/>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59"/>
      <c r="Q27" s="1478">
        <f t="shared" si="11"/>
        <v>111</v>
      </c>
      <c r="R27" s="710" t="s">
        <v>17</v>
      </c>
      <c r="S27" s="711">
        <f>F27</f>
        <v>100</v>
      </c>
      <c r="T27" s="710" t="s">
        <v>17</v>
      </c>
      <c r="U27" s="711">
        <f>H27</f>
        <v>100</v>
      </c>
      <c r="V27" s="710" t="s">
        <v>17</v>
      </c>
      <c r="W27" s="711">
        <f>J27</f>
        <v>100</v>
      </c>
      <c r="X27" s="712"/>
      <c r="Y27" s="3459"/>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59"/>
      <c r="Q28" s="1487">
        <f t="shared" si="11"/>
        <v>111</v>
      </c>
      <c r="R28" s="714" t="s">
        <v>17</v>
      </c>
      <c r="S28" s="715">
        <f t="shared" ref="S28:S40" si="12">F28</f>
        <v>100</v>
      </c>
      <c r="T28" s="714" t="s">
        <v>17</v>
      </c>
      <c r="U28" s="715">
        <f t="shared" ref="U28:U40" si="13">H28</f>
        <v>100</v>
      </c>
      <c r="V28" s="714" t="s">
        <v>17</v>
      </c>
      <c r="W28" s="715">
        <f t="shared" ref="W28:W40" si="14">J28</f>
        <v>100</v>
      </c>
      <c r="X28" s="1490"/>
      <c r="Y28" s="3459"/>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460" t="s">
        <v>2145</v>
      </c>
      <c r="Q29" s="1487" t="str">
        <f t="shared" si="11"/>
        <v>建筑类型</v>
      </c>
      <c r="R29" s="714" t="s">
        <v>17</v>
      </c>
      <c r="S29" s="715">
        <f t="shared" si="12"/>
        <v>100</v>
      </c>
      <c r="T29" s="714" t="s">
        <v>17</v>
      </c>
      <c r="U29" s="715">
        <f t="shared" si="13"/>
        <v>100</v>
      </c>
      <c r="V29" s="714" t="s">
        <v>17</v>
      </c>
      <c r="W29" s="715">
        <f t="shared" si="14"/>
        <v>100</v>
      </c>
      <c r="X29" s="1490"/>
      <c r="Y29" s="3461" t="s">
        <v>2145</v>
      </c>
      <c r="Z29" s="1491" t="str">
        <f t="shared" si="15"/>
        <v>建筑类型</v>
      </c>
      <c r="AA29" s="1488">
        <f t="shared" si="3"/>
        <v>1</v>
      </c>
      <c r="AB29" s="1488">
        <f t="shared" si="4"/>
        <v>1</v>
      </c>
      <c r="AC29" s="1488">
        <f t="shared" si="5"/>
        <v>1</v>
      </c>
    </row>
    <row r="30" spans="1:29" s="430" customFormat="1" ht="15">
      <c r="A30" s="427"/>
      <c r="B30" s="381" t="s">
        <v>2146</v>
      </c>
      <c r="C30" s="428">
        <f>D3</f>
        <v>2656.2</v>
      </c>
      <c r="D30" s="132">
        <v>100</v>
      </c>
      <c r="E30" s="389">
        <f>Sheet1!T6</f>
        <v>2200</v>
      </c>
      <c r="F30" s="384">
        <f>LOOKUP(E30,91:91,92:92)-LOOKUP(C30,91:91,92:92)+100</f>
        <v>102</v>
      </c>
      <c r="G30" s="388">
        <f>Sheet1!T7</f>
        <v>200</v>
      </c>
      <c r="H30" s="132">
        <f>LOOKUP(G30,91:91,92:92)-LOOKUP(C30,91:91,92:92)+100</f>
        <v>106</v>
      </c>
      <c r="I30" s="388">
        <f>Sheet1!T8</f>
        <v>2251.25</v>
      </c>
      <c r="J30" s="132">
        <f>LOOKUP(I30,91:91,92:92)-LOOKUP(C30,91:91,92:92)+100</f>
        <v>102</v>
      </c>
      <c r="K30" s="570"/>
      <c r="L30" s="1033"/>
      <c r="M30" s="1036"/>
      <c r="N30" s="1036"/>
      <c r="O30" s="1037"/>
      <c r="P30" s="3461"/>
      <c r="Q30" s="716" t="str">
        <f t="shared" si="11"/>
        <v>项目建筑规模</v>
      </c>
      <c r="R30" s="717" t="s">
        <v>17</v>
      </c>
      <c r="S30" s="718">
        <f t="shared" si="12"/>
        <v>102</v>
      </c>
      <c r="T30" s="717" t="s">
        <v>17</v>
      </c>
      <c r="U30" s="718">
        <f t="shared" si="13"/>
        <v>106</v>
      </c>
      <c r="V30" s="717" t="s">
        <v>17</v>
      </c>
      <c r="W30" s="718">
        <f t="shared" si="14"/>
        <v>102</v>
      </c>
      <c r="X30" s="719"/>
      <c r="Y30" s="3461"/>
      <c r="Z30" s="720" t="str">
        <f t="shared" si="15"/>
        <v>项目建筑规模</v>
      </c>
      <c r="AA30" s="1488">
        <f t="shared" si="3"/>
        <v>0.98039215686274506</v>
      </c>
      <c r="AB30" s="1488">
        <f t="shared" si="4"/>
        <v>0.94339622641509435</v>
      </c>
      <c r="AC30" s="1488">
        <f t="shared" si="5"/>
        <v>0.98039215686274506</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61"/>
      <c r="Q31" s="1487" t="str">
        <f t="shared" si="11"/>
        <v>建筑结构</v>
      </c>
      <c r="R31" s="714" t="s">
        <v>17</v>
      </c>
      <c r="S31" s="715">
        <f t="shared" si="12"/>
        <v>100</v>
      </c>
      <c r="T31" s="714" t="s">
        <v>17</v>
      </c>
      <c r="U31" s="715">
        <f t="shared" si="13"/>
        <v>100</v>
      </c>
      <c r="V31" s="714" t="s">
        <v>17</v>
      </c>
      <c r="W31" s="715">
        <f t="shared" si="14"/>
        <v>100</v>
      </c>
      <c r="X31" s="1490"/>
      <c r="Y31" s="3461"/>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61"/>
      <c r="Q32" s="1487" t="str">
        <f t="shared" si="11"/>
        <v>公共部分装修</v>
      </c>
      <c r="R32" s="714" t="s">
        <v>17</v>
      </c>
      <c r="S32" s="715">
        <f t="shared" si="12"/>
        <v>100</v>
      </c>
      <c r="T32" s="714" t="s">
        <v>17</v>
      </c>
      <c r="U32" s="715">
        <f t="shared" si="13"/>
        <v>100</v>
      </c>
      <c r="V32" s="714" t="s">
        <v>17</v>
      </c>
      <c r="W32" s="715">
        <f t="shared" si="14"/>
        <v>100</v>
      </c>
      <c r="X32" s="1490"/>
      <c r="Y32" s="3461"/>
      <c r="Z32" s="1491" t="str">
        <f t="shared" si="15"/>
        <v>公共部分装修</v>
      </c>
      <c r="AA32" s="1488">
        <f t="shared" si="3"/>
        <v>1</v>
      </c>
      <c r="AB32" s="1488">
        <f t="shared" si="4"/>
        <v>1</v>
      </c>
      <c r="AC32" s="1488">
        <f t="shared" si="5"/>
        <v>1</v>
      </c>
    </row>
    <row r="33" spans="1:29" ht="15">
      <c r="A33" s="431"/>
      <c r="B33" s="381" t="s">
        <v>2242</v>
      </c>
      <c r="C33" s="428">
        <v>82</v>
      </c>
      <c r="D33" s="394">
        <v>100</v>
      </c>
      <c r="E33" s="433">
        <v>0.82</v>
      </c>
      <c r="F33" s="420">
        <f>LOOKUP(E33,98:98,99:99)-LOOKUP(C33,98:98,99:99)+100</f>
        <v>100</v>
      </c>
      <c r="G33" s="433">
        <v>0.82</v>
      </c>
      <c r="H33" s="420">
        <f>LOOKUP(G33,98:98,99:99)-LOOKUP(C33,98:98,99:99)+100</f>
        <v>100</v>
      </c>
      <c r="I33" s="433">
        <v>0.82</v>
      </c>
      <c r="J33" s="394">
        <f>LOOKUP(I33,98:98,99:99)-LOOKUP(C33,98:98,99:99)+100</f>
        <v>100</v>
      </c>
      <c r="K33" s="569"/>
      <c r="L33" s="1035"/>
      <c r="M33" s="1026"/>
      <c r="N33" s="1026"/>
      <c r="O33" s="1034"/>
      <c r="P33" s="3461"/>
      <c r="Q33" s="1487" t="str">
        <f t="shared" si="11"/>
        <v>成新度</v>
      </c>
      <c r="R33" s="714" t="s">
        <v>17</v>
      </c>
      <c r="S33" s="715">
        <f t="shared" si="12"/>
        <v>100</v>
      </c>
      <c r="T33" s="714" t="s">
        <v>17</v>
      </c>
      <c r="U33" s="715">
        <f t="shared" si="13"/>
        <v>100</v>
      </c>
      <c r="V33" s="714" t="s">
        <v>17</v>
      </c>
      <c r="W33" s="715">
        <f t="shared" si="14"/>
        <v>100</v>
      </c>
      <c r="X33" s="1490"/>
      <c r="Y33" s="3461"/>
      <c r="Z33" s="1491" t="str">
        <f t="shared" si="15"/>
        <v>成新度</v>
      </c>
      <c r="AA33" s="1488">
        <f t="shared" si="3"/>
        <v>1</v>
      </c>
      <c r="AB33" s="1488">
        <f t="shared" si="4"/>
        <v>1</v>
      </c>
      <c r="AC33" s="1488">
        <f t="shared" si="5"/>
        <v>1</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61"/>
      <c r="Q34" s="1478" t="str">
        <f t="shared" si="11"/>
        <v>物业管理</v>
      </c>
      <c r="R34" s="710" t="s">
        <v>17</v>
      </c>
      <c r="S34" s="711">
        <f t="shared" si="12"/>
        <v>100</v>
      </c>
      <c r="T34" s="710" t="s">
        <v>17</v>
      </c>
      <c r="U34" s="711">
        <f t="shared" si="13"/>
        <v>100</v>
      </c>
      <c r="V34" s="710" t="s">
        <v>17</v>
      </c>
      <c r="W34" s="711">
        <f t="shared" si="14"/>
        <v>100</v>
      </c>
      <c r="X34" s="712"/>
      <c r="Y34" s="3461"/>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61" t="s">
        <v>2145</v>
      </c>
      <c r="Q35" s="1487" t="str">
        <f t="shared" si="11"/>
        <v>市政基础设施</v>
      </c>
      <c r="R35" s="714" t="s">
        <v>17</v>
      </c>
      <c r="S35" s="715">
        <f t="shared" si="12"/>
        <v>100</v>
      </c>
      <c r="T35" s="714" t="s">
        <v>17</v>
      </c>
      <c r="U35" s="715">
        <f t="shared" si="13"/>
        <v>100</v>
      </c>
      <c r="V35" s="714" t="s">
        <v>17</v>
      </c>
      <c r="W35" s="715">
        <f t="shared" si="14"/>
        <v>100</v>
      </c>
      <c r="X35" s="1490"/>
      <c r="Y35" s="3461"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61"/>
      <c r="Q36" s="1487" t="str">
        <f t="shared" si="11"/>
        <v>内部装修</v>
      </c>
      <c r="R36" s="714" t="s">
        <v>17</v>
      </c>
      <c r="S36" s="715">
        <f t="shared" si="12"/>
        <v>100</v>
      </c>
      <c r="T36" s="714" t="s">
        <v>17</v>
      </c>
      <c r="U36" s="715">
        <f t="shared" si="13"/>
        <v>100</v>
      </c>
      <c r="V36" s="714" t="s">
        <v>17</v>
      </c>
      <c r="W36" s="715">
        <f t="shared" si="14"/>
        <v>100</v>
      </c>
      <c r="X36" s="1490"/>
      <c r="Y36" s="3461"/>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61"/>
      <c r="Q37" s="1487" t="str">
        <f t="shared" si="11"/>
        <v>内部装修状况</v>
      </c>
      <c r="R37" s="714" t="s">
        <v>17</v>
      </c>
      <c r="S37" s="715">
        <f t="shared" si="12"/>
        <v>100</v>
      </c>
      <c r="T37" s="714" t="s">
        <v>17</v>
      </c>
      <c r="U37" s="715">
        <f t="shared" si="13"/>
        <v>100</v>
      </c>
      <c r="V37" s="714" t="s">
        <v>17</v>
      </c>
      <c r="W37" s="715">
        <f t="shared" si="14"/>
        <v>100</v>
      </c>
      <c r="X37" s="1490"/>
      <c r="Y37" s="3461"/>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61"/>
      <c r="Q38" s="716">
        <f t="shared" si="11"/>
        <v>111</v>
      </c>
      <c r="R38" s="717" t="s">
        <v>17</v>
      </c>
      <c r="S38" s="718">
        <f t="shared" si="12"/>
        <v>100</v>
      </c>
      <c r="T38" s="717" t="s">
        <v>17</v>
      </c>
      <c r="U38" s="718">
        <f t="shared" si="13"/>
        <v>100</v>
      </c>
      <c r="V38" s="717" t="s">
        <v>17</v>
      </c>
      <c r="W38" s="718">
        <f t="shared" si="14"/>
        <v>100</v>
      </c>
      <c r="X38" s="719"/>
      <c r="Y38" s="3461"/>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61"/>
      <c r="Q39" s="1487">
        <f t="shared" si="11"/>
        <v>111</v>
      </c>
      <c r="R39" s="714" t="s">
        <v>17</v>
      </c>
      <c r="S39" s="715">
        <f t="shared" si="12"/>
        <v>100</v>
      </c>
      <c r="T39" s="714" t="s">
        <v>17</v>
      </c>
      <c r="U39" s="715">
        <f t="shared" si="13"/>
        <v>100</v>
      </c>
      <c r="V39" s="714" t="s">
        <v>17</v>
      </c>
      <c r="W39" s="715">
        <f t="shared" si="14"/>
        <v>100</v>
      </c>
      <c r="X39" s="1490"/>
      <c r="Y39" s="3461"/>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62"/>
      <c r="Q40" s="1487">
        <f t="shared" si="11"/>
        <v>111</v>
      </c>
      <c r="R40" s="714" t="s">
        <v>17</v>
      </c>
      <c r="S40" s="715">
        <f t="shared" si="12"/>
        <v>100</v>
      </c>
      <c r="T40" s="714" t="s">
        <v>17</v>
      </c>
      <c r="U40" s="715">
        <f t="shared" si="13"/>
        <v>100</v>
      </c>
      <c r="V40" s="714" t="s">
        <v>17</v>
      </c>
      <c r="W40" s="715">
        <f t="shared" si="14"/>
        <v>100</v>
      </c>
      <c r="X40" s="1490"/>
      <c r="Y40" s="3462"/>
      <c r="Z40" s="1491">
        <f t="shared" si="15"/>
        <v>111</v>
      </c>
      <c r="AA40" s="1488">
        <f t="shared" si="3"/>
        <v>1</v>
      </c>
      <c r="AB40" s="1488">
        <f t="shared" si="4"/>
        <v>1</v>
      </c>
      <c r="AC40" s="1488">
        <f t="shared" si="5"/>
        <v>1</v>
      </c>
    </row>
    <row r="41" spans="1:29" ht="15">
      <c r="A41" s="438" t="s">
        <v>2157</v>
      </c>
      <c r="B41" s="439"/>
      <c r="C41" s="1269" t="s">
        <v>1</v>
      </c>
      <c r="D41" s="1270"/>
      <c r="E41" s="1271">
        <f>Sheet1!U6</f>
        <v>20000</v>
      </c>
      <c r="F41" s="1272"/>
      <c r="G41" s="1273">
        <f>Sheet1!U7</f>
        <v>24000</v>
      </c>
      <c r="H41" s="1274"/>
      <c r="I41" s="1271">
        <f>Sheet1!U8</f>
        <v>19989</v>
      </c>
      <c r="J41" s="1274"/>
      <c r="K41" s="723"/>
      <c r="L41" s="1038"/>
      <c r="M41" s="1039"/>
      <c r="N41" s="1026"/>
      <c r="O41" s="1039"/>
      <c r="P41" s="3443" t="str">
        <f>A41</f>
        <v>成交单价（元/平方米）</v>
      </c>
      <c r="Q41" s="3443"/>
      <c r="R41" s="3463">
        <f>E41</f>
        <v>20000</v>
      </c>
      <c r="S41" s="3463"/>
      <c r="T41" s="3463">
        <f>G41</f>
        <v>24000</v>
      </c>
      <c r="U41" s="3463"/>
      <c r="V41" s="3463">
        <f>I41</f>
        <v>19989</v>
      </c>
      <c r="W41" s="3463"/>
      <c r="X41" s="699"/>
      <c r="Y41" s="721"/>
      <c r="Z41" s="699"/>
      <c r="AA41" s="699"/>
      <c r="AB41" s="699"/>
      <c r="AC41" s="699"/>
    </row>
    <row r="42" spans="1:29" ht="15.75" thickBot="1">
      <c r="A42" s="445" t="s">
        <v>2249</v>
      </c>
      <c r="B42" s="446"/>
      <c r="C42" s="1275">
        <f>R43</f>
        <v>20616</v>
      </c>
      <c r="D42" s="2489" t="s">
        <v>2639</v>
      </c>
      <c r="E42" s="1276">
        <f>R42</f>
        <v>19608</v>
      </c>
      <c r="F42" s="2490"/>
      <c r="G42" s="1275">
        <f>T42</f>
        <v>22642</v>
      </c>
      <c r="H42" s="2490"/>
      <c r="I42" s="1276">
        <f>V42</f>
        <v>19597</v>
      </c>
      <c r="J42" s="2490"/>
      <c r="K42" s="2492">
        <f>F42+H42+J42</f>
        <v>0</v>
      </c>
      <c r="L42" s="1038"/>
      <c r="M42" s="1039"/>
      <c r="N42" s="1026"/>
      <c r="O42" s="1039"/>
      <c r="P42" s="3443" t="str">
        <f>A42</f>
        <v>比较价值（元/平方米）</v>
      </c>
      <c r="Q42" s="3443"/>
      <c r="R42" s="3463">
        <f>IF(F1="售价",ROUND(PRODUCT(R41,AA7:AA40),0),ROUND(PRODUCT(R41,AA7:AA40),1))</f>
        <v>19608</v>
      </c>
      <c r="S42" s="3463"/>
      <c r="T42" s="3463">
        <f>IF(F1="售价",ROUND(PRODUCT(T41,AB7:AB40),0),ROUND(PRODUCT(T41,AB7:AB40),1))</f>
        <v>22642</v>
      </c>
      <c r="U42" s="3463"/>
      <c r="V42" s="3463">
        <f>IF(F1="售价",ROUND(PRODUCT(V41,AC7:AC40),0),ROUND(PRODUCT(V41,AC7:AC40),1))</f>
        <v>19597</v>
      </c>
      <c r="W42" s="3463"/>
      <c r="X42" s="699"/>
      <c r="Y42" s="699"/>
      <c r="Z42" s="699"/>
      <c r="AA42" s="699"/>
      <c r="AB42" s="699"/>
      <c r="AC42" s="699"/>
    </row>
    <row r="43" spans="1:29" ht="15.75" thickBot="1">
      <c r="A43" s="449" t="s">
        <v>2250</v>
      </c>
      <c r="B43" s="450"/>
      <c r="C43" s="1278">
        <f>R43</f>
        <v>20616</v>
      </c>
      <c r="D43" s="1278"/>
      <c r="E43" s="1278"/>
      <c r="F43" s="1278"/>
      <c r="G43" s="1278"/>
      <c r="H43" s="1278"/>
      <c r="I43" s="1278"/>
      <c r="J43" s="1278"/>
      <c r="K43" s="724"/>
      <c r="L43" s="1038"/>
      <c r="M43" s="1039"/>
      <c r="N43" s="1039"/>
      <c r="O43" s="1039"/>
      <c r="P43" s="3464" t="str">
        <f>A43</f>
        <v>估价对象XX用房的比较价值（楼面单价，元/平方米）</v>
      </c>
      <c r="Q43" s="3465"/>
      <c r="R43" s="3466">
        <f>IF(F1="售价",ROUND(IF(D42="简单平均",AVERAGE(R42:V42),R42*F42+T42*H42+V42*J42),0),ROUND(IF(D42="简单平均",AVERAGE(R42:V42),R42*F42+T42*H42+V42*J42),1))</f>
        <v>20616</v>
      </c>
      <c r="S43" s="3466"/>
      <c r="T43" s="3466"/>
      <c r="U43" s="3466"/>
      <c r="V43" s="3466"/>
      <c r="W43" s="3466"/>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2251</v>
      </c>
      <c r="D46" s="455"/>
      <c r="E46" s="456">
        <f>IF(E41&lt;E42,E42/E41-1,E41/E42-1)</f>
        <v>1.9991840065279431E-2</v>
      </c>
      <c r="F46" s="457" t="str">
        <f>IF(OR(E46&gt;=0.3,E46&lt;=-0.3),"超过30%","")</f>
        <v/>
      </c>
      <c r="G46" s="456">
        <f>IF(G41&lt;G42,G42/G41-1,G41/G42-1)</f>
        <v>5.9977033830933557E-2</v>
      </c>
      <c r="H46" s="457" t="str">
        <f>IF(OR(G46&gt;=0.3,G46&lt;=-0.3),"超过30%","")</f>
        <v/>
      </c>
      <c r="I46" s="456">
        <f>IF(I41&lt;I42,I42/I41-1,I41/I42-1)</f>
        <v>2.0003061693116386E-2</v>
      </c>
      <c r="J46" s="457" t="str">
        <f>IF(OR(I46&gt;=0.3,I46&lt;=-0.3),"超过30%","")</f>
        <v/>
      </c>
      <c r="K46" s="2909"/>
      <c r="L46" s="1001"/>
      <c r="M46" s="1039"/>
      <c r="N46" s="1039"/>
      <c r="O46" s="1039"/>
    </row>
    <row r="47" spans="1:29" ht="13.5" customHeight="1">
      <c r="A47" s="2904"/>
      <c r="B47" s="2904"/>
      <c r="C47" s="454" t="s">
        <v>2252</v>
      </c>
      <c r="D47" s="458"/>
      <c r="E47" s="456">
        <f>IF(E42&lt;G42,G42/E42-1,E42/G42-1)</f>
        <v>0.15473276213790288</v>
      </c>
      <c r="F47" s="457" t="str">
        <f>IF(OR(E47&gt;=0.2,E47&lt;=-0.2),"超过20%","")</f>
        <v/>
      </c>
      <c r="G47" s="456">
        <f>IF(G42&lt;I42,I42/G42-1,G42/I42-1)</f>
        <v>0.15538092565188544</v>
      </c>
      <c r="H47" s="457" t="str">
        <f>IF(OR(G47&gt;=0.2,G47&lt;=-0.2),"超过20%","")</f>
        <v/>
      </c>
      <c r="I47" s="456">
        <f>IF(I42&lt;E42,E42/I42-1,I42/E42-1)</f>
        <v>5.6131040465379201E-4</v>
      </c>
      <c r="J47" s="457" t="str">
        <f>IF(OR(I47&gt;=0.2,I47&lt;=-0.2),"超过20%","")</f>
        <v/>
      </c>
      <c r="K47" s="2909"/>
      <c r="L47" s="1001"/>
      <c r="M47" s="1039"/>
      <c r="N47" s="1039"/>
      <c r="O47" s="1039"/>
    </row>
    <row r="48" spans="1:29" s="459" customFormat="1" ht="13.5" customHeight="1">
      <c r="A48" s="2907"/>
      <c r="B48" s="2907"/>
      <c r="C48" s="454" t="s">
        <v>2253</v>
      </c>
      <c r="D48" s="458"/>
      <c r="E48" s="456">
        <f>IF(E41&lt;G41,G41/E41-1,E41/G41-1)</f>
        <v>0.19999999999999996</v>
      </c>
      <c r="F48" s="457" t="str">
        <f>IF(OR(E48&gt;=0.3,E48&lt;=-0.3),"超过30%","")</f>
        <v/>
      </c>
      <c r="G48" s="456">
        <f>IF(G41&lt;I41,I41/G41-1,G41/I41-1)</f>
        <v>0.20066036319975988</v>
      </c>
      <c r="H48" s="457" t="str">
        <f>IF(OR(G48&gt;=0.3,G48&lt;=-0.3),"超过30%","")</f>
        <v/>
      </c>
      <c r="I48" s="456">
        <f>IF(I41&lt;E41,E41/I41-1,I41/E41-1)</f>
        <v>5.5030266646660664E-4</v>
      </c>
      <c r="J48" s="457" t="str">
        <f>IF(OR(I48&gt;=0.3,I48&lt;=-0.3),"超过30%","")</f>
        <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2022-5</v>
      </c>
      <c r="D52" s="1300">
        <f>EDATE(C52,-1)</f>
        <v>44652</v>
      </c>
      <c r="E52" s="1300">
        <f t="shared" ref="E52:O52" si="16">EDATE(D52,-1)</f>
        <v>44621</v>
      </c>
      <c r="F52" s="1300">
        <f t="shared" si="16"/>
        <v>44593</v>
      </c>
      <c r="G52" s="1300">
        <f t="shared" si="16"/>
        <v>44562</v>
      </c>
      <c r="H52" s="1300">
        <f t="shared" si="16"/>
        <v>44531</v>
      </c>
      <c r="I52" s="1300">
        <f t="shared" si="16"/>
        <v>44501</v>
      </c>
      <c r="J52" s="1300">
        <f t="shared" si="16"/>
        <v>44470</v>
      </c>
      <c r="K52" s="1300">
        <f t="shared" si="16"/>
        <v>44440</v>
      </c>
      <c r="L52" s="1300">
        <f t="shared" si="16"/>
        <v>44409</v>
      </c>
      <c r="M52" s="1300">
        <f t="shared" si="16"/>
        <v>44378</v>
      </c>
      <c r="N52" s="1300">
        <f t="shared" si="16"/>
        <v>44348</v>
      </c>
      <c r="O52" s="1300">
        <f t="shared" si="16"/>
        <v>44317</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9"/>
      <c r="O54" s="2950"/>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0（含）-1</v>
      </c>
      <c r="D61" s="504" t="str">
        <f t="shared" ref="D61:L61" si="17">D62&amp;"（含）"&amp;"-"&amp;E62</f>
        <v>1（含）-2</v>
      </c>
      <c r="E61" s="504" t="str">
        <f t="shared" si="17"/>
        <v>2（含）-3</v>
      </c>
      <c r="F61" s="504" t="str">
        <f t="shared" si="17"/>
        <v>3（含）-4</v>
      </c>
      <c r="G61" s="504" t="str">
        <f t="shared" si="17"/>
        <v>4（含）-5</v>
      </c>
      <c r="H61" s="504" t="str">
        <f t="shared" si="17"/>
        <v>5（含）-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v>0</v>
      </c>
      <c r="D62" s="506">
        <v>1</v>
      </c>
      <c r="E62" s="506">
        <v>2</v>
      </c>
      <c r="F62" s="506">
        <v>3</v>
      </c>
      <c r="G62" s="506">
        <v>4</v>
      </c>
      <c r="H62" s="506">
        <v>5</v>
      </c>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29.25" thickTop="1">
      <c r="A90" s="491"/>
      <c r="B90" s="495" t="s">
        <v>2193</v>
      </c>
      <c r="C90" s="535" t="str">
        <f>C91&amp;"(含)"&amp;"-"&amp;D91</f>
        <v>0(含)-200</v>
      </c>
      <c r="D90" s="535" t="str">
        <f t="shared" ref="D90:L90" si="20">D91&amp;"(含)"&amp;"-"&amp;E91</f>
        <v>200(含)-500</v>
      </c>
      <c r="E90" s="535" t="str">
        <f t="shared" si="20"/>
        <v>500(含)-1500</v>
      </c>
      <c r="F90" s="535" t="str">
        <f t="shared" si="20"/>
        <v>1500(含)-2500</v>
      </c>
      <c r="G90" s="535" t="str">
        <f t="shared" si="20"/>
        <v>2500(含)-4000</v>
      </c>
      <c r="H90" s="535" t="str">
        <f t="shared" si="20"/>
        <v>4000(含)-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v>0</v>
      </c>
      <c r="D91" s="552">
        <v>200</v>
      </c>
      <c r="E91" s="552">
        <v>500</v>
      </c>
      <c r="F91" s="552">
        <v>1500</v>
      </c>
      <c r="G91" s="552">
        <v>2500</v>
      </c>
      <c r="H91" s="552">
        <v>4000</v>
      </c>
      <c r="I91" s="552"/>
      <c r="J91" s="553"/>
      <c r="K91" s="553"/>
      <c r="L91" s="554"/>
      <c r="M91" s="555"/>
      <c r="N91" s="1047"/>
      <c r="O91" s="1047"/>
      <c r="P91" s="515"/>
      <c r="Q91" s="516"/>
    </row>
    <row r="92" spans="1:17" s="430" customFormat="1" ht="15.75" thickBot="1">
      <c r="A92" s="510"/>
      <c r="B92" s="500"/>
      <c r="C92" s="517">
        <v>98</v>
      </c>
      <c r="D92" s="493">
        <v>100</v>
      </c>
      <c r="E92" s="493">
        <v>98</v>
      </c>
      <c r="F92" s="493">
        <v>96</v>
      </c>
      <c r="G92" s="493">
        <v>94</v>
      </c>
      <c r="H92" s="493">
        <v>92</v>
      </c>
      <c r="I92" s="493">
        <v>90</v>
      </c>
      <c r="J92" s="493">
        <v>88</v>
      </c>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65" priority="20" stopIfTrue="1" operator="containsText" text="超过">
      <formula>NOT(ISERROR(SEARCH("超过",F46)))</formula>
    </cfRule>
  </conditionalFormatting>
  <conditionalFormatting sqref="H48">
    <cfRule type="containsText" dxfId="164" priority="19" stopIfTrue="1" operator="containsText" text="超过">
      <formula>NOT(ISERROR(SEARCH("超过",H48)))</formula>
    </cfRule>
  </conditionalFormatting>
  <conditionalFormatting sqref="F48">
    <cfRule type="containsText" dxfId="163" priority="18" stopIfTrue="1" operator="containsText" text="超过">
      <formula>NOT(ISERROR(SEARCH("超过",F48)))</formula>
    </cfRule>
  </conditionalFormatting>
  <conditionalFormatting sqref="F47 H47">
    <cfRule type="containsText" dxfId="162" priority="17" stopIfTrue="1" operator="containsText" text="超过">
      <formula>NOT(ISERROR(SEARCH("超过",F47)))</formula>
    </cfRule>
  </conditionalFormatting>
  <conditionalFormatting sqref="E46">
    <cfRule type="expression" dxfId="161" priority="16" stopIfTrue="1">
      <formula>$F$46="超过30%"</formula>
    </cfRule>
  </conditionalFormatting>
  <conditionalFormatting sqref="E47">
    <cfRule type="expression" dxfId="160" priority="15" stopIfTrue="1">
      <formula>$F$47="超过20%"</formula>
    </cfRule>
  </conditionalFormatting>
  <conditionalFormatting sqref="E48">
    <cfRule type="expression" dxfId="159" priority="14" stopIfTrue="1">
      <formula>$F$48="超过30%"</formula>
    </cfRule>
  </conditionalFormatting>
  <conditionalFormatting sqref="G48">
    <cfRule type="expression" dxfId="158" priority="13" stopIfTrue="1">
      <formula>$H$48="超过30%"</formula>
    </cfRule>
  </conditionalFormatting>
  <conditionalFormatting sqref="G46">
    <cfRule type="expression" dxfId="157" priority="12" stopIfTrue="1">
      <formula>$H$46="超过30%"</formula>
    </cfRule>
  </conditionalFormatting>
  <conditionalFormatting sqref="G47">
    <cfRule type="expression" dxfId="156" priority="11" stopIfTrue="1">
      <formula>$H$47="超过20%"</formula>
    </cfRule>
  </conditionalFormatting>
  <conditionalFormatting sqref="J46">
    <cfRule type="containsText" dxfId="155" priority="10" stopIfTrue="1" operator="containsText" text="超过">
      <formula>NOT(ISERROR(SEARCH("超过",J46)))</formula>
    </cfRule>
  </conditionalFormatting>
  <conditionalFormatting sqref="J48">
    <cfRule type="containsText" dxfId="154" priority="9" stopIfTrue="1" operator="containsText" text="超过">
      <formula>NOT(ISERROR(SEARCH("超过",J48)))</formula>
    </cfRule>
  </conditionalFormatting>
  <conditionalFormatting sqref="J47">
    <cfRule type="containsText" dxfId="153" priority="8" stopIfTrue="1" operator="containsText" text="超过">
      <formula>NOT(ISERROR(SEARCH("超过",J47)))</formula>
    </cfRule>
  </conditionalFormatting>
  <conditionalFormatting sqref="I46">
    <cfRule type="expression" dxfId="152" priority="7" stopIfTrue="1">
      <formula>$J$46="超过30%"</formula>
    </cfRule>
  </conditionalFormatting>
  <conditionalFormatting sqref="I47">
    <cfRule type="expression" dxfId="151" priority="6" stopIfTrue="1">
      <formula>$J$47="超过20%"</formula>
    </cfRule>
  </conditionalFormatting>
  <conditionalFormatting sqref="I48">
    <cfRule type="expression" dxfId="150" priority="5" stopIfTrue="1">
      <formula>$J$48="超过30%"</formula>
    </cfRule>
  </conditionalFormatting>
  <conditionalFormatting sqref="F42">
    <cfRule type="expression" dxfId="149" priority="4">
      <formula>$D$42="简单平均"</formula>
    </cfRule>
  </conditionalFormatting>
  <conditionalFormatting sqref="H42">
    <cfRule type="expression" dxfId="148" priority="3">
      <formula>$D$42="简单平均"</formula>
    </cfRule>
  </conditionalFormatting>
  <conditionalFormatting sqref="J42">
    <cfRule type="expression" dxfId="147" priority="2">
      <formula>$D$42="简单平均"</formula>
    </cfRule>
  </conditionalFormatting>
  <conditionalFormatting sqref="F7:F40 H7:H40 J7:J40">
    <cfRule type="cellIs" dxfId="14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S5:U8"/>
  <sheetViews>
    <sheetView workbookViewId="0">
      <selection activeCell="V8" sqref="V8"/>
    </sheetView>
  </sheetViews>
  <sheetFormatPr defaultRowHeight="13.5"/>
  <sheetData>
    <row r="5" spans="19:21">
      <c r="T5" s="3231" t="s">
        <v>3178</v>
      </c>
      <c r="U5" s="3231" t="s">
        <v>3179</v>
      </c>
    </row>
    <row r="6" spans="19:21">
      <c r="S6" s="3231" t="s">
        <v>3177</v>
      </c>
      <c r="T6">
        <v>2200</v>
      </c>
      <c r="U6">
        <v>20000</v>
      </c>
    </row>
    <row r="7" spans="19:21">
      <c r="S7" t="str">
        <f>S6</f>
        <v>企业墅</v>
      </c>
      <c r="T7">
        <v>200</v>
      </c>
      <c r="U7">
        <v>24000</v>
      </c>
    </row>
    <row r="8" spans="19:21">
      <c r="S8" t="str">
        <f>S6</f>
        <v>企业墅</v>
      </c>
      <c r="T8">
        <v>2251.25</v>
      </c>
      <c r="U8">
        <v>19989</v>
      </c>
    </row>
  </sheetData>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view="pageBreakPreview" topLeftCell="A19" zoomScale="70" zoomScaleNormal="70" zoomScaleSheetLayoutView="70" workbookViewId="0">
      <selection activeCell="I39" sqref="I3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6</v>
      </c>
      <c r="D1" s="1497" t="s">
        <v>70</v>
      </c>
      <c r="E1" s="1498" t="s">
        <v>1111</v>
      </c>
      <c r="F1" s="1174">
        <f ca="1">J53</f>
        <v>38.17</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4375</v>
      </c>
      <c r="C2" s="1522" t="s">
        <v>1240</v>
      </c>
      <c r="D2" s="1522"/>
      <c r="E2" s="1523"/>
      <c r="F2" s="1524"/>
      <c r="G2" s="2885"/>
      <c r="H2" s="2874"/>
      <c r="I2" s="2874"/>
      <c r="J2" s="2874"/>
      <c r="K2" s="2875"/>
      <c r="L2" s="2874"/>
      <c r="M2" s="2874"/>
    </row>
    <row r="3" spans="1:37" ht="18" customHeight="1" thickBot="1">
      <c r="A3" s="1525" t="s">
        <v>1241</v>
      </c>
      <c r="B3" s="1526">
        <f ca="1">IF(ISERROR(B2*10000/F43),0,ROUND(B2*10000/F43,0))</f>
        <v>16471</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218</v>
      </c>
      <c r="D5" s="1499" t="s">
        <v>1126</v>
      </c>
      <c r="E5" s="1184"/>
      <c r="F5" s="1185"/>
      <c r="G5" s="1519"/>
      <c r="H5" s="305">
        <v>1</v>
      </c>
      <c r="I5" s="306" t="s">
        <v>1125</v>
      </c>
      <c r="J5" s="1183">
        <f ca="1">J6+J10+J12</f>
        <v>0</v>
      </c>
      <c r="K5" s="1499" t="s">
        <v>1126</v>
      </c>
      <c r="L5" s="1184"/>
      <c r="M5" s="1185"/>
    </row>
    <row r="6" spans="1:37" ht="18" customHeight="1">
      <c r="A6" s="1182" t="s">
        <v>822</v>
      </c>
      <c r="B6" s="3469" t="s">
        <v>1127</v>
      </c>
      <c r="C6" s="1187">
        <f ca="1">ROUND(F6*F8*F7*(1-F9)/10000,0)</f>
        <v>218</v>
      </c>
      <c r="D6" s="160" t="s">
        <v>2609</v>
      </c>
      <c r="E6" s="308" t="s">
        <v>1129</v>
      </c>
      <c r="F6" s="309">
        <f ca="1">INDIRECT("'数据-取费表'!u"&amp;$G$1)</f>
        <v>2.5</v>
      </c>
      <c r="G6" s="1519"/>
      <c r="H6" s="1182" t="s">
        <v>822</v>
      </c>
      <c r="I6" s="3469" t="s">
        <v>1127</v>
      </c>
      <c r="J6" s="307">
        <f ca="1">ROUND(M6*M8*M7*(1-M9)/10000,0)</f>
        <v>0</v>
      </c>
      <c r="K6" s="160" t="s">
        <v>2608</v>
      </c>
      <c r="L6" s="308" t="s">
        <v>1129</v>
      </c>
      <c r="M6" s="309">
        <f ca="1">INDIRECT("'数据-取费表'!z"&amp;$G$1)</f>
        <v>0</v>
      </c>
    </row>
    <row r="7" spans="1:37" ht="18" customHeight="1">
      <c r="A7" s="1186"/>
      <c r="B7" s="3470"/>
      <c r="C7" s="1188"/>
      <c r="D7" s="313"/>
      <c r="E7" s="1189" t="s">
        <v>1130</v>
      </c>
      <c r="F7" s="309">
        <f ca="1">IF(INDIRECT("'数据-取费表'!ah"&amp;$G$1)="",INDIRECT("'数据-取费表'!k"&amp;$G$1),INDIRECT("'数据-取费表'!ah"&amp;$G$1))</f>
        <v>2656.2</v>
      </c>
      <c r="G7" s="1519"/>
      <c r="H7" s="310"/>
      <c r="I7" s="3470"/>
      <c r="J7" s="312"/>
      <c r="K7" s="313"/>
      <c r="L7" s="308" t="s">
        <v>1130</v>
      </c>
      <c r="M7" s="309">
        <f ca="1">F7</f>
        <v>2656.2</v>
      </c>
    </row>
    <row r="8" spans="1:37" ht="18" customHeight="1">
      <c r="A8" s="310"/>
      <c r="B8" s="3470"/>
      <c r="C8" s="312"/>
      <c r="D8" s="313"/>
      <c r="E8" s="308" t="s">
        <v>1131</v>
      </c>
      <c r="F8" s="309">
        <f ca="1">INDIRECT("'数据-取费表'!ai"&amp;$G$1)</f>
        <v>365</v>
      </c>
      <c r="G8" s="1519"/>
      <c r="H8" s="310"/>
      <c r="I8" s="3470"/>
      <c r="J8" s="312"/>
      <c r="K8" s="313"/>
      <c r="L8" s="308" t="s">
        <v>1131</v>
      </c>
      <c r="M8" s="309">
        <f ca="1">INDIRECT("'数据-取费表'!ai"&amp;$G$1)</f>
        <v>365</v>
      </c>
    </row>
    <row r="9" spans="1:37" ht="18" customHeight="1">
      <c r="A9" s="310"/>
      <c r="B9" s="3471"/>
      <c r="C9" s="312"/>
      <c r="D9" s="313"/>
      <c r="E9" s="308" t="s">
        <v>1132</v>
      </c>
      <c r="F9" s="318">
        <f ca="1">INDIRECT("'数据-取费表'!w"&amp;$G$1)</f>
        <v>0.1</v>
      </c>
      <c r="G9" s="1519"/>
      <c r="H9" s="310"/>
      <c r="I9" s="347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2617</v>
      </c>
      <c r="E10" s="319" t="s">
        <v>1134</v>
      </c>
      <c r="F10" s="1229" t="s">
        <v>3189</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909</v>
      </c>
      <c r="D13" s="1194" t="s">
        <v>1139</v>
      </c>
      <c r="E13" s="1194" t="s">
        <v>1140</v>
      </c>
      <c r="F13" s="1195">
        <f ca="1">INDIRECT("'数据-取费表'!y"&amp;$G$1)</f>
        <v>0.83</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797</v>
      </c>
      <c r="D14" s="1480" t="s">
        <v>1142</v>
      </c>
      <c r="E14" s="1477"/>
      <c r="F14" s="325"/>
      <c r="G14" s="1519"/>
      <c r="H14" s="1094" t="s">
        <v>822</v>
      </c>
      <c r="I14" s="308" t="s">
        <v>1143</v>
      </c>
      <c r="J14" s="24">
        <f ca="1">C29</f>
        <v>1095</v>
      </c>
      <c r="K14" s="15"/>
      <c r="L14" s="897"/>
      <c r="M14" s="898"/>
    </row>
    <row r="15" spans="1:37" s="1532" customFormat="1" ht="18" customHeight="1" thickBot="1">
      <c r="A15" s="1094" t="s">
        <v>823</v>
      </c>
      <c r="B15" s="308" t="s">
        <v>1144</v>
      </c>
      <c r="C15" s="24">
        <f ca="1">ROUND(C14*F15,0)</f>
        <v>24</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20</v>
      </c>
      <c r="K16" s="1200" t="s">
        <v>1149</v>
      </c>
      <c r="L16" s="1201"/>
      <c r="M16" s="1185"/>
    </row>
    <row r="17" spans="1:37" s="1532" customFormat="1" ht="18" customHeight="1">
      <c r="A17" s="1094" t="s">
        <v>1114</v>
      </c>
      <c r="B17" s="308" t="s">
        <v>1150</v>
      </c>
      <c r="C17" s="24">
        <f ca="1">ROUND(F17*(F43+INDIRECT("'数据-取费表'!S"&amp;$G$1))/10000,0)</f>
        <v>53</v>
      </c>
      <c r="D17" s="308" t="s">
        <v>1151</v>
      </c>
      <c r="E17" s="308" t="s">
        <v>1152</v>
      </c>
      <c r="F17" s="26">
        <f>'数据-取费表'!B35</f>
        <v>200</v>
      </c>
      <c r="G17" s="1531"/>
      <c r="H17" s="1094" t="s">
        <v>822</v>
      </c>
      <c r="I17" s="308" t="s">
        <v>1153</v>
      </c>
      <c r="J17" s="2485">
        <f ca="1">ROUND(IF(AND(项目基本情况!B11="自然人",项目基本情况!B10="北京市"),J6*M17/(1+'数据-取费表'!C42),J18+J19+J20),0)</f>
        <v>9</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12</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886</v>
      </c>
      <c r="D19" s="136" t="s">
        <v>1160</v>
      </c>
      <c r="E19" s="1495"/>
      <c r="F19" s="26"/>
      <c r="G19" s="1519"/>
      <c r="H19" s="1094" t="s">
        <v>823</v>
      </c>
      <c r="I19" s="308" t="s">
        <v>1161</v>
      </c>
      <c r="J19" s="24">
        <f ca="1">IF(K19="按租金收入计税",ROUND(J6*M19/(1+'数据-取费表'!C42),2),ROUND(C29*M19*0.7,2))</f>
        <v>9.1999999999999993</v>
      </c>
      <c r="K19" s="1505" t="s">
        <v>1162</v>
      </c>
      <c r="L19" s="308" t="s">
        <v>1146</v>
      </c>
      <c r="M19" s="328">
        <f>IF(K19="按租金收入计税",'数据-取费表'!B51,'数据-取费表'!B50)</f>
        <v>1.2E-2</v>
      </c>
    </row>
    <row r="20" spans="1:37" s="1532" customFormat="1" ht="18" customHeight="1">
      <c r="A20" s="1094" t="s">
        <v>826</v>
      </c>
      <c r="B20" s="308" t="s">
        <v>1163</v>
      </c>
      <c r="C20" s="24">
        <f ca="1">ROUND(C19*F20,0)</f>
        <v>18</v>
      </c>
      <c r="D20" s="329" t="s">
        <v>1164</v>
      </c>
      <c r="E20" s="308" t="s">
        <v>1146</v>
      </c>
      <c r="F20" s="328">
        <f>'数据-取费表'!B37</f>
        <v>0.02</v>
      </c>
      <c r="G20" s="1531"/>
      <c r="H20" s="1094" t="s">
        <v>1113</v>
      </c>
      <c r="I20" s="160" t="s">
        <v>1165</v>
      </c>
      <c r="J20" s="25">
        <f ca="1">ROUND(M20*M21/10000,2)</f>
        <v>0.26</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1736.72</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ROUND(J14*M22,1)</f>
        <v>11</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19</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ROUND(J13*M23,1)</f>
        <v>0</v>
      </c>
      <c r="K23" s="1479"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-20</v>
      </c>
      <c r="K25" s="1208" t="s">
        <v>1188</v>
      </c>
      <c r="L25" s="1209"/>
      <c r="M25" s="1210"/>
    </row>
    <row r="26" spans="1:37">
      <c r="A26" s="1094" t="s">
        <v>821</v>
      </c>
      <c r="B26" s="308" t="s">
        <v>1189</v>
      </c>
      <c r="C26" s="24">
        <f ca="1">ROUND((C19+C20)*F26,0)</f>
        <v>90</v>
      </c>
      <c r="D26" s="329" t="s">
        <v>1190</v>
      </c>
      <c r="E26" s="319" t="s">
        <v>1191</v>
      </c>
      <c r="F26" s="318">
        <f ca="1">INDIRECT("'数据-取费表'!q"&amp;$G$1)</f>
        <v>0.1</v>
      </c>
      <c r="G26" s="1519"/>
      <c r="H26" s="305" t="s">
        <v>819</v>
      </c>
      <c r="I26" s="306" t="s">
        <v>1192</v>
      </c>
      <c r="J26" s="307">
        <f ca="1">IF(J5&lt;&gt;0,ROUND(J25*(1-((1+M28)/(1+M26))^M27)/(M26-M28),0),0)</f>
        <v>0</v>
      </c>
      <c r="K26" s="330" t="s">
        <v>1193</v>
      </c>
      <c r="L26" s="308" t="s">
        <v>1194</v>
      </c>
      <c r="M26" s="318">
        <f ca="1">INDIRECT("'数据-取费表'!I"&amp;$G$1)</f>
        <v>0.05</v>
      </c>
    </row>
    <row r="27" spans="1:37" ht="18" customHeight="1">
      <c r="A27" s="1094" t="s">
        <v>823</v>
      </c>
      <c r="B27" s="308" t="s">
        <v>1195</v>
      </c>
      <c r="C27" s="24">
        <f ca="1">ROUND(F21*F26,4)</f>
        <v>2E-3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1095</v>
      </c>
      <c r="D29" s="1205"/>
      <c r="E29" s="1203"/>
      <c r="F29" s="1206"/>
      <c r="G29" s="1531"/>
      <c r="H29" s="340" t="s">
        <v>820</v>
      </c>
      <c r="I29" s="341" t="s">
        <v>1203</v>
      </c>
      <c r="J29" s="342">
        <f ca="1">ROUND(J26/(1+F40)^F41,0)</f>
        <v>0</v>
      </c>
      <c r="K29" s="343" t="s">
        <v>1204</v>
      </c>
      <c r="L29" s="344"/>
      <c r="M29" s="345">
        <f ca="1">INDIRECT("'数据-取费表'!k"&amp;$G$1)</f>
        <v>2656.2</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51</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37</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IF(项目基本情况!B11="自然人","——",ROUND(C6*F32/(1+'数据-取费表'!C42),2))</f>
        <v>11.42</v>
      </c>
      <c r="D32" s="1479" t="s">
        <v>1158</v>
      </c>
      <c r="E32" s="308" t="s">
        <v>1146</v>
      </c>
      <c r="F32" s="337">
        <f>'数据-取费表'!B41</f>
        <v>5.5000000000000007E-2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24.91</v>
      </c>
      <c r="D33" s="1505" t="s">
        <v>3190</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0.26</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1736.72</v>
      </c>
      <c r="G35" s="1519"/>
      <c r="H35" s="2876"/>
      <c r="I35" s="1533"/>
      <c r="J35" s="1534"/>
      <c r="K35" s="2880"/>
      <c r="L35" s="2879"/>
      <c r="M35" s="2879"/>
    </row>
    <row r="36" spans="1:18" ht="18" customHeight="1">
      <c r="A36" s="1215" t="s">
        <v>826</v>
      </c>
      <c r="B36" s="308" t="s">
        <v>1173</v>
      </c>
      <c r="C36" s="24">
        <f ca="1">ROUND(C29*F36,1)</f>
        <v>11</v>
      </c>
      <c r="D36" s="1479"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0.9</v>
      </c>
      <c r="D37" s="1479" t="s">
        <v>1178</v>
      </c>
      <c r="E37" s="308" t="s">
        <v>1179</v>
      </c>
      <c r="F37" s="336">
        <f ca="1">INDIRECT("'数据-取费表'!Al"&amp;$G$1)</f>
        <v>1E-3</v>
      </c>
      <c r="G37" s="1519"/>
      <c r="H37" s="2879"/>
      <c r="I37" s="1533"/>
      <c r="J37" s="1534"/>
      <c r="K37" s="2720"/>
      <c r="L37" s="2879"/>
      <c r="M37" s="2879"/>
    </row>
    <row r="38" spans="1:18" ht="18" customHeight="1" thickBot="1">
      <c r="A38" s="1202" t="s">
        <v>1117</v>
      </c>
      <c r="B38" s="1203" t="s">
        <v>1163</v>
      </c>
      <c r="C38" s="1204">
        <f ca="1">ROUND(C5*F38,1)</f>
        <v>2.2000000000000002</v>
      </c>
      <c r="D38" s="1205" t="s">
        <v>1183</v>
      </c>
      <c r="E38" s="1203" t="s">
        <v>1179</v>
      </c>
      <c r="F38" s="1199">
        <f ca="1">INDIRECT("'数据-取费表'!Am"&amp;$G$1)</f>
        <v>0.01</v>
      </c>
      <c r="G38" s="1519"/>
      <c r="H38" s="2879"/>
      <c r="I38" s="1533"/>
      <c r="J38" s="1534"/>
      <c r="K38" s="2883"/>
      <c r="L38" s="2879"/>
      <c r="M38" s="2879"/>
    </row>
    <row r="39" spans="1:18" ht="24.6" customHeight="1" thickTop="1">
      <c r="A39" s="1192" t="s">
        <v>818</v>
      </c>
      <c r="B39" s="1207" t="s">
        <v>1207</v>
      </c>
      <c r="C39" s="316">
        <f ca="1">C5-C30</f>
        <v>167</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4342</v>
      </c>
      <c r="D40" s="330" t="s">
        <v>1193</v>
      </c>
      <c r="E40" s="308" t="s">
        <v>1194</v>
      </c>
      <c r="F40" s="318">
        <f ca="1">INDIRECT("'数据-取费表'!I"&amp;$G$1)</f>
        <v>0.05</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38.17</v>
      </c>
      <c r="G41" s="1519"/>
      <c r="H41" s="1306"/>
      <c r="I41" s="1533"/>
      <c r="J41" s="1534"/>
      <c r="K41" s="2720"/>
      <c r="L41" s="1306"/>
      <c r="M41" s="1306"/>
    </row>
    <row r="42" spans="1:18" ht="18" customHeight="1">
      <c r="A42" s="314"/>
      <c r="B42" s="315"/>
      <c r="C42" s="316"/>
      <c r="D42" s="333"/>
      <c r="E42" s="308" t="s">
        <v>1201</v>
      </c>
      <c r="F42" s="318">
        <f ca="1">INDIRECT("'数据-取费表'!v"&amp;$G$1)</f>
        <v>0.03</v>
      </c>
      <c r="G42" s="1519"/>
      <c r="H42" s="1306"/>
      <c r="I42" s="1533"/>
      <c r="J42" s="1534"/>
      <c r="K42" s="2720"/>
      <c r="L42" s="1306"/>
      <c r="M42" s="1306"/>
    </row>
    <row r="43" spans="1:18" ht="18" customHeight="1" thickBot="1">
      <c r="A43" s="340" t="s">
        <v>820</v>
      </c>
      <c r="B43" s="341" t="s">
        <v>1211</v>
      </c>
      <c r="C43" s="342">
        <f ca="1">ROUND(C40*10000/F43,0)</f>
        <v>16347</v>
      </c>
      <c r="D43" s="343" t="s">
        <v>1212</v>
      </c>
      <c r="E43" s="344" t="s">
        <v>1213</v>
      </c>
      <c r="F43" s="345">
        <f ca="1">INDIRECT("'数据-取费表'!k"&amp;$G$1)</f>
        <v>2656.2</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-6099</v>
      </c>
      <c r="D46" s="1541" t="str">
        <f>C2</f>
        <v>万元</v>
      </c>
      <c r="E46" s="1535"/>
      <c r="F46" s="1535"/>
      <c r="I46" s="1542" t="s">
        <v>1245</v>
      </c>
      <c r="J46" s="1543"/>
      <c r="K46" s="1544"/>
      <c r="L46" s="1545">
        <f ca="1">IF(M47="住宅",0,IF(L48&gt;J51,L60,J60))</f>
        <v>33</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3191</v>
      </c>
      <c r="K47" s="1551" t="s">
        <v>1251</v>
      </c>
      <c r="L47" s="1552">
        <f ca="1">INDIRECT("'数据-取费表'!d"&amp;$G$1)</f>
        <v>50</v>
      </c>
      <c r="M47" s="1515" t="str">
        <f>IF(ISNUMBER(FIND("住宅",C1)),"住宅","非住宅")</f>
        <v>非住宅</v>
      </c>
      <c r="O47" s="1553" t="s">
        <v>827</v>
      </c>
      <c r="P47" s="1554" t="s">
        <v>1252</v>
      </c>
      <c r="Q47" s="1555">
        <f ca="1">C40+J29</f>
        <v>4342</v>
      </c>
      <c r="R47" s="1555" t="s">
        <v>1253</v>
      </c>
    </row>
    <row r="48" spans="1:18" s="1519" customFormat="1" ht="28.5" thickBot="1">
      <c r="A48" s="1223" t="s">
        <v>863</v>
      </c>
      <c r="B48" s="306" t="s">
        <v>1125</v>
      </c>
      <c r="C48" s="1494">
        <f ca="1">C49+C53+C55</f>
        <v>0</v>
      </c>
      <c r="D48" s="1225"/>
      <c r="E48" s="1226"/>
      <c r="F48" s="1074"/>
      <c r="G48" s="731"/>
      <c r="H48" s="732"/>
      <c r="I48" s="1556" t="s">
        <v>1254</v>
      </c>
      <c r="J48" s="1557" t="s">
        <v>3192</v>
      </c>
      <c r="K48" s="1558" t="s">
        <v>1255</v>
      </c>
      <c r="L48" s="1559">
        <f ca="1">INDIRECT("'数据-取费表'!f"&amp;$G$1)</f>
        <v>38.17</v>
      </c>
      <c r="O48" s="1553" t="s">
        <v>828</v>
      </c>
      <c r="P48" s="1554" t="s">
        <v>1256</v>
      </c>
      <c r="Q48" s="1555">
        <f ca="1">J60</f>
        <v>33</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2012</v>
      </c>
      <c r="K49" s="1558" t="s">
        <v>1259</v>
      </c>
      <c r="L49" s="1562"/>
      <c r="O49" s="1563" t="s">
        <v>829</v>
      </c>
      <c r="P49" s="1554" t="s">
        <v>1260</v>
      </c>
      <c r="Q49" s="1555">
        <f ca="1">C29</f>
        <v>1095</v>
      </c>
      <c r="R49" s="1555" t="s">
        <v>1253</v>
      </c>
    </row>
    <row r="50" spans="1:18" s="1519" customFormat="1" ht="13.5" thickBot="1">
      <c r="A50" s="1088"/>
      <c r="B50" s="1091"/>
      <c r="C50" s="1231"/>
      <c r="D50" s="1065"/>
      <c r="E50" s="1168" t="s">
        <v>1130</v>
      </c>
      <c r="F50" s="1169">
        <f ca="1">F7</f>
        <v>2656.2</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50</v>
      </c>
      <c r="K51" s="1569" t="s">
        <v>1265</v>
      </c>
      <c r="L51" s="1570">
        <f ca="1">ROUND(-PV(INDIRECT("'数据-取费表'!h"&amp;$G$1),J51,(C39-C13*C76),0),0)</f>
        <v>2133</v>
      </c>
      <c r="M51" s="1571"/>
      <c r="O51" s="1563" t="s">
        <v>831</v>
      </c>
      <c r="P51" s="1554" t="s">
        <v>1266</v>
      </c>
      <c r="Q51" s="1566">
        <f>J52</f>
        <v>7.0000000000000007E-2</v>
      </c>
      <c r="R51" s="1555"/>
    </row>
    <row r="52" spans="1:18" s="1519" customFormat="1" ht="13.5" thickBot="1">
      <c r="A52" s="1089"/>
      <c r="B52" s="1091"/>
      <c r="C52" s="1092"/>
      <c r="D52" s="1065"/>
      <c r="E52" s="1093" t="s">
        <v>1132</v>
      </c>
      <c r="F52" s="1166"/>
      <c r="I52" s="1572" t="s">
        <v>1267</v>
      </c>
      <c r="J52" s="1573">
        <v>7.0000000000000007E-2</v>
      </c>
      <c r="K52" s="1572" t="s">
        <v>1268</v>
      </c>
      <c r="L52" s="1573"/>
      <c r="O52" s="1563" t="s">
        <v>832</v>
      </c>
      <c r="P52" s="1554" t="s">
        <v>1269</v>
      </c>
      <c r="Q52" s="1555">
        <f ca="1">J53</f>
        <v>38.17</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38.17</v>
      </c>
      <c r="K53" s="3467" t="s">
        <v>1272</v>
      </c>
      <c r="L53" s="3468"/>
      <c r="O53" s="1553" t="s">
        <v>833</v>
      </c>
      <c r="P53" s="1554" t="s">
        <v>1273</v>
      </c>
      <c r="Q53" s="1555">
        <f ca="1">Q47+Q48</f>
        <v>4375</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f ca="1">ROUND(IF(J47="钢混",J57/J50,1-(1-2%)*(J50-J57)/J50),3)</f>
        <v>0.19700000000000001</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909</v>
      </c>
      <c r="D56" s="1582"/>
      <c r="E56" s="1583"/>
      <c r="F56" s="1575"/>
      <c r="I56" s="1584" t="s">
        <v>1278</v>
      </c>
      <c r="J56" s="1585" t="s">
        <v>3193</v>
      </c>
      <c r="K56" s="1556" t="s">
        <v>1279</v>
      </c>
      <c r="L56" s="1559" t="str">
        <f ca="1">IF(L48&lt;J51,"——",L48-J53)</f>
        <v>——</v>
      </c>
      <c r="O56" s="1553" t="s">
        <v>827</v>
      </c>
      <c r="P56" s="1554" t="s">
        <v>1252</v>
      </c>
      <c r="Q56" s="1555">
        <f ca="1">C40+J29</f>
        <v>4342</v>
      </c>
      <c r="R56" s="1555" t="s">
        <v>1253</v>
      </c>
    </row>
    <row r="57" spans="1:18" s="1519" customFormat="1" ht="24.75" thickBot="1">
      <c r="A57" s="1586"/>
      <c r="B57" s="1062" t="s">
        <v>1202</v>
      </c>
      <c r="C57" s="244">
        <f ca="1">C29</f>
        <v>1095</v>
      </c>
      <c r="D57" s="1587"/>
      <c r="E57" s="1588"/>
      <c r="F57" s="1589"/>
      <c r="I57" s="1590" t="s">
        <v>1280</v>
      </c>
      <c r="J57" s="1591">
        <f ca="1">IF(OR(M47="住宅",J51&lt;L48,J56="是"),"——",J51-L48)</f>
        <v>11.829999999999998</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104</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92</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438</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3" t="s">
        <v>1289</v>
      </c>
      <c r="J60" s="1594">
        <f ca="1">IF(OR(M47="住宅",J51&lt;L48,J56="是"),"0",ROUND(J59/(1+J52)^J53,0))</f>
        <v>33</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91.98</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0.26</v>
      </c>
      <c r="D62" s="1077" t="s">
        <v>1221</v>
      </c>
      <c r="E62" s="1062" t="s">
        <v>1222</v>
      </c>
      <c r="F62" s="331">
        <f t="shared" si="0"/>
        <v>1.5</v>
      </c>
      <c r="I62" s="1597" t="s">
        <v>1294</v>
      </c>
      <c r="J62" s="1598" t="s">
        <v>1295</v>
      </c>
      <c r="K62" s="1598" t="s">
        <v>1296</v>
      </c>
      <c r="L62" s="1598" t="s">
        <v>1297</v>
      </c>
      <c r="M62" s="1599" t="s">
        <v>1298</v>
      </c>
      <c r="O62" s="1553" t="s">
        <v>833</v>
      </c>
      <c r="P62" s="1554" t="s">
        <v>1299</v>
      </c>
      <c r="Q62" s="1555">
        <f ca="1">Q56+Q57</f>
        <v>4342</v>
      </c>
      <c r="R62" s="1555" t="s">
        <v>834</v>
      </c>
    </row>
    <row r="63" spans="1:18" s="1519" customFormat="1" ht="13.5" thickBot="1">
      <c r="A63" s="332"/>
      <c r="B63" s="1068"/>
      <c r="C63" s="29"/>
      <c r="D63" s="1078"/>
      <c r="E63" s="1062" t="s">
        <v>1223</v>
      </c>
      <c r="F63" s="309">
        <f t="shared" ca="1" si="0"/>
        <v>1736.72</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11</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0.9</v>
      </c>
      <c r="D65" s="1076" t="s">
        <v>1178</v>
      </c>
      <c r="E65" s="1062" t="s">
        <v>1179</v>
      </c>
      <c r="F65" s="336">
        <f t="shared" ca="1" si="0"/>
        <v>1E-3</v>
      </c>
      <c r="I65" s="1597" t="s">
        <v>1303</v>
      </c>
      <c r="J65" s="1598">
        <v>40</v>
      </c>
      <c r="K65" s="1598">
        <v>30</v>
      </c>
      <c r="L65" s="1598">
        <v>50</v>
      </c>
      <c r="M65" s="1600">
        <v>0.02</v>
      </c>
      <c r="O65" s="1553" t="s">
        <v>827</v>
      </c>
      <c r="P65" s="1554" t="s">
        <v>1304</v>
      </c>
      <c r="Q65" s="1555">
        <f ca="1">C40+J29</f>
        <v>4342</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-104</v>
      </c>
      <c r="D67" s="1075" t="s">
        <v>1188</v>
      </c>
      <c r="E67" s="1080"/>
      <c r="F67" s="1081"/>
      <c r="O67" s="1563" t="s">
        <v>829</v>
      </c>
      <c r="P67" s="1554" t="s">
        <v>1286</v>
      </c>
      <c r="Q67" s="1601">
        <f ca="1">L51</f>
        <v>2133</v>
      </c>
      <c r="R67" s="1555" t="s">
        <v>1306</v>
      </c>
    </row>
    <row r="68" spans="1:18" s="1519" customFormat="1" ht="16.5" thickBot="1">
      <c r="A68" s="1059" t="s">
        <v>819</v>
      </c>
      <c r="B68" s="1060" t="s">
        <v>1209</v>
      </c>
      <c r="C68" s="307">
        <f ca="1">ROUND(C67*(1-((1+F70)/(1+F68))^F69)/(F68-F70),0)</f>
        <v>-1757</v>
      </c>
      <c r="D68" s="1077" t="s">
        <v>1193</v>
      </c>
      <c r="E68" s="1062" t="s">
        <v>1194</v>
      </c>
      <c r="F68" s="318">
        <f ca="1">F40</f>
        <v>0.05</v>
      </c>
      <c r="O68" s="1563" t="s">
        <v>830</v>
      </c>
      <c r="P68" s="1602" t="s">
        <v>1307</v>
      </c>
      <c r="Q68" s="1555">
        <f ca="1">ROUND(Q69-Q70*Q71,0)</f>
        <v>108</v>
      </c>
      <c r="R68" s="1555" t="s">
        <v>838</v>
      </c>
    </row>
    <row r="69" spans="1:18" s="1519" customFormat="1" ht="13.5" thickBot="1">
      <c r="A69" s="1063"/>
      <c r="B69" s="1064"/>
      <c r="C69" s="312"/>
      <c r="D69" s="1082" t="s">
        <v>1197</v>
      </c>
      <c r="E69" s="1062" t="s">
        <v>1198</v>
      </c>
      <c r="F69" s="339">
        <f ca="1">F41</f>
        <v>38.17</v>
      </c>
      <c r="O69" s="1563" t="s">
        <v>835</v>
      </c>
      <c r="P69" s="1602" t="s">
        <v>1308</v>
      </c>
      <c r="Q69" s="1555">
        <f ca="1">C39</f>
        <v>167</v>
      </c>
      <c r="R69" s="1555" t="s">
        <v>1253</v>
      </c>
    </row>
    <row r="70" spans="1:18" s="1519" customFormat="1" ht="13.5" thickBot="1">
      <c r="A70" s="1066"/>
      <c r="B70" s="1067"/>
      <c r="C70" s="316"/>
      <c r="D70" s="1078"/>
      <c r="E70" s="1062" t="s">
        <v>1201</v>
      </c>
      <c r="F70" s="1166"/>
      <c r="O70" s="1563" t="s">
        <v>836</v>
      </c>
      <c r="P70" s="1602" t="s">
        <v>1309</v>
      </c>
      <c r="Q70" s="1555">
        <f ca="1">C13</f>
        <v>909</v>
      </c>
      <c r="R70" s="1555" t="s">
        <v>1253</v>
      </c>
    </row>
    <row r="71" spans="1:18" s="1519" customFormat="1" ht="13.5" thickBot="1">
      <c r="A71" s="1083" t="s">
        <v>820</v>
      </c>
      <c r="B71" s="1084" t="s">
        <v>1211</v>
      </c>
      <c r="C71" s="342">
        <f ca="1">ROUND(C68*10000/F71,0)</f>
        <v>-6615</v>
      </c>
      <c r="D71" s="1085" t="s">
        <v>1212</v>
      </c>
      <c r="E71" s="1086" t="s">
        <v>1213</v>
      </c>
      <c r="F71" s="345">
        <f ca="1">F43</f>
        <v>2656.2</v>
      </c>
      <c r="O71" s="1563" t="s">
        <v>837</v>
      </c>
      <c r="P71" s="1602" t="s">
        <v>1310</v>
      </c>
      <c r="Q71" s="1566">
        <f ca="1">C76</f>
        <v>6.5000000000000002E-2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59</v>
      </c>
      <c r="D75" s="1519"/>
      <c r="E75" s="1519"/>
      <c r="F75" s="1519"/>
      <c r="K75" s="1537"/>
      <c r="L75" s="1519"/>
      <c r="O75" s="1553" t="s">
        <v>833</v>
      </c>
      <c r="P75" s="1554" t="s">
        <v>1273</v>
      </c>
      <c r="Q75" s="1555">
        <f ca="1">Q65+Q66</f>
        <v>4342</v>
      </c>
      <c r="R75" s="1555" t="s">
        <v>834</v>
      </c>
    </row>
    <row r="76" spans="1:18">
      <c r="B76" s="348" t="s">
        <v>1231</v>
      </c>
      <c r="C76" s="349">
        <f ca="1">INDIRECT("'数据-取费表'!j"&amp;$G$1)</f>
        <v>6.5000000000000002E-2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0.64700000000000002</v>
      </c>
    </row>
    <row r="80" spans="1:18">
      <c r="B80" s="346" t="s">
        <v>1235</v>
      </c>
      <c r="C80" s="280">
        <f ca="1">ROUND(C75/C39,3)</f>
        <v>0.35299999999999998</v>
      </c>
    </row>
    <row r="81" spans="2:3">
      <c r="B81" s="276" t="s">
        <v>1236</v>
      </c>
      <c r="C81" s="244"/>
    </row>
    <row r="82" spans="2:3">
      <c r="B82" s="279" t="s">
        <v>1237</v>
      </c>
      <c r="C82" s="281">
        <f ca="1">1-C83</f>
        <v>0.79100000000000004</v>
      </c>
    </row>
    <row r="83" spans="2:3">
      <c r="B83" s="279" t="s">
        <v>1238</v>
      </c>
      <c r="C83" s="280">
        <f ca="1">ROUND(C13/C40,3)</f>
        <v>0.20899999999999999</v>
      </c>
    </row>
  </sheetData>
  <sheetProtection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5"/>
      <c r="H2" s="2874"/>
      <c r="I2" s="2874"/>
      <c r="J2" s="2874"/>
      <c r="K2" s="2875"/>
      <c r="L2" s="2874"/>
      <c r="M2" s="2874"/>
    </row>
    <row r="3" spans="1:37" ht="18" customHeight="1" thickBot="1">
      <c r="A3" s="1525" t="s">
        <v>1317</v>
      </c>
      <c r="B3" s="1526">
        <f ca="1">IF(ISERROR(D2/F43),0,ROUND(D2/F43,0))</f>
        <v>0</v>
      </c>
      <c r="C3" s="1522" t="s">
        <v>1318</v>
      </c>
      <c r="D3" s="1522"/>
      <c r="E3" s="1523"/>
      <c r="F3" s="1524"/>
      <c r="G3" s="2885"/>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69" t="s">
        <v>1127</v>
      </c>
      <c r="C6" s="1187">
        <f ca="1">ROUND(F6*F8*F7*(1-F9),0)</f>
        <v>0</v>
      </c>
      <c r="D6" s="160" t="s">
        <v>2606</v>
      </c>
      <c r="E6" s="308" t="s">
        <v>1129</v>
      </c>
      <c r="F6" s="309">
        <f ca="1">INDIRECT("'数据-取费表'!u"&amp;$G$1)</f>
        <v>0</v>
      </c>
      <c r="G6" s="1519"/>
      <c r="H6" s="1182" t="s">
        <v>822</v>
      </c>
      <c r="I6" s="3469" t="s">
        <v>1127</v>
      </c>
      <c r="J6" s="307">
        <f ca="1">ROUND(M6*M8*M7*(1-M9),0)</f>
        <v>0</v>
      </c>
      <c r="K6" s="1511" t="s">
        <v>2607</v>
      </c>
      <c r="L6" s="308" t="s">
        <v>1129</v>
      </c>
      <c r="M6" s="309">
        <f ca="1">INDIRECT("'数据-取费表'!z"&amp;$G$1)</f>
        <v>0</v>
      </c>
    </row>
    <row r="7" spans="1:37" ht="18" customHeight="1">
      <c r="A7" s="1186"/>
      <c r="B7" s="3470"/>
      <c r="C7" s="1188"/>
      <c r="D7" s="313"/>
      <c r="E7" s="1189" t="s">
        <v>1130</v>
      </c>
      <c r="F7" s="309">
        <f ca="1">IF(INDIRECT("'数据-取费表'!ah"&amp;$G$1)="",INDIRECT("'数据-取费表'!k"&amp;$G$1),INDIRECT("'数据-取费表'!ah"&amp;$G$1))</f>
        <v>0</v>
      </c>
      <c r="G7" s="1519"/>
      <c r="H7" s="310"/>
      <c r="I7" s="3470"/>
      <c r="J7" s="312"/>
      <c r="K7" s="313"/>
      <c r="L7" s="308" t="s">
        <v>1130</v>
      </c>
      <c r="M7" s="309">
        <f ca="1">F7</f>
        <v>0</v>
      </c>
    </row>
    <row r="8" spans="1:37" ht="18" customHeight="1">
      <c r="A8" s="310"/>
      <c r="B8" s="3470"/>
      <c r="C8" s="312"/>
      <c r="D8" s="313"/>
      <c r="E8" s="308" t="s">
        <v>1131</v>
      </c>
      <c r="F8" s="309">
        <f ca="1">INDIRECT("'数据-取费表'!ai"&amp;$G$1)</f>
        <v>0</v>
      </c>
      <c r="G8" s="1519"/>
      <c r="H8" s="310"/>
      <c r="I8" s="3470"/>
      <c r="J8" s="312"/>
      <c r="K8" s="313"/>
      <c r="L8" s="308" t="s">
        <v>1131</v>
      </c>
      <c r="M8" s="309">
        <f ca="1">INDIRECT("'数据-取费表'!ai"&amp;$G$1)</f>
        <v>0</v>
      </c>
    </row>
    <row r="9" spans="1:37" ht="18" customHeight="1">
      <c r="A9" s="310"/>
      <c r="B9" s="3471"/>
      <c r="C9" s="312"/>
      <c r="D9" s="313"/>
      <c r="E9" s="308" t="s">
        <v>1132</v>
      </c>
      <c r="F9" s="318">
        <f ca="1">INDIRECT("'数据-取费表'!w"&amp;$G$1)</f>
        <v>0</v>
      </c>
      <c r="G9" s="1519"/>
      <c r="H9" s="310"/>
      <c r="I9" s="3471"/>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5.5000000000000007E-2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67" t="s">
        <v>1272</v>
      </c>
      <c r="L53" s="3468"/>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1.5</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3" customWidth="1"/>
    <col min="2" max="2" width="8.875" style="3023"/>
    <col min="3" max="5" width="12.875" style="3023" customWidth="1"/>
    <col min="6" max="6" width="47.5" style="3023" customWidth="1"/>
    <col min="7" max="7" width="13" style="3182" customWidth="1"/>
    <col min="8" max="8" width="8.875" style="3017"/>
    <col min="9" max="9" width="8.875" style="3018"/>
    <col min="10" max="10" width="5.75" style="3183" customWidth="1"/>
    <col min="11" max="11" width="11.75" style="3183" customWidth="1"/>
    <col min="12" max="13" width="10.75" style="3183" customWidth="1"/>
    <col min="14" max="14" width="10" style="3183" customWidth="1"/>
    <col min="15" max="16" width="10.5" style="3183" bestFit="1" customWidth="1"/>
    <col min="17" max="17" width="10" style="3183" customWidth="1"/>
    <col min="18" max="18" width="10.125" style="3183" customWidth="1"/>
    <col min="19" max="19" width="10" style="3183" customWidth="1"/>
    <col min="20" max="20" width="26.125" style="3183" customWidth="1"/>
    <col min="21" max="21" width="8.875" style="3183"/>
    <col min="22" max="22" width="8.875" style="3018"/>
    <col min="23" max="256" width="8.875" style="3023"/>
    <col min="257" max="257" width="9.5" style="3023" customWidth="1"/>
    <col min="258" max="258" width="8.875" style="3023"/>
    <col min="259" max="261" width="12.875" style="3023" customWidth="1"/>
    <col min="262" max="262" width="47.5" style="3023" customWidth="1"/>
    <col min="263" max="263" width="13" style="3023" customWidth="1"/>
    <col min="264" max="265" width="8.875" style="3023"/>
    <col min="266" max="266" width="5.75" style="3023" customWidth="1"/>
    <col min="267" max="267" width="11.75" style="3023" customWidth="1"/>
    <col min="268" max="269" width="10.75" style="3023" customWidth="1"/>
    <col min="270" max="270" width="10" style="3023" customWidth="1"/>
    <col min="271" max="272" width="10.5" style="3023" bestFit="1" customWidth="1"/>
    <col min="273" max="273" width="10" style="3023" customWidth="1"/>
    <col min="274" max="274" width="10.125" style="3023" customWidth="1"/>
    <col min="275" max="275" width="10" style="3023" customWidth="1"/>
    <col min="276" max="276" width="26.125" style="3023" customWidth="1"/>
    <col min="277" max="512" width="8.875" style="3023"/>
    <col min="513" max="513" width="9.5" style="3023" customWidth="1"/>
    <col min="514" max="514" width="8.875" style="3023"/>
    <col min="515" max="517" width="12.875" style="3023" customWidth="1"/>
    <col min="518" max="518" width="47.5" style="3023" customWidth="1"/>
    <col min="519" max="519" width="13" style="3023" customWidth="1"/>
    <col min="520" max="521" width="8.875" style="3023"/>
    <col min="522" max="522" width="5.75" style="3023" customWidth="1"/>
    <col min="523" max="523" width="11.75" style="3023" customWidth="1"/>
    <col min="524" max="525" width="10.75" style="3023" customWidth="1"/>
    <col min="526" max="526" width="10" style="3023" customWidth="1"/>
    <col min="527" max="528" width="10.5" style="3023" bestFit="1" customWidth="1"/>
    <col min="529" max="529" width="10" style="3023" customWidth="1"/>
    <col min="530" max="530" width="10.125" style="3023" customWidth="1"/>
    <col min="531" max="531" width="10" style="3023" customWidth="1"/>
    <col min="532" max="532" width="26.125" style="3023" customWidth="1"/>
    <col min="533" max="768" width="8.875" style="3023"/>
    <col min="769" max="769" width="9.5" style="3023" customWidth="1"/>
    <col min="770" max="770" width="8.875" style="3023"/>
    <col min="771" max="773" width="12.875" style="3023" customWidth="1"/>
    <col min="774" max="774" width="47.5" style="3023" customWidth="1"/>
    <col min="775" max="775" width="13" style="3023" customWidth="1"/>
    <col min="776" max="777" width="8.875" style="3023"/>
    <col min="778" max="778" width="5.75" style="3023" customWidth="1"/>
    <col min="779" max="779" width="11.75" style="3023" customWidth="1"/>
    <col min="780" max="781" width="10.75" style="3023" customWidth="1"/>
    <col min="782" max="782" width="10" style="3023" customWidth="1"/>
    <col min="783" max="784" width="10.5" style="3023" bestFit="1" customWidth="1"/>
    <col min="785" max="785" width="10" style="3023" customWidth="1"/>
    <col min="786" max="786" width="10.125" style="3023" customWidth="1"/>
    <col min="787" max="787" width="10" style="3023" customWidth="1"/>
    <col min="788" max="788" width="26.125" style="3023" customWidth="1"/>
    <col min="789" max="1024" width="8.875" style="3023"/>
    <col min="1025" max="1025" width="9.5" style="3023" customWidth="1"/>
    <col min="1026" max="1026" width="8.875" style="3023"/>
    <col min="1027" max="1029" width="12.875" style="3023" customWidth="1"/>
    <col min="1030" max="1030" width="47.5" style="3023" customWidth="1"/>
    <col min="1031" max="1031" width="13" style="3023" customWidth="1"/>
    <col min="1032" max="1033" width="8.875" style="3023"/>
    <col min="1034" max="1034" width="5.75" style="3023" customWidth="1"/>
    <col min="1035" max="1035" width="11.75" style="3023" customWidth="1"/>
    <col min="1036" max="1037" width="10.75" style="3023" customWidth="1"/>
    <col min="1038" max="1038" width="10" style="3023" customWidth="1"/>
    <col min="1039" max="1040" width="10.5" style="3023" bestFit="1" customWidth="1"/>
    <col min="1041" max="1041" width="10" style="3023" customWidth="1"/>
    <col min="1042" max="1042" width="10.125" style="3023" customWidth="1"/>
    <col min="1043" max="1043" width="10" style="3023" customWidth="1"/>
    <col min="1044" max="1044" width="26.125" style="3023" customWidth="1"/>
    <col min="1045" max="1280" width="8.875" style="3023"/>
    <col min="1281" max="1281" width="9.5" style="3023" customWidth="1"/>
    <col min="1282" max="1282" width="8.875" style="3023"/>
    <col min="1283" max="1285" width="12.875" style="3023" customWidth="1"/>
    <col min="1286" max="1286" width="47.5" style="3023" customWidth="1"/>
    <col min="1287" max="1287" width="13" style="3023" customWidth="1"/>
    <col min="1288" max="1289" width="8.875" style="3023"/>
    <col min="1290" max="1290" width="5.75" style="3023" customWidth="1"/>
    <col min="1291" max="1291" width="11.75" style="3023" customWidth="1"/>
    <col min="1292" max="1293" width="10.75" style="3023" customWidth="1"/>
    <col min="1294" max="1294" width="10" style="3023" customWidth="1"/>
    <col min="1295" max="1296" width="10.5" style="3023" bestFit="1" customWidth="1"/>
    <col min="1297" max="1297" width="10" style="3023" customWidth="1"/>
    <col min="1298" max="1298" width="10.125" style="3023" customWidth="1"/>
    <col min="1299" max="1299" width="10" style="3023" customWidth="1"/>
    <col min="1300" max="1300" width="26.125" style="3023" customWidth="1"/>
    <col min="1301" max="1536" width="8.875" style="3023"/>
    <col min="1537" max="1537" width="9.5" style="3023" customWidth="1"/>
    <col min="1538" max="1538" width="8.875" style="3023"/>
    <col min="1539" max="1541" width="12.875" style="3023" customWidth="1"/>
    <col min="1542" max="1542" width="47.5" style="3023" customWidth="1"/>
    <col min="1543" max="1543" width="13" style="3023" customWidth="1"/>
    <col min="1544" max="1545" width="8.875" style="3023"/>
    <col min="1546" max="1546" width="5.75" style="3023" customWidth="1"/>
    <col min="1547" max="1547" width="11.75" style="3023" customWidth="1"/>
    <col min="1548" max="1549" width="10.75" style="3023" customWidth="1"/>
    <col min="1550" max="1550" width="10" style="3023" customWidth="1"/>
    <col min="1551" max="1552" width="10.5" style="3023" bestFit="1" customWidth="1"/>
    <col min="1553" max="1553" width="10" style="3023" customWidth="1"/>
    <col min="1554" max="1554" width="10.125" style="3023" customWidth="1"/>
    <col min="1555" max="1555" width="10" style="3023" customWidth="1"/>
    <col min="1556" max="1556" width="26.125" style="3023" customWidth="1"/>
    <col min="1557" max="1792" width="8.875" style="3023"/>
    <col min="1793" max="1793" width="9.5" style="3023" customWidth="1"/>
    <col min="1794" max="1794" width="8.875" style="3023"/>
    <col min="1795" max="1797" width="12.875" style="3023" customWidth="1"/>
    <col min="1798" max="1798" width="47.5" style="3023" customWidth="1"/>
    <col min="1799" max="1799" width="13" style="3023" customWidth="1"/>
    <col min="1800" max="1801" width="8.875" style="3023"/>
    <col min="1802" max="1802" width="5.75" style="3023" customWidth="1"/>
    <col min="1803" max="1803" width="11.75" style="3023" customWidth="1"/>
    <col min="1804" max="1805" width="10.75" style="3023" customWidth="1"/>
    <col min="1806" max="1806" width="10" style="3023" customWidth="1"/>
    <col min="1807" max="1808" width="10.5" style="3023" bestFit="1" customWidth="1"/>
    <col min="1809" max="1809" width="10" style="3023" customWidth="1"/>
    <col min="1810" max="1810" width="10.125" style="3023" customWidth="1"/>
    <col min="1811" max="1811" width="10" style="3023" customWidth="1"/>
    <col min="1812" max="1812" width="26.125" style="3023" customWidth="1"/>
    <col min="1813" max="2048" width="8.875" style="3023"/>
    <col min="2049" max="2049" width="9.5" style="3023" customWidth="1"/>
    <col min="2050" max="2050" width="8.875" style="3023"/>
    <col min="2051" max="2053" width="12.875" style="3023" customWidth="1"/>
    <col min="2054" max="2054" width="47.5" style="3023" customWidth="1"/>
    <col min="2055" max="2055" width="13" style="3023" customWidth="1"/>
    <col min="2056" max="2057" width="8.875" style="3023"/>
    <col min="2058" max="2058" width="5.75" style="3023" customWidth="1"/>
    <col min="2059" max="2059" width="11.75" style="3023" customWidth="1"/>
    <col min="2060" max="2061" width="10.75" style="3023" customWidth="1"/>
    <col min="2062" max="2062" width="10" style="3023" customWidth="1"/>
    <col min="2063" max="2064" width="10.5" style="3023" bestFit="1" customWidth="1"/>
    <col min="2065" max="2065" width="10" style="3023" customWidth="1"/>
    <col min="2066" max="2066" width="10.125" style="3023" customWidth="1"/>
    <col min="2067" max="2067" width="10" style="3023" customWidth="1"/>
    <col min="2068" max="2068" width="26.125" style="3023" customWidth="1"/>
    <col min="2069" max="2304" width="8.875" style="3023"/>
    <col min="2305" max="2305" width="9.5" style="3023" customWidth="1"/>
    <col min="2306" max="2306" width="8.875" style="3023"/>
    <col min="2307" max="2309" width="12.875" style="3023" customWidth="1"/>
    <col min="2310" max="2310" width="47.5" style="3023" customWidth="1"/>
    <col min="2311" max="2311" width="13" style="3023" customWidth="1"/>
    <col min="2312" max="2313" width="8.875" style="3023"/>
    <col min="2314" max="2314" width="5.75" style="3023" customWidth="1"/>
    <col min="2315" max="2315" width="11.75" style="3023" customWidth="1"/>
    <col min="2316" max="2317" width="10.75" style="3023" customWidth="1"/>
    <col min="2318" max="2318" width="10" style="3023" customWidth="1"/>
    <col min="2319" max="2320" width="10.5" style="3023" bestFit="1" customWidth="1"/>
    <col min="2321" max="2321" width="10" style="3023" customWidth="1"/>
    <col min="2322" max="2322" width="10.125" style="3023" customWidth="1"/>
    <col min="2323" max="2323" width="10" style="3023" customWidth="1"/>
    <col min="2324" max="2324" width="26.125" style="3023" customWidth="1"/>
    <col min="2325" max="2560" width="8.875" style="3023"/>
    <col min="2561" max="2561" width="9.5" style="3023" customWidth="1"/>
    <col min="2562" max="2562" width="8.875" style="3023"/>
    <col min="2563" max="2565" width="12.875" style="3023" customWidth="1"/>
    <col min="2566" max="2566" width="47.5" style="3023" customWidth="1"/>
    <col min="2567" max="2567" width="13" style="3023" customWidth="1"/>
    <col min="2568" max="2569" width="8.875" style="3023"/>
    <col min="2570" max="2570" width="5.75" style="3023" customWidth="1"/>
    <col min="2571" max="2571" width="11.75" style="3023" customWidth="1"/>
    <col min="2572" max="2573" width="10.75" style="3023" customWidth="1"/>
    <col min="2574" max="2574" width="10" style="3023" customWidth="1"/>
    <col min="2575" max="2576" width="10.5" style="3023" bestFit="1" customWidth="1"/>
    <col min="2577" max="2577" width="10" style="3023" customWidth="1"/>
    <col min="2578" max="2578" width="10.125" style="3023" customWidth="1"/>
    <col min="2579" max="2579" width="10" style="3023" customWidth="1"/>
    <col min="2580" max="2580" width="26.125" style="3023" customWidth="1"/>
    <col min="2581" max="2816" width="8.875" style="3023"/>
    <col min="2817" max="2817" width="9.5" style="3023" customWidth="1"/>
    <col min="2818" max="2818" width="8.875" style="3023"/>
    <col min="2819" max="2821" width="12.875" style="3023" customWidth="1"/>
    <col min="2822" max="2822" width="47.5" style="3023" customWidth="1"/>
    <col min="2823" max="2823" width="13" style="3023" customWidth="1"/>
    <col min="2824" max="2825" width="8.875" style="3023"/>
    <col min="2826" max="2826" width="5.75" style="3023" customWidth="1"/>
    <col min="2827" max="2827" width="11.75" style="3023" customWidth="1"/>
    <col min="2828" max="2829" width="10.75" style="3023" customWidth="1"/>
    <col min="2830" max="2830" width="10" style="3023" customWidth="1"/>
    <col min="2831" max="2832" width="10.5" style="3023" bestFit="1" customWidth="1"/>
    <col min="2833" max="2833" width="10" style="3023" customWidth="1"/>
    <col min="2834" max="2834" width="10.125" style="3023" customWidth="1"/>
    <col min="2835" max="2835" width="10" style="3023" customWidth="1"/>
    <col min="2836" max="2836" width="26.125" style="3023" customWidth="1"/>
    <col min="2837" max="3072" width="8.875" style="3023"/>
    <col min="3073" max="3073" width="9.5" style="3023" customWidth="1"/>
    <col min="3074" max="3074" width="8.875" style="3023"/>
    <col min="3075" max="3077" width="12.875" style="3023" customWidth="1"/>
    <col min="3078" max="3078" width="47.5" style="3023" customWidth="1"/>
    <col min="3079" max="3079" width="13" style="3023" customWidth="1"/>
    <col min="3080" max="3081" width="8.875" style="3023"/>
    <col min="3082" max="3082" width="5.75" style="3023" customWidth="1"/>
    <col min="3083" max="3083" width="11.75" style="3023" customWidth="1"/>
    <col min="3084" max="3085" width="10.75" style="3023" customWidth="1"/>
    <col min="3086" max="3086" width="10" style="3023" customWidth="1"/>
    <col min="3087" max="3088" width="10.5" style="3023" bestFit="1" customWidth="1"/>
    <col min="3089" max="3089" width="10" style="3023" customWidth="1"/>
    <col min="3090" max="3090" width="10.125" style="3023" customWidth="1"/>
    <col min="3091" max="3091" width="10" style="3023" customWidth="1"/>
    <col min="3092" max="3092" width="26.125" style="3023" customWidth="1"/>
    <col min="3093" max="3328" width="8.875" style="3023"/>
    <col min="3329" max="3329" width="9.5" style="3023" customWidth="1"/>
    <col min="3330" max="3330" width="8.875" style="3023"/>
    <col min="3331" max="3333" width="12.875" style="3023" customWidth="1"/>
    <col min="3334" max="3334" width="47.5" style="3023" customWidth="1"/>
    <col min="3335" max="3335" width="13" style="3023" customWidth="1"/>
    <col min="3336" max="3337" width="8.875" style="3023"/>
    <col min="3338" max="3338" width="5.75" style="3023" customWidth="1"/>
    <col min="3339" max="3339" width="11.75" style="3023" customWidth="1"/>
    <col min="3340" max="3341" width="10.75" style="3023" customWidth="1"/>
    <col min="3342" max="3342" width="10" style="3023" customWidth="1"/>
    <col min="3343" max="3344" width="10.5" style="3023" bestFit="1" customWidth="1"/>
    <col min="3345" max="3345" width="10" style="3023" customWidth="1"/>
    <col min="3346" max="3346" width="10.125" style="3023" customWidth="1"/>
    <col min="3347" max="3347" width="10" style="3023" customWidth="1"/>
    <col min="3348" max="3348" width="26.125" style="3023" customWidth="1"/>
    <col min="3349" max="3584" width="8.875" style="3023"/>
    <col min="3585" max="3585" width="9.5" style="3023" customWidth="1"/>
    <col min="3586" max="3586" width="8.875" style="3023"/>
    <col min="3587" max="3589" width="12.875" style="3023" customWidth="1"/>
    <col min="3590" max="3590" width="47.5" style="3023" customWidth="1"/>
    <col min="3591" max="3591" width="13" style="3023" customWidth="1"/>
    <col min="3592" max="3593" width="8.875" style="3023"/>
    <col min="3594" max="3594" width="5.75" style="3023" customWidth="1"/>
    <col min="3595" max="3595" width="11.75" style="3023" customWidth="1"/>
    <col min="3596" max="3597" width="10.75" style="3023" customWidth="1"/>
    <col min="3598" max="3598" width="10" style="3023" customWidth="1"/>
    <col min="3599" max="3600" width="10.5" style="3023" bestFit="1" customWidth="1"/>
    <col min="3601" max="3601" width="10" style="3023" customWidth="1"/>
    <col min="3602" max="3602" width="10.125" style="3023" customWidth="1"/>
    <col min="3603" max="3603" width="10" style="3023" customWidth="1"/>
    <col min="3604" max="3604" width="26.125" style="3023" customWidth="1"/>
    <col min="3605" max="3840" width="8.875" style="3023"/>
    <col min="3841" max="3841" width="9.5" style="3023" customWidth="1"/>
    <col min="3842" max="3842" width="8.875" style="3023"/>
    <col min="3843" max="3845" width="12.875" style="3023" customWidth="1"/>
    <col min="3846" max="3846" width="47.5" style="3023" customWidth="1"/>
    <col min="3847" max="3847" width="13" style="3023" customWidth="1"/>
    <col min="3848" max="3849" width="8.875" style="3023"/>
    <col min="3850" max="3850" width="5.75" style="3023" customWidth="1"/>
    <col min="3851" max="3851" width="11.75" style="3023" customWidth="1"/>
    <col min="3852" max="3853" width="10.75" style="3023" customWidth="1"/>
    <col min="3854" max="3854" width="10" style="3023" customWidth="1"/>
    <col min="3855" max="3856" width="10.5" style="3023" bestFit="1" customWidth="1"/>
    <col min="3857" max="3857" width="10" style="3023" customWidth="1"/>
    <col min="3858" max="3858" width="10.125" style="3023" customWidth="1"/>
    <col min="3859" max="3859" width="10" style="3023" customWidth="1"/>
    <col min="3860" max="3860" width="26.125" style="3023" customWidth="1"/>
    <col min="3861" max="4096" width="8.875" style="3023"/>
    <col min="4097" max="4097" width="9.5" style="3023" customWidth="1"/>
    <col min="4098" max="4098" width="8.875" style="3023"/>
    <col min="4099" max="4101" width="12.875" style="3023" customWidth="1"/>
    <col min="4102" max="4102" width="47.5" style="3023" customWidth="1"/>
    <col min="4103" max="4103" width="13" style="3023" customWidth="1"/>
    <col min="4104" max="4105" width="8.875" style="3023"/>
    <col min="4106" max="4106" width="5.75" style="3023" customWidth="1"/>
    <col min="4107" max="4107" width="11.75" style="3023" customWidth="1"/>
    <col min="4108" max="4109" width="10.75" style="3023" customWidth="1"/>
    <col min="4110" max="4110" width="10" style="3023" customWidth="1"/>
    <col min="4111" max="4112" width="10.5" style="3023" bestFit="1" customWidth="1"/>
    <col min="4113" max="4113" width="10" style="3023" customWidth="1"/>
    <col min="4114" max="4114" width="10.125" style="3023" customWidth="1"/>
    <col min="4115" max="4115" width="10" style="3023" customWidth="1"/>
    <col min="4116" max="4116" width="26.125" style="3023" customWidth="1"/>
    <col min="4117" max="4352" width="8.875" style="3023"/>
    <col min="4353" max="4353" width="9.5" style="3023" customWidth="1"/>
    <col min="4354" max="4354" width="8.875" style="3023"/>
    <col min="4355" max="4357" width="12.875" style="3023" customWidth="1"/>
    <col min="4358" max="4358" width="47.5" style="3023" customWidth="1"/>
    <col min="4359" max="4359" width="13" style="3023" customWidth="1"/>
    <col min="4360" max="4361" width="8.875" style="3023"/>
    <col min="4362" max="4362" width="5.75" style="3023" customWidth="1"/>
    <col min="4363" max="4363" width="11.75" style="3023" customWidth="1"/>
    <col min="4364" max="4365" width="10.75" style="3023" customWidth="1"/>
    <col min="4366" max="4366" width="10" style="3023" customWidth="1"/>
    <col min="4367" max="4368" width="10.5" style="3023" bestFit="1" customWidth="1"/>
    <col min="4369" max="4369" width="10" style="3023" customWidth="1"/>
    <col min="4370" max="4370" width="10.125" style="3023" customWidth="1"/>
    <col min="4371" max="4371" width="10" style="3023" customWidth="1"/>
    <col min="4372" max="4372" width="26.125" style="3023" customWidth="1"/>
    <col min="4373" max="4608" width="8.875" style="3023"/>
    <col min="4609" max="4609" width="9.5" style="3023" customWidth="1"/>
    <col min="4610" max="4610" width="8.875" style="3023"/>
    <col min="4611" max="4613" width="12.875" style="3023" customWidth="1"/>
    <col min="4614" max="4614" width="47.5" style="3023" customWidth="1"/>
    <col min="4615" max="4615" width="13" style="3023" customWidth="1"/>
    <col min="4616" max="4617" width="8.875" style="3023"/>
    <col min="4618" max="4618" width="5.75" style="3023" customWidth="1"/>
    <col min="4619" max="4619" width="11.75" style="3023" customWidth="1"/>
    <col min="4620" max="4621" width="10.75" style="3023" customWidth="1"/>
    <col min="4622" max="4622" width="10" style="3023" customWidth="1"/>
    <col min="4623" max="4624" width="10.5" style="3023" bestFit="1" customWidth="1"/>
    <col min="4625" max="4625" width="10" style="3023" customWidth="1"/>
    <col min="4626" max="4626" width="10.125" style="3023" customWidth="1"/>
    <col min="4627" max="4627" width="10" style="3023" customWidth="1"/>
    <col min="4628" max="4628" width="26.125" style="3023" customWidth="1"/>
    <col min="4629" max="4864" width="8.875" style="3023"/>
    <col min="4865" max="4865" width="9.5" style="3023" customWidth="1"/>
    <col min="4866" max="4866" width="8.875" style="3023"/>
    <col min="4867" max="4869" width="12.875" style="3023" customWidth="1"/>
    <col min="4870" max="4870" width="47.5" style="3023" customWidth="1"/>
    <col min="4871" max="4871" width="13" style="3023" customWidth="1"/>
    <col min="4872" max="4873" width="8.875" style="3023"/>
    <col min="4874" max="4874" width="5.75" style="3023" customWidth="1"/>
    <col min="4875" max="4875" width="11.75" style="3023" customWidth="1"/>
    <col min="4876" max="4877" width="10.75" style="3023" customWidth="1"/>
    <col min="4878" max="4878" width="10" style="3023" customWidth="1"/>
    <col min="4879" max="4880" width="10.5" style="3023" bestFit="1" customWidth="1"/>
    <col min="4881" max="4881" width="10" style="3023" customWidth="1"/>
    <col min="4882" max="4882" width="10.125" style="3023" customWidth="1"/>
    <col min="4883" max="4883" width="10" style="3023" customWidth="1"/>
    <col min="4884" max="4884" width="26.125" style="3023" customWidth="1"/>
    <col min="4885" max="5120" width="8.875" style="3023"/>
    <col min="5121" max="5121" width="9.5" style="3023" customWidth="1"/>
    <col min="5122" max="5122" width="8.875" style="3023"/>
    <col min="5123" max="5125" width="12.875" style="3023" customWidth="1"/>
    <col min="5126" max="5126" width="47.5" style="3023" customWidth="1"/>
    <col min="5127" max="5127" width="13" style="3023" customWidth="1"/>
    <col min="5128" max="5129" width="8.875" style="3023"/>
    <col min="5130" max="5130" width="5.75" style="3023" customWidth="1"/>
    <col min="5131" max="5131" width="11.75" style="3023" customWidth="1"/>
    <col min="5132" max="5133" width="10.75" style="3023" customWidth="1"/>
    <col min="5134" max="5134" width="10" style="3023" customWidth="1"/>
    <col min="5135" max="5136" width="10.5" style="3023" bestFit="1" customWidth="1"/>
    <col min="5137" max="5137" width="10" style="3023" customWidth="1"/>
    <col min="5138" max="5138" width="10.125" style="3023" customWidth="1"/>
    <col min="5139" max="5139" width="10" style="3023" customWidth="1"/>
    <col min="5140" max="5140" width="26.125" style="3023" customWidth="1"/>
    <col min="5141" max="5376" width="8.875" style="3023"/>
    <col min="5377" max="5377" width="9.5" style="3023" customWidth="1"/>
    <col min="5378" max="5378" width="8.875" style="3023"/>
    <col min="5379" max="5381" width="12.875" style="3023" customWidth="1"/>
    <col min="5382" max="5382" width="47.5" style="3023" customWidth="1"/>
    <col min="5383" max="5383" width="13" style="3023" customWidth="1"/>
    <col min="5384" max="5385" width="8.875" style="3023"/>
    <col min="5386" max="5386" width="5.75" style="3023" customWidth="1"/>
    <col min="5387" max="5387" width="11.75" style="3023" customWidth="1"/>
    <col min="5388" max="5389" width="10.75" style="3023" customWidth="1"/>
    <col min="5390" max="5390" width="10" style="3023" customWidth="1"/>
    <col min="5391" max="5392" width="10.5" style="3023" bestFit="1" customWidth="1"/>
    <col min="5393" max="5393" width="10" style="3023" customWidth="1"/>
    <col min="5394" max="5394" width="10.125" style="3023" customWidth="1"/>
    <col min="5395" max="5395" width="10" style="3023" customWidth="1"/>
    <col min="5396" max="5396" width="26.125" style="3023" customWidth="1"/>
    <col min="5397" max="5632" width="8.875" style="3023"/>
    <col min="5633" max="5633" width="9.5" style="3023" customWidth="1"/>
    <col min="5634" max="5634" width="8.875" style="3023"/>
    <col min="5635" max="5637" width="12.875" style="3023" customWidth="1"/>
    <col min="5638" max="5638" width="47.5" style="3023" customWidth="1"/>
    <col min="5639" max="5639" width="13" style="3023" customWidth="1"/>
    <col min="5640" max="5641" width="8.875" style="3023"/>
    <col min="5642" max="5642" width="5.75" style="3023" customWidth="1"/>
    <col min="5643" max="5643" width="11.75" style="3023" customWidth="1"/>
    <col min="5644" max="5645" width="10.75" style="3023" customWidth="1"/>
    <col min="5646" max="5646" width="10" style="3023" customWidth="1"/>
    <col min="5647" max="5648" width="10.5" style="3023" bestFit="1" customWidth="1"/>
    <col min="5649" max="5649" width="10" style="3023" customWidth="1"/>
    <col min="5650" max="5650" width="10.125" style="3023" customWidth="1"/>
    <col min="5651" max="5651" width="10" style="3023" customWidth="1"/>
    <col min="5652" max="5652" width="26.125" style="3023" customWidth="1"/>
    <col min="5653" max="5888" width="8.875" style="3023"/>
    <col min="5889" max="5889" width="9.5" style="3023" customWidth="1"/>
    <col min="5890" max="5890" width="8.875" style="3023"/>
    <col min="5891" max="5893" width="12.875" style="3023" customWidth="1"/>
    <col min="5894" max="5894" width="47.5" style="3023" customWidth="1"/>
    <col min="5895" max="5895" width="13" style="3023" customWidth="1"/>
    <col min="5896" max="5897" width="8.875" style="3023"/>
    <col min="5898" max="5898" width="5.75" style="3023" customWidth="1"/>
    <col min="5899" max="5899" width="11.75" style="3023" customWidth="1"/>
    <col min="5900" max="5901" width="10.75" style="3023" customWidth="1"/>
    <col min="5902" max="5902" width="10" style="3023" customWidth="1"/>
    <col min="5903" max="5904" width="10.5" style="3023" bestFit="1" customWidth="1"/>
    <col min="5905" max="5905" width="10" style="3023" customWidth="1"/>
    <col min="5906" max="5906" width="10.125" style="3023" customWidth="1"/>
    <col min="5907" max="5907" width="10" style="3023" customWidth="1"/>
    <col min="5908" max="5908" width="26.125" style="3023" customWidth="1"/>
    <col min="5909" max="6144" width="8.875" style="3023"/>
    <col min="6145" max="6145" width="9.5" style="3023" customWidth="1"/>
    <col min="6146" max="6146" width="8.875" style="3023"/>
    <col min="6147" max="6149" width="12.875" style="3023" customWidth="1"/>
    <col min="6150" max="6150" width="47.5" style="3023" customWidth="1"/>
    <col min="6151" max="6151" width="13" style="3023" customWidth="1"/>
    <col min="6152" max="6153" width="8.875" style="3023"/>
    <col min="6154" max="6154" width="5.75" style="3023" customWidth="1"/>
    <col min="6155" max="6155" width="11.75" style="3023" customWidth="1"/>
    <col min="6156" max="6157" width="10.75" style="3023" customWidth="1"/>
    <col min="6158" max="6158" width="10" style="3023" customWidth="1"/>
    <col min="6159" max="6160" width="10.5" style="3023" bestFit="1" customWidth="1"/>
    <col min="6161" max="6161" width="10" style="3023" customWidth="1"/>
    <col min="6162" max="6162" width="10.125" style="3023" customWidth="1"/>
    <col min="6163" max="6163" width="10" style="3023" customWidth="1"/>
    <col min="6164" max="6164" width="26.125" style="3023" customWidth="1"/>
    <col min="6165" max="6400" width="8.875" style="3023"/>
    <col min="6401" max="6401" width="9.5" style="3023" customWidth="1"/>
    <col min="6402" max="6402" width="8.875" style="3023"/>
    <col min="6403" max="6405" width="12.875" style="3023" customWidth="1"/>
    <col min="6406" max="6406" width="47.5" style="3023" customWidth="1"/>
    <col min="6407" max="6407" width="13" style="3023" customWidth="1"/>
    <col min="6408" max="6409" width="8.875" style="3023"/>
    <col min="6410" max="6410" width="5.75" style="3023" customWidth="1"/>
    <col min="6411" max="6411" width="11.75" style="3023" customWidth="1"/>
    <col min="6412" max="6413" width="10.75" style="3023" customWidth="1"/>
    <col min="6414" max="6414" width="10" style="3023" customWidth="1"/>
    <col min="6415" max="6416" width="10.5" style="3023" bestFit="1" customWidth="1"/>
    <col min="6417" max="6417" width="10" style="3023" customWidth="1"/>
    <col min="6418" max="6418" width="10.125" style="3023" customWidth="1"/>
    <col min="6419" max="6419" width="10" style="3023" customWidth="1"/>
    <col min="6420" max="6420" width="26.125" style="3023" customWidth="1"/>
    <col min="6421" max="6656" width="8.875" style="3023"/>
    <col min="6657" max="6657" width="9.5" style="3023" customWidth="1"/>
    <col min="6658" max="6658" width="8.875" style="3023"/>
    <col min="6659" max="6661" width="12.875" style="3023" customWidth="1"/>
    <col min="6662" max="6662" width="47.5" style="3023" customWidth="1"/>
    <col min="6663" max="6663" width="13" style="3023" customWidth="1"/>
    <col min="6664" max="6665" width="8.875" style="3023"/>
    <col min="6666" max="6666" width="5.75" style="3023" customWidth="1"/>
    <col min="6667" max="6667" width="11.75" style="3023" customWidth="1"/>
    <col min="6668" max="6669" width="10.75" style="3023" customWidth="1"/>
    <col min="6670" max="6670" width="10" style="3023" customWidth="1"/>
    <col min="6671" max="6672" width="10.5" style="3023" bestFit="1" customWidth="1"/>
    <col min="6673" max="6673" width="10" style="3023" customWidth="1"/>
    <col min="6674" max="6674" width="10.125" style="3023" customWidth="1"/>
    <col min="6675" max="6675" width="10" style="3023" customWidth="1"/>
    <col min="6676" max="6676" width="26.125" style="3023" customWidth="1"/>
    <col min="6677" max="6912" width="8.875" style="3023"/>
    <col min="6913" max="6913" width="9.5" style="3023" customWidth="1"/>
    <col min="6914" max="6914" width="8.875" style="3023"/>
    <col min="6915" max="6917" width="12.875" style="3023" customWidth="1"/>
    <col min="6918" max="6918" width="47.5" style="3023" customWidth="1"/>
    <col min="6919" max="6919" width="13" style="3023" customWidth="1"/>
    <col min="6920" max="6921" width="8.875" style="3023"/>
    <col min="6922" max="6922" width="5.75" style="3023" customWidth="1"/>
    <col min="6923" max="6923" width="11.75" style="3023" customWidth="1"/>
    <col min="6924" max="6925" width="10.75" style="3023" customWidth="1"/>
    <col min="6926" max="6926" width="10" style="3023" customWidth="1"/>
    <col min="6927" max="6928" width="10.5" style="3023" bestFit="1" customWidth="1"/>
    <col min="6929" max="6929" width="10" style="3023" customWidth="1"/>
    <col min="6930" max="6930" width="10.125" style="3023" customWidth="1"/>
    <col min="6931" max="6931" width="10" style="3023" customWidth="1"/>
    <col min="6932" max="6932" width="26.125" style="3023" customWidth="1"/>
    <col min="6933" max="7168" width="8.875" style="3023"/>
    <col min="7169" max="7169" width="9.5" style="3023" customWidth="1"/>
    <col min="7170" max="7170" width="8.875" style="3023"/>
    <col min="7171" max="7173" width="12.875" style="3023" customWidth="1"/>
    <col min="7174" max="7174" width="47.5" style="3023" customWidth="1"/>
    <col min="7175" max="7175" width="13" style="3023" customWidth="1"/>
    <col min="7176" max="7177" width="8.875" style="3023"/>
    <col min="7178" max="7178" width="5.75" style="3023" customWidth="1"/>
    <col min="7179" max="7179" width="11.75" style="3023" customWidth="1"/>
    <col min="7180" max="7181" width="10.75" style="3023" customWidth="1"/>
    <col min="7182" max="7182" width="10" style="3023" customWidth="1"/>
    <col min="7183" max="7184" width="10.5" style="3023" bestFit="1" customWidth="1"/>
    <col min="7185" max="7185" width="10" style="3023" customWidth="1"/>
    <col min="7186" max="7186" width="10.125" style="3023" customWidth="1"/>
    <col min="7187" max="7187" width="10" style="3023" customWidth="1"/>
    <col min="7188" max="7188" width="26.125" style="3023" customWidth="1"/>
    <col min="7189" max="7424" width="8.875" style="3023"/>
    <col min="7425" max="7425" width="9.5" style="3023" customWidth="1"/>
    <col min="7426" max="7426" width="8.875" style="3023"/>
    <col min="7427" max="7429" width="12.875" style="3023" customWidth="1"/>
    <col min="7430" max="7430" width="47.5" style="3023" customWidth="1"/>
    <col min="7431" max="7431" width="13" style="3023" customWidth="1"/>
    <col min="7432" max="7433" width="8.875" style="3023"/>
    <col min="7434" max="7434" width="5.75" style="3023" customWidth="1"/>
    <col min="7435" max="7435" width="11.75" style="3023" customWidth="1"/>
    <col min="7436" max="7437" width="10.75" style="3023" customWidth="1"/>
    <col min="7438" max="7438" width="10" style="3023" customWidth="1"/>
    <col min="7439" max="7440" width="10.5" style="3023" bestFit="1" customWidth="1"/>
    <col min="7441" max="7441" width="10" style="3023" customWidth="1"/>
    <col min="7442" max="7442" width="10.125" style="3023" customWidth="1"/>
    <col min="7443" max="7443" width="10" style="3023" customWidth="1"/>
    <col min="7444" max="7444" width="26.125" style="3023" customWidth="1"/>
    <col min="7445" max="7680" width="8.875" style="3023"/>
    <col min="7681" max="7681" width="9.5" style="3023" customWidth="1"/>
    <col min="7682" max="7682" width="8.875" style="3023"/>
    <col min="7683" max="7685" width="12.875" style="3023" customWidth="1"/>
    <col min="7686" max="7686" width="47.5" style="3023" customWidth="1"/>
    <col min="7687" max="7687" width="13" style="3023" customWidth="1"/>
    <col min="7688" max="7689" width="8.875" style="3023"/>
    <col min="7690" max="7690" width="5.75" style="3023" customWidth="1"/>
    <col min="7691" max="7691" width="11.75" style="3023" customWidth="1"/>
    <col min="7692" max="7693" width="10.75" style="3023" customWidth="1"/>
    <col min="7694" max="7694" width="10" style="3023" customWidth="1"/>
    <col min="7695" max="7696" width="10.5" style="3023" bestFit="1" customWidth="1"/>
    <col min="7697" max="7697" width="10" style="3023" customWidth="1"/>
    <col min="7698" max="7698" width="10.125" style="3023" customWidth="1"/>
    <col min="7699" max="7699" width="10" style="3023" customWidth="1"/>
    <col min="7700" max="7700" width="26.125" style="3023" customWidth="1"/>
    <col min="7701" max="7936" width="8.875" style="3023"/>
    <col min="7937" max="7937" width="9.5" style="3023" customWidth="1"/>
    <col min="7938" max="7938" width="8.875" style="3023"/>
    <col min="7939" max="7941" width="12.875" style="3023" customWidth="1"/>
    <col min="7942" max="7942" width="47.5" style="3023" customWidth="1"/>
    <col min="7943" max="7943" width="13" style="3023" customWidth="1"/>
    <col min="7944" max="7945" width="8.875" style="3023"/>
    <col min="7946" max="7946" width="5.75" style="3023" customWidth="1"/>
    <col min="7947" max="7947" width="11.75" style="3023" customWidth="1"/>
    <col min="7948" max="7949" width="10.75" style="3023" customWidth="1"/>
    <col min="7950" max="7950" width="10" style="3023" customWidth="1"/>
    <col min="7951" max="7952" width="10.5" style="3023" bestFit="1" customWidth="1"/>
    <col min="7953" max="7953" width="10" style="3023" customWidth="1"/>
    <col min="7954" max="7954" width="10.125" style="3023" customWidth="1"/>
    <col min="7955" max="7955" width="10" style="3023" customWidth="1"/>
    <col min="7956" max="7956" width="26.125" style="3023" customWidth="1"/>
    <col min="7957" max="8192" width="8.875" style="3023"/>
    <col min="8193" max="8193" width="9.5" style="3023" customWidth="1"/>
    <col min="8194" max="8194" width="8.875" style="3023"/>
    <col min="8195" max="8197" width="12.875" style="3023" customWidth="1"/>
    <col min="8198" max="8198" width="47.5" style="3023" customWidth="1"/>
    <col min="8199" max="8199" width="13" style="3023" customWidth="1"/>
    <col min="8200" max="8201" width="8.875" style="3023"/>
    <col min="8202" max="8202" width="5.75" style="3023" customWidth="1"/>
    <col min="8203" max="8203" width="11.75" style="3023" customWidth="1"/>
    <col min="8204" max="8205" width="10.75" style="3023" customWidth="1"/>
    <col min="8206" max="8206" width="10" style="3023" customWidth="1"/>
    <col min="8207" max="8208" width="10.5" style="3023" bestFit="1" customWidth="1"/>
    <col min="8209" max="8209" width="10" style="3023" customWidth="1"/>
    <col min="8210" max="8210" width="10.125" style="3023" customWidth="1"/>
    <col min="8211" max="8211" width="10" style="3023" customWidth="1"/>
    <col min="8212" max="8212" width="26.125" style="3023" customWidth="1"/>
    <col min="8213" max="8448" width="8.875" style="3023"/>
    <col min="8449" max="8449" width="9.5" style="3023" customWidth="1"/>
    <col min="8450" max="8450" width="8.875" style="3023"/>
    <col min="8451" max="8453" width="12.875" style="3023" customWidth="1"/>
    <col min="8454" max="8454" width="47.5" style="3023" customWidth="1"/>
    <col min="8455" max="8455" width="13" style="3023" customWidth="1"/>
    <col min="8456" max="8457" width="8.875" style="3023"/>
    <col min="8458" max="8458" width="5.75" style="3023" customWidth="1"/>
    <col min="8459" max="8459" width="11.75" style="3023" customWidth="1"/>
    <col min="8460" max="8461" width="10.75" style="3023" customWidth="1"/>
    <col min="8462" max="8462" width="10" style="3023" customWidth="1"/>
    <col min="8463" max="8464" width="10.5" style="3023" bestFit="1" customWidth="1"/>
    <col min="8465" max="8465" width="10" style="3023" customWidth="1"/>
    <col min="8466" max="8466" width="10.125" style="3023" customWidth="1"/>
    <col min="8467" max="8467" width="10" style="3023" customWidth="1"/>
    <col min="8468" max="8468" width="26.125" style="3023" customWidth="1"/>
    <col min="8469" max="8704" width="8.875" style="3023"/>
    <col min="8705" max="8705" width="9.5" style="3023" customWidth="1"/>
    <col min="8706" max="8706" width="8.875" style="3023"/>
    <col min="8707" max="8709" width="12.875" style="3023" customWidth="1"/>
    <col min="8710" max="8710" width="47.5" style="3023" customWidth="1"/>
    <col min="8711" max="8711" width="13" style="3023" customWidth="1"/>
    <col min="8712" max="8713" width="8.875" style="3023"/>
    <col min="8714" max="8714" width="5.75" style="3023" customWidth="1"/>
    <col min="8715" max="8715" width="11.75" style="3023" customWidth="1"/>
    <col min="8716" max="8717" width="10.75" style="3023" customWidth="1"/>
    <col min="8718" max="8718" width="10" style="3023" customWidth="1"/>
    <col min="8719" max="8720" width="10.5" style="3023" bestFit="1" customWidth="1"/>
    <col min="8721" max="8721" width="10" style="3023" customWidth="1"/>
    <col min="8722" max="8722" width="10.125" style="3023" customWidth="1"/>
    <col min="8723" max="8723" width="10" style="3023" customWidth="1"/>
    <col min="8724" max="8724" width="26.125" style="3023" customWidth="1"/>
    <col min="8725" max="8960" width="8.875" style="3023"/>
    <col min="8961" max="8961" width="9.5" style="3023" customWidth="1"/>
    <col min="8962" max="8962" width="8.875" style="3023"/>
    <col min="8963" max="8965" width="12.875" style="3023" customWidth="1"/>
    <col min="8966" max="8966" width="47.5" style="3023" customWidth="1"/>
    <col min="8967" max="8967" width="13" style="3023" customWidth="1"/>
    <col min="8968" max="8969" width="8.875" style="3023"/>
    <col min="8970" max="8970" width="5.75" style="3023" customWidth="1"/>
    <col min="8971" max="8971" width="11.75" style="3023" customWidth="1"/>
    <col min="8972" max="8973" width="10.75" style="3023" customWidth="1"/>
    <col min="8974" max="8974" width="10" style="3023" customWidth="1"/>
    <col min="8975" max="8976" width="10.5" style="3023" bestFit="1" customWidth="1"/>
    <col min="8977" max="8977" width="10" style="3023" customWidth="1"/>
    <col min="8978" max="8978" width="10.125" style="3023" customWidth="1"/>
    <col min="8979" max="8979" width="10" style="3023" customWidth="1"/>
    <col min="8980" max="8980" width="26.125" style="3023" customWidth="1"/>
    <col min="8981" max="9216" width="8.875" style="3023"/>
    <col min="9217" max="9217" width="9.5" style="3023" customWidth="1"/>
    <col min="9218" max="9218" width="8.875" style="3023"/>
    <col min="9219" max="9221" width="12.875" style="3023" customWidth="1"/>
    <col min="9222" max="9222" width="47.5" style="3023" customWidth="1"/>
    <col min="9223" max="9223" width="13" style="3023" customWidth="1"/>
    <col min="9224" max="9225" width="8.875" style="3023"/>
    <col min="9226" max="9226" width="5.75" style="3023" customWidth="1"/>
    <col min="9227" max="9227" width="11.75" style="3023" customWidth="1"/>
    <col min="9228" max="9229" width="10.75" style="3023" customWidth="1"/>
    <col min="9230" max="9230" width="10" style="3023" customWidth="1"/>
    <col min="9231" max="9232" width="10.5" style="3023" bestFit="1" customWidth="1"/>
    <col min="9233" max="9233" width="10" style="3023" customWidth="1"/>
    <col min="9234" max="9234" width="10.125" style="3023" customWidth="1"/>
    <col min="9235" max="9235" width="10" style="3023" customWidth="1"/>
    <col min="9236" max="9236" width="26.125" style="3023" customWidth="1"/>
    <col min="9237" max="9472" width="8.875" style="3023"/>
    <col min="9473" max="9473" width="9.5" style="3023" customWidth="1"/>
    <col min="9474" max="9474" width="8.875" style="3023"/>
    <col min="9475" max="9477" width="12.875" style="3023" customWidth="1"/>
    <col min="9478" max="9478" width="47.5" style="3023" customWidth="1"/>
    <col min="9479" max="9479" width="13" style="3023" customWidth="1"/>
    <col min="9480" max="9481" width="8.875" style="3023"/>
    <col min="9482" max="9482" width="5.75" style="3023" customWidth="1"/>
    <col min="9483" max="9483" width="11.75" style="3023" customWidth="1"/>
    <col min="9484" max="9485" width="10.75" style="3023" customWidth="1"/>
    <col min="9486" max="9486" width="10" style="3023" customWidth="1"/>
    <col min="9487" max="9488" width="10.5" style="3023" bestFit="1" customWidth="1"/>
    <col min="9489" max="9489" width="10" style="3023" customWidth="1"/>
    <col min="9490" max="9490" width="10.125" style="3023" customWidth="1"/>
    <col min="9491" max="9491" width="10" style="3023" customWidth="1"/>
    <col min="9492" max="9492" width="26.125" style="3023" customWidth="1"/>
    <col min="9493" max="9728" width="8.875" style="3023"/>
    <col min="9729" max="9729" width="9.5" style="3023" customWidth="1"/>
    <col min="9730" max="9730" width="8.875" style="3023"/>
    <col min="9731" max="9733" width="12.875" style="3023" customWidth="1"/>
    <col min="9734" max="9734" width="47.5" style="3023" customWidth="1"/>
    <col min="9735" max="9735" width="13" style="3023" customWidth="1"/>
    <col min="9736" max="9737" width="8.875" style="3023"/>
    <col min="9738" max="9738" width="5.75" style="3023" customWidth="1"/>
    <col min="9739" max="9739" width="11.75" style="3023" customWidth="1"/>
    <col min="9740" max="9741" width="10.75" style="3023" customWidth="1"/>
    <col min="9742" max="9742" width="10" style="3023" customWidth="1"/>
    <col min="9743" max="9744" width="10.5" style="3023" bestFit="1" customWidth="1"/>
    <col min="9745" max="9745" width="10" style="3023" customWidth="1"/>
    <col min="9746" max="9746" width="10.125" style="3023" customWidth="1"/>
    <col min="9747" max="9747" width="10" style="3023" customWidth="1"/>
    <col min="9748" max="9748" width="26.125" style="3023" customWidth="1"/>
    <col min="9749" max="9984" width="8.875" style="3023"/>
    <col min="9985" max="9985" width="9.5" style="3023" customWidth="1"/>
    <col min="9986" max="9986" width="8.875" style="3023"/>
    <col min="9987" max="9989" width="12.875" style="3023" customWidth="1"/>
    <col min="9990" max="9990" width="47.5" style="3023" customWidth="1"/>
    <col min="9991" max="9991" width="13" style="3023" customWidth="1"/>
    <col min="9992" max="9993" width="8.875" style="3023"/>
    <col min="9994" max="9994" width="5.75" style="3023" customWidth="1"/>
    <col min="9995" max="9995" width="11.75" style="3023" customWidth="1"/>
    <col min="9996" max="9997" width="10.75" style="3023" customWidth="1"/>
    <col min="9998" max="9998" width="10" style="3023" customWidth="1"/>
    <col min="9999" max="10000" width="10.5" style="3023" bestFit="1" customWidth="1"/>
    <col min="10001" max="10001" width="10" style="3023" customWidth="1"/>
    <col min="10002" max="10002" width="10.125" style="3023" customWidth="1"/>
    <col min="10003" max="10003" width="10" style="3023" customWidth="1"/>
    <col min="10004" max="10004" width="26.125" style="3023" customWidth="1"/>
    <col min="10005" max="10240" width="8.875" style="3023"/>
    <col min="10241" max="10241" width="9.5" style="3023" customWidth="1"/>
    <col min="10242" max="10242" width="8.875" style="3023"/>
    <col min="10243" max="10245" width="12.875" style="3023" customWidth="1"/>
    <col min="10246" max="10246" width="47.5" style="3023" customWidth="1"/>
    <col min="10247" max="10247" width="13" style="3023" customWidth="1"/>
    <col min="10248" max="10249" width="8.875" style="3023"/>
    <col min="10250" max="10250" width="5.75" style="3023" customWidth="1"/>
    <col min="10251" max="10251" width="11.75" style="3023" customWidth="1"/>
    <col min="10252" max="10253" width="10.75" style="3023" customWidth="1"/>
    <col min="10254" max="10254" width="10" style="3023" customWidth="1"/>
    <col min="10255" max="10256" width="10.5" style="3023" bestFit="1" customWidth="1"/>
    <col min="10257" max="10257" width="10" style="3023" customWidth="1"/>
    <col min="10258" max="10258" width="10.125" style="3023" customWidth="1"/>
    <col min="10259" max="10259" width="10" style="3023" customWidth="1"/>
    <col min="10260" max="10260" width="26.125" style="3023" customWidth="1"/>
    <col min="10261" max="10496" width="8.875" style="3023"/>
    <col min="10497" max="10497" width="9.5" style="3023" customWidth="1"/>
    <col min="10498" max="10498" width="8.875" style="3023"/>
    <col min="10499" max="10501" width="12.875" style="3023" customWidth="1"/>
    <col min="10502" max="10502" width="47.5" style="3023" customWidth="1"/>
    <col min="10503" max="10503" width="13" style="3023" customWidth="1"/>
    <col min="10504" max="10505" width="8.875" style="3023"/>
    <col min="10506" max="10506" width="5.75" style="3023" customWidth="1"/>
    <col min="10507" max="10507" width="11.75" style="3023" customWidth="1"/>
    <col min="10508" max="10509" width="10.75" style="3023" customWidth="1"/>
    <col min="10510" max="10510" width="10" style="3023" customWidth="1"/>
    <col min="10511" max="10512" width="10.5" style="3023" bestFit="1" customWidth="1"/>
    <col min="10513" max="10513" width="10" style="3023" customWidth="1"/>
    <col min="10514" max="10514" width="10.125" style="3023" customWidth="1"/>
    <col min="10515" max="10515" width="10" style="3023" customWidth="1"/>
    <col min="10516" max="10516" width="26.125" style="3023" customWidth="1"/>
    <col min="10517" max="10752" width="8.875" style="3023"/>
    <col min="10753" max="10753" width="9.5" style="3023" customWidth="1"/>
    <col min="10754" max="10754" width="8.875" style="3023"/>
    <col min="10755" max="10757" width="12.875" style="3023" customWidth="1"/>
    <col min="10758" max="10758" width="47.5" style="3023" customWidth="1"/>
    <col min="10759" max="10759" width="13" style="3023" customWidth="1"/>
    <col min="10760" max="10761" width="8.875" style="3023"/>
    <col min="10762" max="10762" width="5.75" style="3023" customWidth="1"/>
    <col min="10763" max="10763" width="11.75" style="3023" customWidth="1"/>
    <col min="10764" max="10765" width="10.75" style="3023" customWidth="1"/>
    <col min="10766" max="10766" width="10" style="3023" customWidth="1"/>
    <col min="10767" max="10768" width="10.5" style="3023" bestFit="1" customWidth="1"/>
    <col min="10769" max="10769" width="10" style="3023" customWidth="1"/>
    <col min="10770" max="10770" width="10.125" style="3023" customWidth="1"/>
    <col min="10771" max="10771" width="10" style="3023" customWidth="1"/>
    <col min="10772" max="10772" width="26.125" style="3023" customWidth="1"/>
    <col min="10773" max="11008" width="8.875" style="3023"/>
    <col min="11009" max="11009" width="9.5" style="3023" customWidth="1"/>
    <col min="11010" max="11010" width="8.875" style="3023"/>
    <col min="11011" max="11013" width="12.875" style="3023" customWidth="1"/>
    <col min="11014" max="11014" width="47.5" style="3023" customWidth="1"/>
    <col min="11015" max="11015" width="13" style="3023" customWidth="1"/>
    <col min="11016" max="11017" width="8.875" style="3023"/>
    <col min="11018" max="11018" width="5.75" style="3023" customWidth="1"/>
    <col min="11019" max="11019" width="11.75" style="3023" customWidth="1"/>
    <col min="11020" max="11021" width="10.75" style="3023" customWidth="1"/>
    <col min="11022" max="11022" width="10" style="3023" customWidth="1"/>
    <col min="11023" max="11024" width="10.5" style="3023" bestFit="1" customWidth="1"/>
    <col min="11025" max="11025" width="10" style="3023" customWidth="1"/>
    <col min="11026" max="11026" width="10.125" style="3023" customWidth="1"/>
    <col min="11027" max="11027" width="10" style="3023" customWidth="1"/>
    <col min="11028" max="11028" width="26.125" style="3023" customWidth="1"/>
    <col min="11029" max="11264" width="8.875" style="3023"/>
    <col min="11265" max="11265" width="9.5" style="3023" customWidth="1"/>
    <col min="11266" max="11266" width="8.875" style="3023"/>
    <col min="11267" max="11269" width="12.875" style="3023" customWidth="1"/>
    <col min="11270" max="11270" width="47.5" style="3023" customWidth="1"/>
    <col min="11271" max="11271" width="13" style="3023" customWidth="1"/>
    <col min="11272" max="11273" width="8.875" style="3023"/>
    <col min="11274" max="11274" width="5.75" style="3023" customWidth="1"/>
    <col min="11275" max="11275" width="11.75" style="3023" customWidth="1"/>
    <col min="11276" max="11277" width="10.75" style="3023" customWidth="1"/>
    <col min="11278" max="11278" width="10" style="3023" customWidth="1"/>
    <col min="11279" max="11280" width="10.5" style="3023" bestFit="1" customWidth="1"/>
    <col min="11281" max="11281" width="10" style="3023" customWidth="1"/>
    <col min="11282" max="11282" width="10.125" style="3023" customWidth="1"/>
    <col min="11283" max="11283" width="10" style="3023" customWidth="1"/>
    <col min="11284" max="11284" width="26.125" style="3023" customWidth="1"/>
    <col min="11285" max="11520" width="8.875" style="3023"/>
    <col min="11521" max="11521" width="9.5" style="3023" customWidth="1"/>
    <col min="11522" max="11522" width="8.875" style="3023"/>
    <col min="11523" max="11525" width="12.875" style="3023" customWidth="1"/>
    <col min="11526" max="11526" width="47.5" style="3023" customWidth="1"/>
    <col min="11527" max="11527" width="13" style="3023" customWidth="1"/>
    <col min="11528" max="11529" width="8.875" style="3023"/>
    <col min="11530" max="11530" width="5.75" style="3023" customWidth="1"/>
    <col min="11531" max="11531" width="11.75" style="3023" customWidth="1"/>
    <col min="11532" max="11533" width="10.75" style="3023" customWidth="1"/>
    <col min="11534" max="11534" width="10" style="3023" customWidth="1"/>
    <col min="11535" max="11536" width="10.5" style="3023" bestFit="1" customWidth="1"/>
    <col min="11537" max="11537" width="10" style="3023" customWidth="1"/>
    <col min="11538" max="11538" width="10.125" style="3023" customWidth="1"/>
    <col min="11539" max="11539" width="10" style="3023" customWidth="1"/>
    <col min="11540" max="11540" width="26.125" style="3023" customWidth="1"/>
    <col min="11541" max="11776" width="8.875" style="3023"/>
    <col min="11777" max="11777" width="9.5" style="3023" customWidth="1"/>
    <col min="11778" max="11778" width="8.875" style="3023"/>
    <col min="11779" max="11781" width="12.875" style="3023" customWidth="1"/>
    <col min="11782" max="11782" width="47.5" style="3023" customWidth="1"/>
    <col min="11783" max="11783" width="13" style="3023" customWidth="1"/>
    <col min="11784" max="11785" width="8.875" style="3023"/>
    <col min="11786" max="11786" width="5.75" style="3023" customWidth="1"/>
    <col min="11787" max="11787" width="11.75" style="3023" customWidth="1"/>
    <col min="11788" max="11789" width="10.75" style="3023" customWidth="1"/>
    <col min="11790" max="11790" width="10" style="3023" customWidth="1"/>
    <col min="11791" max="11792" width="10.5" style="3023" bestFit="1" customWidth="1"/>
    <col min="11793" max="11793" width="10" style="3023" customWidth="1"/>
    <col min="11794" max="11794" width="10.125" style="3023" customWidth="1"/>
    <col min="11795" max="11795" width="10" style="3023" customWidth="1"/>
    <col min="11796" max="11796" width="26.125" style="3023" customWidth="1"/>
    <col min="11797" max="12032" width="8.875" style="3023"/>
    <col min="12033" max="12033" width="9.5" style="3023" customWidth="1"/>
    <col min="12034" max="12034" width="8.875" style="3023"/>
    <col min="12035" max="12037" width="12.875" style="3023" customWidth="1"/>
    <col min="12038" max="12038" width="47.5" style="3023" customWidth="1"/>
    <col min="12039" max="12039" width="13" style="3023" customWidth="1"/>
    <col min="12040" max="12041" width="8.875" style="3023"/>
    <col min="12042" max="12042" width="5.75" style="3023" customWidth="1"/>
    <col min="12043" max="12043" width="11.75" style="3023" customWidth="1"/>
    <col min="12044" max="12045" width="10.75" style="3023" customWidth="1"/>
    <col min="12046" max="12046" width="10" style="3023" customWidth="1"/>
    <col min="12047" max="12048" width="10.5" style="3023" bestFit="1" customWidth="1"/>
    <col min="12049" max="12049" width="10" style="3023" customWidth="1"/>
    <col min="12050" max="12050" width="10.125" style="3023" customWidth="1"/>
    <col min="12051" max="12051" width="10" style="3023" customWidth="1"/>
    <col min="12052" max="12052" width="26.125" style="3023" customWidth="1"/>
    <col min="12053" max="12288" width="8.875" style="3023"/>
    <col min="12289" max="12289" width="9.5" style="3023" customWidth="1"/>
    <col min="12290" max="12290" width="8.875" style="3023"/>
    <col min="12291" max="12293" width="12.875" style="3023" customWidth="1"/>
    <col min="12294" max="12294" width="47.5" style="3023" customWidth="1"/>
    <col min="12295" max="12295" width="13" style="3023" customWidth="1"/>
    <col min="12296" max="12297" width="8.875" style="3023"/>
    <col min="12298" max="12298" width="5.75" style="3023" customWidth="1"/>
    <col min="12299" max="12299" width="11.75" style="3023" customWidth="1"/>
    <col min="12300" max="12301" width="10.75" style="3023" customWidth="1"/>
    <col min="12302" max="12302" width="10" style="3023" customWidth="1"/>
    <col min="12303" max="12304" width="10.5" style="3023" bestFit="1" customWidth="1"/>
    <col min="12305" max="12305" width="10" style="3023" customWidth="1"/>
    <col min="12306" max="12306" width="10.125" style="3023" customWidth="1"/>
    <col min="12307" max="12307" width="10" style="3023" customWidth="1"/>
    <col min="12308" max="12308" width="26.125" style="3023" customWidth="1"/>
    <col min="12309" max="12544" width="8.875" style="3023"/>
    <col min="12545" max="12545" width="9.5" style="3023" customWidth="1"/>
    <col min="12546" max="12546" width="8.875" style="3023"/>
    <col min="12547" max="12549" width="12.875" style="3023" customWidth="1"/>
    <col min="12550" max="12550" width="47.5" style="3023" customWidth="1"/>
    <col min="12551" max="12551" width="13" style="3023" customWidth="1"/>
    <col min="12552" max="12553" width="8.875" style="3023"/>
    <col min="12554" max="12554" width="5.75" style="3023" customWidth="1"/>
    <col min="12555" max="12555" width="11.75" style="3023" customWidth="1"/>
    <col min="12556" max="12557" width="10.75" style="3023" customWidth="1"/>
    <col min="12558" max="12558" width="10" style="3023" customWidth="1"/>
    <col min="12559" max="12560" width="10.5" style="3023" bestFit="1" customWidth="1"/>
    <col min="12561" max="12561" width="10" style="3023" customWidth="1"/>
    <col min="12562" max="12562" width="10.125" style="3023" customWidth="1"/>
    <col min="12563" max="12563" width="10" style="3023" customWidth="1"/>
    <col min="12564" max="12564" width="26.125" style="3023" customWidth="1"/>
    <col min="12565" max="12800" width="8.875" style="3023"/>
    <col min="12801" max="12801" width="9.5" style="3023" customWidth="1"/>
    <col min="12802" max="12802" width="8.875" style="3023"/>
    <col min="12803" max="12805" width="12.875" style="3023" customWidth="1"/>
    <col min="12806" max="12806" width="47.5" style="3023" customWidth="1"/>
    <col min="12807" max="12807" width="13" style="3023" customWidth="1"/>
    <col min="12808" max="12809" width="8.875" style="3023"/>
    <col min="12810" max="12810" width="5.75" style="3023" customWidth="1"/>
    <col min="12811" max="12811" width="11.75" style="3023" customWidth="1"/>
    <col min="12812" max="12813" width="10.75" style="3023" customWidth="1"/>
    <col min="12814" max="12814" width="10" style="3023" customWidth="1"/>
    <col min="12815" max="12816" width="10.5" style="3023" bestFit="1" customWidth="1"/>
    <col min="12817" max="12817" width="10" style="3023" customWidth="1"/>
    <col min="12818" max="12818" width="10.125" style="3023" customWidth="1"/>
    <col min="12819" max="12819" width="10" style="3023" customWidth="1"/>
    <col min="12820" max="12820" width="26.125" style="3023" customWidth="1"/>
    <col min="12821" max="13056" width="8.875" style="3023"/>
    <col min="13057" max="13057" width="9.5" style="3023" customWidth="1"/>
    <col min="13058" max="13058" width="8.875" style="3023"/>
    <col min="13059" max="13061" width="12.875" style="3023" customWidth="1"/>
    <col min="13062" max="13062" width="47.5" style="3023" customWidth="1"/>
    <col min="13063" max="13063" width="13" style="3023" customWidth="1"/>
    <col min="13064" max="13065" width="8.875" style="3023"/>
    <col min="13066" max="13066" width="5.75" style="3023" customWidth="1"/>
    <col min="13067" max="13067" width="11.75" style="3023" customWidth="1"/>
    <col min="13068" max="13069" width="10.75" style="3023" customWidth="1"/>
    <col min="13070" max="13070" width="10" style="3023" customWidth="1"/>
    <col min="13071" max="13072" width="10.5" style="3023" bestFit="1" customWidth="1"/>
    <col min="13073" max="13073" width="10" style="3023" customWidth="1"/>
    <col min="13074" max="13074" width="10.125" style="3023" customWidth="1"/>
    <col min="13075" max="13075" width="10" style="3023" customWidth="1"/>
    <col min="13076" max="13076" width="26.125" style="3023" customWidth="1"/>
    <col min="13077" max="13312" width="8.875" style="3023"/>
    <col min="13313" max="13313" width="9.5" style="3023" customWidth="1"/>
    <col min="13314" max="13314" width="8.875" style="3023"/>
    <col min="13315" max="13317" width="12.875" style="3023" customWidth="1"/>
    <col min="13318" max="13318" width="47.5" style="3023" customWidth="1"/>
    <col min="13319" max="13319" width="13" style="3023" customWidth="1"/>
    <col min="13320" max="13321" width="8.875" style="3023"/>
    <col min="13322" max="13322" width="5.75" style="3023" customWidth="1"/>
    <col min="13323" max="13323" width="11.75" style="3023" customWidth="1"/>
    <col min="13324" max="13325" width="10.75" style="3023" customWidth="1"/>
    <col min="13326" max="13326" width="10" style="3023" customWidth="1"/>
    <col min="13327" max="13328" width="10.5" style="3023" bestFit="1" customWidth="1"/>
    <col min="13329" max="13329" width="10" style="3023" customWidth="1"/>
    <col min="13330" max="13330" width="10.125" style="3023" customWidth="1"/>
    <col min="13331" max="13331" width="10" style="3023" customWidth="1"/>
    <col min="13332" max="13332" width="26.125" style="3023" customWidth="1"/>
    <col min="13333" max="13568" width="8.875" style="3023"/>
    <col min="13569" max="13569" width="9.5" style="3023" customWidth="1"/>
    <col min="13570" max="13570" width="8.875" style="3023"/>
    <col min="13571" max="13573" width="12.875" style="3023" customWidth="1"/>
    <col min="13574" max="13574" width="47.5" style="3023" customWidth="1"/>
    <col min="13575" max="13575" width="13" style="3023" customWidth="1"/>
    <col min="13576" max="13577" width="8.875" style="3023"/>
    <col min="13578" max="13578" width="5.75" style="3023" customWidth="1"/>
    <col min="13579" max="13579" width="11.75" style="3023" customWidth="1"/>
    <col min="13580" max="13581" width="10.75" style="3023" customWidth="1"/>
    <col min="13582" max="13582" width="10" style="3023" customWidth="1"/>
    <col min="13583" max="13584" width="10.5" style="3023" bestFit="1" customWidth="1"/>
    <col min="13585" max="13585" width="10" style="3023" customWidth="1"/>
    <col min="13586" max="13586" width="10.125" style="3023" customWidth="1"/>
    <col min="13587" max="13587" width="10" style="3023" customWidth="1"/>
    <col min="13588" max="13588" width="26.125" style="3023" customWidth="1"/>
    <col min="13589" max="13824" width="8.875" style="3023"/>
    <col min="13825" max="13825" width="9.5" style="3023" customWidth="1"/>
    <col min="13826" max="13826" width="8.875" style="3023"/>
    <col min="13827" max="13829" width="12.875" style="3023" customWidth="1"/>
    <col min="13830" max="13830" width="47.5" style="3023" customWidth="1"/>
    <col min="13831" max="13831" width="13" style="3023" customWidth="1"/>
    <col min="13832" max="13833" width="8.875" style="3023"/>
    <col min="13834" max="13834" width="5.75" style="3023" customWidth="1"/>
    <col min="13835" max="13835" width="11.75" style="3023" customWidth="1"/>
    <col min="13836" max="13837" width="10.75" style="3023" customWidth="1"/>
    <col min="13838" max="13838" width="10" style="3023" customWidth="1"/>
    <col min="13839" max="13840" width="10.5" style="3023" bestFit="1" customWidth="1"/>
    <col min="13841" max="13841" width="10" style="3023" customWidth="1"/>
    <col min="13842" max="13842" width="10.125" style="3023" customWidth="1"/>
    <col min="13843" max="13843" width="10" style="3023" customWidth="1"/>
    <col min="13844" max="13844" width="26.125" style="3023" customWidth="1"/>
    <col min="13845" max="14080" width="8.875" style="3023"/>
    <col min="14081" max="14081" width="9.5" style="3023" customWidth="1"/>
    <col min="14082" max="14082" width="8.875" style="3023"/>
    <col min="14083" max="14085" width="12.875" style="3023" customWidth="1"/>
    <col min="14086" max="14086" width="47.5" style="3023" customWidth="1"/>
    <col min="14087" max="14087" width="13" style="3023" customWidth="1"/>
    <col min="14088" max="14089" width="8.875" style="3023"/>
    <col min="14090" max="14090" width="5.75" style="3023" customWidth="1"/>
    <col min="14091" max="14091" width="11.75" style="3023" customWidth="1"/>
    <col min="14092" max="14093" width="10.75" style="3023" customWidth="1"/>
    <col min="14094" max="14094" width="10" style="3023" customWidth="1"/>
    <col min="14095" max="14096" width="10.5" style="3023" bestFit="1" customWidth="1"/>
    <col min="14097" max="14097" width="10" style="3023" customWidth="1"/>
    <col min="14098" max="14098" width="10.125" style="3023" customWidth="1"/>
    <col min="14099" max="14099" width="10" style="3023" customWidth="1"/>
    <col min="14100" max="14100" width="26.125" style="3023" customWidth="1"/>
    <col min="14101" max="14336" width="8.875" style="3023"/>
    <col min="14337" max="14337" width="9.5" style="3023" customWidth="1"/>
    <col min="14338" max="14338" width="8.875" style="3023"/>
    <col min="14339" max="14341" width="12.875" style="3023" customWidth="1"/>
    <col min="14342" max="14342" width="47.5" style="3023" customWidth="1"/>
    <col min="14343" max="14343" width="13" style="3023" customWidth="1"/>
    <col min="14344" max="14345" width="8.875" style="3023"/>
    <col min="14346" max="14346" width="5.75" style="3023" customWidth="1"/>
    <col min="14347" max="14347" width="11.75" style="3023" customWidth="1"/>
    <col min="14348" max="14349" width="10.75" style="3023" customWidth="1"/>
    <col min="14350" max="14350" width="10" style="3023" customWidth="1"/>
    <col min="14351" max="14352" width="10.5" style="3023" bestFit="1" customWidth="1"/>
    <col min="14353" max="14353" width="10" style="3023" customWidth="1"/>
    <col min="14354" max="14354" width="10.125" style="3023" customWidth="1"/>
    <col min="14355" max="14355" width="10" style="3023" customWidth="1"/>
    <col min="14356" max="14356" width="26.125" style="3023" customWidth="1"/>
    <col min="14357" max="14592" width="8.875" style="3023"/>
    <col min="14593" max="14593" width="9.5" style="3023" customWidth="1"/>
    <col min="14594" max="14594" width="8.875" style="3023"/>
    <col min="14595" max="14597" width="12.875" style="3023" customWidth="1"/>
    <col min="14598" max="14598" width="47.5" style="3023" customWidth="1"/>
    <col min="14599" max="14599" width="13" style="3023" customWidth="1"/>
    <col min="14600" max="14601" width="8.875" style="3023"/>
    <col min="14602" max="14602" width="5.75" style="3023" customWidth="1"/>
    <col min="14603" max="14603" width="11.75" style="3023" customWidth="1"/>
    <col min="14604" max="14605" width="10.75" style="3023" customWidth="1"/>
    <col min="14606" max="14606" width="10" style="3023" customWidth="1"/>
    <col min="14607" max="14608" width="10.5" style="3023" bestFit="1" customWidth="1"/>
    <col min="14609" max="14609" width="10" style="3023" customWidth="1"/>
    <col min="14610" max="14610" width="10.125" style="3023" customWidth="1"/>
    <col min="14611" max="14611" width="10" style="3023" customWidth="1"/>
    <col min="14612" max="14612" width="26.125" style="3023" customWidth="1"/>
    <col min="14613" max="14848" width="8.875" style="3023"/>
    <col min="14849" max="14849" width="9.5" style="3023" customWidth="1"/>
    <col min="14850" max="14850" width="8.875" style="3023"/>
    <col min="14851" max="14853" width="12.875" style="3023" customWidth="1"/>
    <col min="14854" max="14854" width="47.5" style="3023" customWidth="1"/>
    <col min="14855" max="14855" width="13" style="3023" customWidth="1"/>
    <col min="14856" max="14857" width="8.875" style="3023"/>
    <col min="14858" max="14858" width="5.75" style="3023" customWidth="1"/>
    <col min="14859" max="14859" width="11.75" style="3023" customWidth="1"/>
    <col min="14860" max="14861" width="10.75" style="3023" customWidth="1"/>
    <col min="14862" max="14862" width="10" style="3023" customWidth="1"/>
    <col min="14863" max="14864" width="10.5" style="3023" bestFit="1" customWidth="1"/>
    <col min="14865" max="14865" width="10" style="3023" customWidth="1"/>
    <col min="14866" max="14866" width="10.125" style="3023" customWidth="1"/>
    <col min="14867" max="14867" width="10" style="3023" customWidth="1"/>
    <col min="14868" max="14868" width="26.125" style="3023" customWidth="1"/>
    <col min="14869" max="15104" width="8.875" style="3023"/>
    <col min="15105" max="15105" width="9.5" style="3023" customWidth="1"/>
    <col min="15106" max="15106" width="8.875" style="3023"/>
    <col min="15107" max="15109" width="12.875" style="3023" customWidth="1"/>
    <col min="15110" max="15110" width="47.5" style="3023" customWidth="1"/>
    <col min="15111" max="15111" width="13" style="3023" customWidth="1"/>
    <col min="15112" max="15113" width="8.875" style="3023"/>
    <col min="15114" max="15114" width="5.75" style="3023" customWidth="1"/>
    <col min="15115" max="15115" width="11.75" style="3023" customWidth="1"/>
    <col min="15116" max="15117" width="10.75" style="3023" customWidth="1"/>
    <col min="15118" max="15118" width="10" style="3023" customWidth="1"/>
    <col min="15119" max="15120" width="10.5" style="3023" bestFit="1" customWidth="1"/>
    <col min="15121" max="15121" width="10" style="3023" customWidth="1"/>
    <col min="15122" max="15122" width="10.125" style="3023" customWidth="1"/>
    <col min="15123" max="15123" width="10" style="3023" customWidth="1"/>
    <col min="15124" max="15124" width="26.125" style="3023" customWidth="1"/>
    <col min="15125" max="15360" width="8.875" style="3023"/>
    <col min="15361" max="15361" width="9.5" style="3023" customWidth="1"/>
    <col min="15362" max="15362" width="8.875" style="3023"/>
    <col min="15363" max="15365" width="12.875" style="3023" customWidth="1"/>
    <col min="15366" max="15366" width="47.5" style="3023" customWidth="1"/>
    <col min="15367" max="15367" width="13" style="3023" customWidth="1"/>
    <col min="15368" max="15369" width="8.875" style="3023"/>
    <col min="15370" max="15370" width="5.75" style="3023" customWidth="1"/>
    <col min="15371" max="15371" width="11.75" style="3023" customWidth="1"/>
    <col min="15372" max="15373" width="10.75" style="3023" customWidth="1"/>
    <col min="15374" max="15374" width="10" style="3023" customWidth="1"/>
    <col min="15375" max="15376" width="10.5" style="3023" bestFit="1" customWidth="1"/>
    <col min="15377" max="15377" width="10" style="3023" customWidth="1"/>
    <col min="15378" max="15378" width="10.125" style="3023" customWidth="1"/>
    <col min="15379" max="15379" width="10" style="3023" customWidth="1"/>
    <col min="15380" max="15380" width="26.125" style="3023" customWidth="1"/>
    <col min="15381" max="15616" width="8.875" style="3023"/>
    <col min="15617" max="15617" width="9.5" style="3023" customWidth="1"/>
    <col min="15618" max="15618" width="8.875" style="3023"/>
    <col min="15619" max="15621" width="12.875" style="3023" customWidth="1"/>
    <col min="15622" max="15622" width="47.5" style="3023" customWidth="1"/>
    <col min="15623" max="15623" width="13" style="3023" customWidth="1"/>
    <col min="15624" max="15625" width="8.875" style="3023"/>
    <col min="15626" max="15626" width="5.75" style="3023" customWidth="1"/>
    <col min="15627" max="15627" width="11.75" style="3023" customWidth="1"/>
    <col min="15628" max="15629" width="10.75" style="3023" customWidth="1"/>
    <col min="15630" max="15630" width="10" style="3023" customWidth="1"/>
    <col min="15631" max="15632" width="10.5" style="3023" bestFit="1" customWidth="1"/>
    <col min="15633" max="15633" width="10" style="3023" customWidth="1"/>
    <col min="15634" max="15634" width="10.125" style="3023" customWidth="1"/>
    <col min="15635" max="15635" width="10" style="3023" customWidth="1"/>
    <col min="15636" max="15636" width="26.125" style="3023" customWidth="1"/>
    <col min="15637" max="15872" width="8.875" style="3023"/>
    <col min="15873" max="15873" width="9.5" style="3023" customWidth="1"/>
    <col min="15874" max="15874" width="8.875" style="3023"/>
    <col min="15875" max="15877" width="12.875" style="3023" customWidth="1"/>
    <col min="15878" max="15878" width="47.5" style="3023" customWidth="1"/>
    <col min="15879" max="15879" width="13" style="3023" customWidth="1"/>
    <col min="15880" max="15881" width="8.875" style="3023"/>
    <col min="15882" max="15882" width="5.75" style="3023" customWidth="1"/>
    <col min="15883" max="15883" width="11.75" style="3023" customWidth="1"/>
    <col min="15884" max="15885" width="10.75" style="3023" customWidth="1"/>
    <col min="15886" max="15886" width="10" style="3023" customWidth="1"/>
    <col min="15887" max="15888" width="10.5" style="3023" bestFit="1" customWidth="1"/>
    <col min="15889" max="15889" width="10" style="3023" customWidth="1"/>
    <col min="15890" max="15890" width="10.125" style="3023" customWidth="1"/>
    <col min="15891" max="15891" width="10" style="3023" customWidth="1"/>
    <col min="15892" max="15892" width="26.125" style="3023" customWidth="1"/>
    <col min="15893" max="16128" width="8.875" style="3023"/>
    <col min="16129" max="16129" width="9.5" style="3023" customWidth="1"/>
    <col min="16130" max="16130" width="8.875" style="3023"/>
    <col min="16131" max="16133" width="12.875" style="3023" customWidth="1"/>
    <col min="16134" max="16134" width="47.5" style="3023" customWidth="1"/>
    <col min="16135" max="16135" width="13" style="3023" customWidth="1"/>
    <col min="16136" max="16137" width="8.875" style="3023"/>
    <col min="16138" max="16138" width="5.75" style="3023" customWidth="1"/>
    <col min="16139" max="16139" width="11.75" style="3023" customWidth="1"/>
    <col min="16140" max="16141" width="10.75" style="3023" customWidth="1"/>
    <col min="16142" max="16142" width="10" style="3023" customWidth="1"/>
    <col min="16143" max="16144" width="10.5" style="3023" bestFit="1" customWidth="1"/>
    <col min="16145" max="16145" width="10" style="3023" customWidth="1"/>
    <col min="16146" max="16146" width="10.125" style="3023" customWidth="1"/>
    <col min="16147" max="16147" width="10" style="3023" customWidth="1"/>
    <col min="16148" max="16148" width="26.125" style="3023" customWidth="1"/>
    <col min="16149" max="16384" width="8.875" style="3023"/>
  </cols>
  <sheetData>
    <row r="1" spans="1:22" ht="21" customHeight="1">
      <c r="A1" s="3012" t="s">
        <v>2940</v>
      </c>
      <c r="B1" s="3013"/>
      <c r="C1" s="3025"/>
      <c r="D1" s="3025"/>
      <c r="E1" s="3014"/>
      <c r="F1" s="3015"/>
      <c r="G1" s="3016"/>
      <c r="J1" s="3019" t="s">
        <v>2819</v>
      </c>
      <c r="K1" s="3020"/>
      <c r="L1" s="3020"/>
      <c r="M1" s="3020"/>
      <c r="N1" s="3020"/>
      <c r="O1" s="3020"/>
      <c r="P1" s="3020"/>
      <c r="Q1" s="3020"/>
      <c r="R1" s="3021"/>
      <c r="S1" s="3022"/>
      <c r="T1" s="3022"/>
      <c r="U1" s="3022"/>
    </row>
    <row r="2" spans="1:22" s="3034" customFormat="1" ht="13.15" customHeight="1">
      <c r="A2" s="1520" t="s">
        <v>2820</v>
      </c>
      <c r="B2" s="3024" t="e">
        <f>C40</f>
        <v>#DIV/0!</v>
      </c>
      <c r="C2" s="3025" t="s">
        <v>2821</v>
      </c>
      <c r="D2" s="3025"/>
      <c r="E2" s="3026"/>
      <c r="F2" s="3027"/>
      <c r="G2" s="3028"/>
      <c r="H2" s="3029"/>
      <c r="I2" s="3030"/>
      <c r="J2" s="3472" t="s">
        <v>2822</v>
      </c>
      <c r="K2" s="3473"/>
      <c r="L2" s="3031" t="s">
        <v>2823</v>
      </c>
      <c r="M2" s="3031" t="s">
        <v>2824</v>
      </c>
      <c r="N2" s="3031" t="s">
        <v>2825</v>
      </c>
      <c r="O2" s="3031" t="s">
        <v>2826</v>
      </c>
      <c r="P2" s="3031" t="s">
        <v>2827</v>
      </c>
      <c r="Q2" s="3032" t="s">
        <v>2828</v>
      </c>
      <c r="R2" s="3033" t="s">
        <v>2829</v>
      </c>
      <c r="S2" s="3022"/>
      <c r="T2" s="3022"/>
      <c r="U2" s="3022"/>
      <c r="V2" s="3030"/>
    </row>
    <row r="3" spans="1:22" s="3034" customFormat="1" ht="13.15" customHeight="1">
      <c r="A3" s="3035" t="s">
        <v>2830</v>
      </c>
      <c r="B3" s="3036" t="e">
        <f>ROUND(B2*10000/B4,0)</f>
        <v>#DIV/0!</v>
      </c>
      <c r="C3" s="3025" t="s">
        <v>2831</v>
      </c>
      <c r="D3" s="3025"/>
      <c r="E3" s="3026"/>
      <c r="F3" s="3027"/>
      <c r="G3" s="3028"/>
      <c r="H3" s="3029"/>
      <c r="I3" s="3030"/>
      <c r="J3" s="3474" t="s">
        <v>2832</v>
      </c>
      <c r="K3" s="3475"/>
      <c r="L3" s="3037"/>
      <c r="M3" s="3037"/>
      <c r="N3" s="3037"/>
      <c r="O3" s="3037"/>
      <c r="P3" s="3037"/>
      <c r="Q3" s="3038"/>
      <c r="R3" s="3039">
        <f>SUM(L3:Q3)</f>
        <v>0</v>
      </c>
      <c r="S3" s="3022"/>
      <c r="T3" s="3022"/>
      <c r="U3" s="3022"/>
      <c r="V3" s="3030"/>
    </row>
    <row r="4" spans="1:22" s="3034" customFormat="1" ht="13.15" customHeight="1">
      <c r="A4" s="3040" t="s">
        <v>2833</v>
      </c>
      <c r="B4" s="3041"/>
      <c r="C4" s="3025"/>
      <c r="D4" s="3025"/>
      <c r="E4" s="3026"/>
      <c r="F4" s="3027"/>
      <c r="G4" s="3028"/>
      <c r="H4" s="3029"/>
      <c r="I4" s="3030"/>
      <c r="J4" s="3474" t="s">
        <v>2834</v>
      </c>
      <c r="K4" s="3475"/>
      <c r="L4" s="3042"/>
      <c r="M4" s="3042"/>
      <c r="N4" s="3042"/>
      <c r="O4" s="3042"/>
      <c r="P4" s="3042"/>
      <c r="Q4" s="3043"/>
      <c r="R4" s="3044">
        <f>SUM(L4:Q4)</f>
        <v>0</v>
      </c>
      <c r="S4" s="3022"/>
      <c r="T4" s="3022"/>
      <c r="U4" s="3022"/>
      <c r="V4" s="3030"/>
    </row>
    <row r="5" spans="1:22" s="3034" customFormat="1" ht="13.15" customHeight="1" thickBot="1">
      <c r="A5" s="3045" t="s">
        <v>2835</v>
      </c>
      <c r="B5" s="3046"/>
      <c r="C5" s="3025"/>
      <c r="D5" s="3047"/>
      <c r="E5" s="3027"/>
      <c r="F5" s="3027"/>
      <c r="G5" s="3028"/>
      <c r="H5" s="3029"/>
      <c r="I5" s="3030"/>
      <c r="J5" s="3048" t="s">
        <v>2836</v>
      </c>
      <c r="K5" s="3049"/>
      <c r="L5" s="3049"/>
      <c r="M5" s="3050"/>
      <c r="N5" s="3050"/>
      <c r="O5" s="3050"/>
      <c r="P5" s="3050"/>
      <c r="Q5" s="3050"/>
      <c r="R5" s="3033">
        <f>SUM(R14,R19,R24,R25,R27,R28)</f>
        <v>0</v>
      </c>
      <c r="S5" s="3022"/>
      <c r="T5" s="3022" t="s">
        <v>2837</v>
      </c>
      <c r="U5" s="3022" t="e">
        <f>ROUND(R5*10000/365/R3,1)</f>
        <v>#DIV/0!</v>
      </c>
      <c r="V5" s="3030"/>
    </row>
    <row r="6" spans="1:22" s="3034" customFormat="1" ht="13.15" customHeight="1" thickBot="1">
      <c r="A6" s="3476" t="s">
        <v>2838</v>
      </c>
      <c r="B6" s="3477"/>
      <c r="C6" s="3478"/>
      <c r="D6" s="3051"/>
      <c r="E6" s="3052"/>
      <c r="F6" s="3053"/>
      <c r="G6" s="3054"/>
      <c r="H6" s="3029"/>
      <c r="I6" s="3030"/>
      <c r="J6" s="3479">
        <v>1</v>
      </c>
      <c r="K6" s="3480" t="s">
        <v>2839</v>
      </c>
      <c r="L6" s="3055" t="s">
        <v>2840</v>
      </c>
      <c r="M6" s="3056" t="s">
        <v>2841</v>
      </c>
      <c r="N6" s="3056" t="s">
        <v>2842</v>
      </c>
      <c r="O6" s="3056" t="s">
        <v>2843</v>
      </c>
      <c r="P6" s="3056" t="s">
        <v>2844</v>
      </c>
      <c r="Q6" s="3056" t="s">
        <v>2845</v>
      </c>
      <c r="R6" s="3039" t="s">
        <v>2846</v>
      </c>
      <c r="S6" s="3022"/>
      <c r="T6" s="3022" t="s">
        <v>2847</v>
      </c>
      <c r="U6" s="3022"/>
      <c r="V6" s="3030"/>
    </row>
    <row r="7" spans="1:22" s="3034" customFormat="1" ht="13.15" customHeight="1">
      <c r="A7" s="3057" t="s">
        <v>2848</v>
      </c>
      <c r="B7" s="3058"/>
      <c r="C7" s="3059"/>
      <c r="D7" s="3060">
        <f>SUM(D9,D10,D11,D17,0)</f>
        <v>0</v>
      </c>
      <c r="E7" s="3061" t="e">
        <f>E9+E10+E11+E17</f>
        <v>#DIV/0!</v>
      </c>
      <c r="F7" s="3062"/>
      <c r="G7" s="3063"/>
      <c r="H7" s="3029"/>
      <c r="I7" s="3030"/>
      <c r="J7" s="3479"/>
      <c r="K7" s="3481"/>
      <c r="L7" s="3064" t="s">
        <v>2849</v>
      </c>
      <c r="M7" s="3065"/>
      <c r="N7" s="3041"/>
      <c r="O7" s="3066"/>
      <c r="P7" s="3066"/>
      <c r="Q7" s="3067">
        <v>365</v>
      </c>
      <c r="R7" s="3068">
        <f>ROUND(M7*N7*O7*P7*Q7/10000,0)</f>
        <v>0</v>
      </c>
      <c r="S7" s="3022"/>
      <c r="T7" s="3022" t="s">
        <v>2850</v>
      </c>
      <c r="U7" s="3022"/>
      <c r="V7" s="3030"/>
    </row>
    <row r="8" spans="1:22" s="3034" customFormat="1" ht="13.15" customHeight="1">
      <c r="A8" s="3069" t="s">
        <v>2851</v>
      </c>
      <c r="B8" s="3483" t="s">
        <v>2852</v>
      </c>
      <c r="C8" s="3484"/>
      <c r="D8" s="3070" t="s">
        <v>2853</v>
      </c>
      <c r="E8" s="3071" t="s">
        <v>2854</v>
      </c>
      <c r="F8" s="3072" t="s">
        <v>2855</v>
      </c>
      <c r="G8" s="3073"/>
      <c r="H8" s="3029"/>
      <c r="I8" s="3030"/>
      <c r="J8" s="3479"/>
      <c r="K8" s="3481"/>
      <c r="L8" s="3064" t="s">
        <v>2856</v>
      </c>
      <c r="M8" s="3065"/>
      <c r="N8" s="3041"/>
      <c r="O8" s="3066"/>
      <c r="P8" s="3066"/>
      <c r="Q8" s="3067">
        <v>365</v>
      </c>
      <c r="R8" s="3068">
        <f t="shared" ref="R8:R13" si="0">ROUND(M8*N8*O8*P8*Q8/10000,0)</f>
        <v>0</v>
      </c>
      <c r="S8" s="3022"/>
      <c r="T8" s="3022" t="s">
        <v>2857</v>
      </c>
      <c r="U8" s="3022"/>
      <c r="V8" s="3030"/>
    </row>
    <row r="9" spans="1:22" s="3034" customFormat="1" ht="13.15" customHeight="1">
      <c r="A9" s="3069">
        <v>1</v>
      </c>
      <c r="B9" s="3483" t="s">
        <v>2858</v>
      </c>
      <c r="C9" s="3484"/>
      <c r="D9" s="3070">
        <f>ROUND(D6*E9,0)</f>
        <v>0</v>
      </c>
      <c r="E9" s="3074"/>
      <c r="F9" s="3075" t="s">
        <v>2859</v>
      </c>
      <c r="G9" s="3054"/>
      <c r="H9" s="3029"/>
      <c r="I9" s="3030"/>
      <c r="J9" s="3479"/>
      <c r="K9" s="3481"/>
      <c r="L9" s="3064" t="s">
        <v>2860</v>
      </c>
      <c r="M9" s="3065"/>
      <c r="N9" s="3041"/>
      <c r="O9" s="3066"/>
      <c r="P9" s="3066"/>
      <c r="Q9" s="3067">
        <v>365</v>
      </c>
      <c r="R9" s="3068">
        <f t="shared" si="0"/>
        <v>0</v>
      </c>
      <c r="S9" s="3022"/>
      <c r="T9" s="3022"/>
      <c r="U9" s="3022"/>
      <c r="V9" s="3030"/>
    </row>
    <row r="10" spans="1:22" s="3034" customFormat="1" ht="13.15" customHeight="1">
      <c r="A10" s="3069">
        <v>2</v>
      </c>
      <c r="B10" s="3483" t="s">
        <v>2861</v>
      </c>
      <c r="C10" s="3484"/>
      <c r="D10" s="3070">
        <f>ROUND(D6*E10,0)</f>
        <v>0</v>
      </c>
      <c r="E10" s="3074"/>
      <c r="F10" s="3075" t="s">
        <v>2862</v>
      </c>
      <c r="G10" s="3054"/>
      <c r="H10" s="3029"/>
      <c r="I10" s="3030"/>
      <c r="J10" s="3479"/>
      <c r="K10" s="3481"/>
      <c r="L10" s="3064" t="s">
        <v>2863</v>
      </c>
      <c r="M10" s="3065"/>
      <c r="N10" s="3041"/>
      <c r="O10" s="3066"/>
      <c r="P10" s="3066"/>
      <c r="Q10" s="3067">
        <v>365</v>
      </c>
      <c r="R10" s="3068">
        <f t="shared" si="0"/>
        <v>0</v>
      </c>
      <c r="S10" s="3022"/>
      <c r="T10" s="3022"/>
      <c r="U10" s="3022"/>
      <c r="V10" s="3030"/>
    </row>
    <row r="11" spans="1:22" s="3034" customFormat="1" ht="13.15" customHeight="1">
      <c r="A11" s="3069">
        <v>3</v>
      </c>
      <c r="B11" s="3483" t="s">
        <v>2864</v>
      </c>
      <c r="C11" s="3484"/>
      <c r="D11" s="3070">
        <f>D12+D14+D15+D16</f>
        <v>0</v>
      </c>
      <c r="E11" s="3076" t="e">
        <f>D11/D6</f>
        <v>#DIV/0!</v>
      </c>
      <c r="F11" s="3072"/>
      <c r="G11" s="3073"/>
      <c r="H11" s="3029"/>
      <c r="I11" s="3030"/>
      <c r="J11" s="3479"/>
      <c r="K11" s="3481"/>
      <c r="L11" s="3064" t="s">
        <v>2865</v>
      </c>
      <c r="M11" s="3065"/>
      <c r="N11" s="3041"/>
      <c r="O11" s="3066"/>
      <c r="P11" s="3066"/>
      <c r="Q11" s="3067">
        <v>365</v>
      </c>
      <c r="R11" s="3068">
        <f t="shared" si="0"/>
        <v>0</v>
      </c>
      <c r="S11" s="3022"/>
      <c r="T11" s="3022"/>
      <c r="U11" s="3022"/>
      <c r="V11" s="3030"/>
    </row>
    <row r="12" spans="1:22" s="3034" customFormat="1" ht="13.15" customHeight="1">
      <c r="A12" s="3077" t="s">
        <v>2866</v>
      </c>
      <c r="B12" s="3485" t="s">
        <v>2867</v>
      </c>
      <c r="C12" s="3486"/>
      <c r="D12" s="3078">
        <f>ROUND(D13*1.2%*(1-30%),0)</f>
        <v>0</v>
      </c>
      <c r="E12" s="3079">
        <v>1.2E-2</v>
      </c>
      <c r="F12" s="3072" t="s">
        <v>2868</v>
      </c>
      <c r="G12" s="3073"/>
      <c r="H12" s="3029"/>
      <c r="I12" s="3030"/>
      <c r="J12" s="3479"/>
      <c r="K12" s="3481"/>
      <c r="L12" s="3064" t="s">
        <v>2869</v>
      </c>
      <c r="M12" s="3065"/>
      <c r="N12" s="3041"/>
      <c r="O12" s="3066"/>
      <c r="P12" s="3066"/>
      <c r="Q12" s="3067">
        <v>365</v>
      </c>
      <c r="R12" s="3068">
        <f t="shared" si="0"/>
        <v>0</v>
      </c>
      <c r="S12" s="3022"/>
      <c r="T12" s="3022"/>
      <c r="U12" s="3022"/>
      <c r="V12" s="3030"/>
    </row>
    <row r="13" spans="1:22" s="3034" customFormat="1" ht="13.15" customHeight="1">
      <c r="A13" s="3077"/>
      <c r="B13" s="3080"/>
      <c r="C13" s="3081" t="s">
        <v>2870</v>
      </c>
      <c r="D13" s="3082"/>
      <c r="E13" s="3083"/>
      <c r="F13" s="3072"/>
      <c r="G13" s="3073"/>
      <c r="H13" s="3029"/>
      <c r="I13" s="3030"/>
      <c r="J13" s="3479"/>
      <c r="K13" s="3481"/>
      <c r="L13" s="3064" t="s">
        <v>2871</v>
      </c>
      <c r="M13" s="3065"/>
      <c r="N13" s="3041"/>
      <c r="O13" s="3066"/>
      <c r="P13" s="3066"/>
      <c r="Q13" s="3067">
        <v>365</v>
      </c>
      <c r="R13" s="3068">
        <f t="shared" si="0"/>
        <v>0</v>
      </c>
      <c r="S13" s="3022"/>
      <c r="T13" s="3022"/>
      <c r="U13" s="3022"/>
      <c r="V13" s="3030"/>
    </row>
    <row r="14" spans="1:22" s="3034" customFormat="1" ht="13.15" customHeight="1">
      <c r="A14" s="3077" t="s">
        <v>2872</v>
      </c>
      <c r="B14" s="3485" t="s">
        <v>2873</v>
      </c>
      <c r="C14" s="3486"/>
      <c r="D14" s="3078">
        <f>ROUND(E14*B5/10000,0)</f>
        <v>0</v>
      </c>
      <c r="E14" s="3067"/>
      <c r="F14" s="3072" t="s">
        <v>2874</v>
      </c>
      <c r="G14" s="3073"/>
      <c r="H14" s="3029"/>
      <c r="I14" s="3030"/>
      <c r="J14" s="3479"/>
      <c r="K14" s="3482"/>
      <c r="L14" s="3084" t="s">
        <v>2875</v>
      </c>
      <c r="M14" s="3085">
        <f>SUM(M7:M13)</f>
        <v>0</v>
      </c>
      <c r="N14" s="3085" t="e">
        <f>ROUND((N7*M7+N8*M8+N9*M9+N10*M10+N11*M11+N12*M12+N13*M13)/M14,0)</f>
        <v>#DIV/0!</v>
      </c>
      <c r="O14" s="3086"/>
      <c r="P14" s="3086"/>
      <c r="Q14" s="3087"/>
      <c r="R14" s="3033">
        <f>SUM(R7:R13)</f>
        <v>0</v>
      </c>
      <c r="S14" s="3022"/>
      <c r="T14" s="3022"/>
      <c r="U14" s="3022"/>
      <c r="V14" s="3030"/>
    </row>
    <row r="15" spans="1:22" s="3034" customFormat="1" ht="13.15" customHeight="1">
      <c r="A15" s="3077" t="s">
        <v>2876</v>
      </c>
      <c r="B15" s="3485" t="s">
        <v>2877</v>
      </c>
      <c r="C15" s="3486"/>
      <c r="D15" s="3078">
        <f>ROUND(D6*E15,0)</f>
        <v>0</v>
      </c>
      <c r="E15" s="3079">
        <v>5.5E-2</v>
      </c>
      <c r="F15" s="3072" t="s">
        <v>2878</v>
      </c>
      <c r="G15" s="3054"/>
      <c r="H15" s="3029"/>
      <c r="I15" s="3030"/>
      <c r="J15" s="3479">
        <v>2</v>
      </c>
      <c r="K15" s="3480" t="s">
        <v>2879</v>
      </c>
      <c r="L15" s="3064" t="s">
        <v>2880</v>
      </c>
      <c r="M15" s="3065" t="s">
        <v>2881</v>
      </c>
      <c r="N15" s="3065" t="s">
        <v>2882</v>
      </c>
      <c r="O15" s="3066" t="s">
        <v>2883</v>
      </c>
      <c r="P15" s="3066" t="s">
        <v>2845</v>
      </c>
      <c r="Q15" s="3041" t="s">
        <v>2884</v>
      </c>
      <c r="R15" s="3088" t="s">
        <v>2846</v>
      </c>
      <c r="S15" s="3022"/>
      <c r="T15" s="3022"/>
      <c r="U15" s="3022"/>
      <c r="V15" s="3030"/>
    </row>
    <row r="16" spans="1:22" s="3034" customFormat="1" ht="13.15" customHeight="1">
      <c r="A16" s="3077" t="s">
        <v>2885</v>
      </c>
      <c r="B16" s="3485" t="s">
        <v>2886</v>
      </c>
      <c r="C16" s="3486"/>
      <c r="D16" s="3089">
        <f>D6*E16</f>
        <v>0</v>
      </c>
      <c r="E16" s="3090"/>
      <c r="F16" s="3075" t="s">
        <v>2887</v>
      </c>
      <c r="G16" s="3054"/>
      <c r="H16" s="3029"/>
      <c r="I16" s="3030"/>
      <c r="J16" s="3479"/>
      <c r="K16" s="3481"/>
      <c r="L16" s="3064" t="s">
        <v>2888</v>
      </c>
      <c r="M16" s="3065"/>
      <c r="N16" s="3065"/>
      <c r="O16" s="3066"/>
      <c r="P16" s="3067">
        <v>365</v>
      </c>
      <c r="Q16" s="3041"/>
      <c r="R16" s="3088">
        <f>ROUND(M16*N16*O16*P16/10000,0)</f>
        <v>0</v>
      </c>
      <c r="S16" s="3022"/>
      <c r="T16" s="3022"/>
      <c r="U16" s="3022"/>
      <c r="V16" s="3030"/>
    </row>
    <row r="17" spans="1:22" s="3034" customFormat="1" ht="13.15" customHeight="1" thickBot="1">
      <c r="A17" s="3091">
        <v>4</v>
      </c>
      <c r="B17" s="3487" t="s">
        <v>2889</v>
      </c>
      <c r="C17" s="3488"/>
      <c r="D17" s="3092">
        <f>ROUND(D6*E17,0)</f>
        <v>0</v>
      </c>
      <c r="E17" s="3093"/>
      <c r="F17" s="3094" t="s">
        <v>2890</v>
      </c>
      <c r="G17" s="3054"/>
      <c r="H17" s="3029"/>
      <c r="I17" s="3030"/>
      <c r="J17" s="3479"/>
      <c r="K17" s="3481"/>
      <c r="L17" s="3064" t="s">
        <v>2891</v>
      </c>
      <c r="M17" s="3065"/>
      <c r="N17" s="3065"/>
      <c r="O17" s="3066"/>
      <c r="P17" s="3067">
        <v>365</v>
      </c>
      <c r="Q17" s="3041"/>
      <c r="R17" s="3088">
        <f>ROUND(M17*N17*O17*P17/10000,0)</f>
        <v>0</v>
      </c>
      <c r="S17" s="3022"/>
      <c r="T17" s="3022"/>
      <c r="U17" s="3022"/>
      <c r="V17" s="3030"/>
    </row>
    <row r="18" spans="1:22" s="3034" customFormat="1" ht="13.15" customHeight="1" thickBot="1">
      <c r="A18" s="3057" t="s">
        <v>2892</v>
      </c>
      <c r="B18" s="3058"/>
      <c r="C18" s="3058"/>
      <c r="D18" s="3095">
        <f>ROUND(D6*E18,0)</f>
        <v>0</v>
      </c>
      <c r="E18" s="3096"/>
      <c r="F18" s="3097" t="s">
        <v>2893</v>
      </c>
      <c r="G18" s="3054"/>
      <c r="H18" s="3029"/>
      <c r="I18" s="3030"/>
      <c r="J18" s="3479"/>
      <c r="K18" s="3481"/>
      <c r="L18" s="3064" t="s">
        <v>2894</v>
      </c>
      <c r="M18" s="3065"/>
      <c r="N18" s="3065"/>
      <c r="O18" s="3066"/>
      <c r="P18" s="3067">
        <v>365</v>
      </c>
      <c r="Q18" s="3041"/>
      <c r="R18" s="3088">
        <f>ROUND(M18*N18*O18*P18/10000,0)</f>
        <v>0</v>
      </c>
      <c r="S18" s="3022"/>
      <c r="T18" s="3022"/>
      <c r="U18" s="3022"/>
      <c r="V18" s="3030"/>
    </row>
    <row r="19" spans="1:22" s="3034" customFormat="1" ht="13.15" customHeight="1" thickBot="1">
      <c r="A19" s="3098" t="s">
        <v>2895</v>
      </c>
      <c r="B19" s="3052"/>
      <c r="C19" s="3052"/>
      <c r="D19" s="3052"/>
      <c r="E19" s="3052"/>
      <c r="F19" s="3053"/>
      <c r="G19" s="3073"/>
      <c r="H19" s="3029"/>
      <c r="I19" s="3030"/>
      <c r="J19" s="3479"/>
      <c r="K19" s="3482"/>
      <c r="L19" s="3084" t="s">
        <v>2875</v>
      </c>
      <c r="M19" s="3085"/>
      <c r="N19" s="3085">
        <f>SUM(N16:N18)</f>
        <v>0</v>
      </c>
      <c r="O19" s="3086"/>
      <c r="P19" s="3099" t="s">
        <v>2939</v>
      </c>
      <c r="Q19" s="3066">
        <v>0</v>
      </c>
      <c r="R19" s="3100">
        <f>ROUND(IF(P19="按比例",R14*Q19,SUM(R16:R18)),0)</f>
        <v>0</v>
      </c>
      <c r="S19" s="3022"/>
      <c r="T19" s="3022"/>
      <c r="U19" s="3022"/>
      <c r="V19" s="3030"/>
    </row>
    <row r="20" spans="1:22" s="3034" customFormat="1" ht="13.15" customHeight="1">
      <c r="A20" s="3057"/>
      <c r="B20" s="3058"/>
      <c r="C20" s="3058"/>
      <c r="D20" s="3058"/>
      <c r="E20" s="3058"/>
      <c r="F20" s="3101"/>
      <c r="G20" s="3073"/>
      <c r="H20" s="3029"/>
      <c r="I20" s="3030"/>
      <c r="J20" s="3479">
        <v>3</v>
      </c>
      <c r="K20" s="3480" t="s">
        <v>2896</v>
      </c>
      <c r="L20" s="3064" t="s">
        <v>2897</v>
      </c>
      <c r="M20" s="3065" t="s">
        <v>2898</v>
      </c>
      <c r="N20" s="3102" t="s">
        <v>2899</v>
      </c>
      <c r="O20" s="3066" t="s">
        <v>2900</v>
      </c>
      <c r="P20" s="3067" t="s">
        <v>2901</v>
      </c>
      <c r="Q20" s="3041" t="s">
        <v>2902</v>
      </c>
      <c r="R20" s="3088" t="s">
        <v>2903</v>
      </c>
      <c r="S20" s="3103"/>
      <c r="T20" s="3103"/>
      <c r="U20" s="3103"/>
      <c r="V20" s="3030"/>
    </row>
    <row r="21" spans="1:22" s="3034" customFormat="1" ht="13.15" customHeight="1">
      <c r="A21" s="3057"/>
      <c r="B21" s="3058"/>
      <c r="C21" s="3104" t="s">
        <v>2904</v>
      </c>
      <c r="D21" s="3105" t="s">
        <v>2905</v>
      </c>
      <c r="E21" s="3106" t="s">
        <v>2906</v>
      </c>
      <c r="F21" s="3101"/>
      <c r="G21" s="3073"/>
      <c r="H21" s="3029"/>
      <c r="I21" s="3030"/>
      <c r="J21" s="3479"/>
      <c r="K21" s="3481"/>
      <c r="L21" s="3064" t="s">
        <v>2907</v>
      </c>
      <c r="M21" s="3065"/>
      <c r="N21" s="3065"/>
      <c r="O21" s="3066"/>
      <c r="P21" s="3067">
        <v>365</v>
      </c>
      <c r="Q21" s="3041"/>
      <c r="R21" s="3107">
        <f>ROUND(M21*N21*O21*P21/10000,0)</f>
        <v>0</v>
      </c>
      <c r="S21" s="3103"/>
      <c r="T21" s="3103"/>
      <c r="U21" s="3103"/>
      <c r="V21" s="3030"/>
    </row>
    <row r="22" spans="1:22" s="3034" customFormat="1" ht="13.15" customHeight="1">
      <c r="A22" s="3057"/>
      <c r="B22" s="3058"/>
      <c r="C22" s="3108" t="s">
        <v>2908</v>
      </c>
      <c r="D22" s="3109" t="s">
        <v>2909</v>
      </c>
      <c r="E22" s="3110" t="s">
        <v>2910</v>
      </c>
      <c r="F22" s="3101"/>
      <c r="G22" s="3111"/>
      <c r="H22" s="3029"/>
      <c r="I22" s="3030"/>
      <c r="J22" s="3479"/>
      <c r="K22" s="3481"/>
      <c r="L22" s="3064" t="s">
        <v>2911</v>
      </c>
      <c r="M22" s="3065"/>
      <c r="N22" s="3065"/>
      <c r="O22" s="3066"/>
      <c r="P22" s="3067">
        <v>365</v>
      </c>
      <c r="Q22" s="3041"/>
      <c r="R22" s="3107">
        <f>ROUND(M22*N22*O22*P22/10000,0)</f>
        <v>0</v>
      </c>
      <c r="S22" s="3103"/>
      <c r="T22" s="3103"/>
      <c r="U22" s="3103"/>
      <c r="V22" s="3030"/>
    </row>
    <row r="23" spans="1:22" s="3034" customFormat="1" ht="13.15" customHeight="1">
      <c r="A23" s="3112">
        <v>1</v>
      </c>
      <c r="B23" s="3113" t="s">
        <v>2912</v>
      </c>
      <c r="C23" s="3114">
        <f>D6</f>
        <v>0</v>
      </c>
      <c r="D23" s="3115">
        <f>C23*(1+D24)</f>
        <v>0</v>
      </c>
      <c r="E23" s="3116">
        <f>D23*(1+E24)</f>
        <v>0</v>
      </c>
      <c r="F23" s="3117"/>
      <c r="G23" s="3118"/>
      <c r="H23" s="3029"/>
      <c r="I23" s="3030"/>
      <c r="J23" s="3479"/>
      <c r="K23" s="3481"/>
      <c r="L23" s="3064" t="s">
        <v>2913</v>
      </c>
      <c r="M23" s="3065"/>
      <c r="N23" s="3065"/>
      <c r="O23" s="3066"/>
      <c r="P23" s="3067">
        <v>365</v>
      </c>
      <c r="Q23" s="3041"/>
      <c r="R23" s="3107">
        <f>ROUND(M23*N23*O23*P23/10000,0)</f>
        <v>0</v>
      </c>
      <c r="S23" s="3022"/>
      <c r="T23" s="3022"/>
      <c r="U23" s="3022"/>
      <c r="V23" s="3030"/>
    </row>
    <row r="24" spans="1:22" s="3034" customFormat="1" ht="13.15" customHeight="1">
      <c r="A24" s="3119"/>
      <c r="B24" s="3120" t="s">
        <v>2914</v>
      </c>
      <c r="C24" s="3121"/>
      <c r="D24" s="3122"/>
      <c r="E24" s="3123"/>
      <c r="F24" s="3124"/>
      <c r="G24" s="3118"/>
      <c r="H24" s="3029"/>
      <c r="I24" s="3030"/>
      <c r="J24" s="3479"/>
      <c r="K24" s="3482"/>
      <c r="L24" s="3084" t="s">
        <v>2875</v>
      </c>
      <c r="M24" s="3085">
        <f>SUM(M21:M23)</f>
        <v>0</v>
      </c>
      <c r="N24" s="3085"/>
      <c r="O24" s="3086"/>
      <c r="P24" s="3099" t="s">
        <v>2939</v>
      </c>
      <c r="Q24" s="3066">
        <v>0</v>
      </c>
      <c r="R24" s="3100">
        <f>ROUND(IF(P24="按比例",R14*Q24,SUM(R21:R23)),0)</f>
        <v>0</v>
      </c>
      <c r="S24" s="3022"/>
      <c r="T24" s="3022"/>
      <c r="U24" s="3022"/>
      <c r="V24" s="3030"/>
    </row>
    <row r="25" spans="1:22" s="3131" customFormat="1" ht="13.15" customHeight="1">
      <c r="A25" s="3119"/>
      <c r="B25" s="3120"/>
      <c r="C25" s="3121"/>
      <c r="D25" s="3122"/>
      <c r="E25" s="3123"/>
      <c r="F25" s="3124"/>
      <c r="G25" s="3111"/>
      <c r="H25" s="3029"/>
      <c r="I25" s="3030"/>
      <c r="J25" s="3125">
        <v>4</v>
      </c>
      <c r="K25" s="3126" t="s">
        <v>2915</v>
      </c>
      <c r="L25" s="3127"/>
      <c r="M25" s="3127"/>
      <c r="N25" s="3127"/>
      <c r="O25" s="3127"/>
      <c r="P25" s="3128"/>
      <c r="Q25" s="3129">
        <v>0</v>
      </c>
      <c r="R25" s="3100">
        <f>ROUND(R14*Q25,0)</f>
        <v>0</v>
      </c>
      <c r="S25" s="3022"/>
      <c r="T25" s="3022"/>
      <c r="U25" s="3022"/>
      <c r="V25" s="3130"/>
    </row>
    <row r="26" spans="1:22" s="3131" customFormat="1" ht="13.15" customHeight="1">
      <c r="A26" s="3112">
        <v>2</v>
      </c>
      <c r="B26" s="3113" t="s">
        <v>2916</v>
      </c>
      <c r="C26" s="3114">
        <f>D7</f>
        <v>0</v>
      </c>
      <c r="D26" s="3115">
        <f>D23*D27</f>
        <v>0</v>
      </c>
      <c r="E26" s="3116">
        <f>E23*E27</f>
        <v>0</v>
      </c>
      <c r="F26" s="3117"/>
      <c r="G26" s="3118"/>
      <c r="H26" s="3029"/>
      <c r="I26" s="3030"/>
      <c r="J26" s="3489">
        <v>5</v>
      </c>
      <c r="K26" s="3132" t="s">
        <v>2917</v>
      </c>
      <c r="L26" s="3133"/>
      <c r="M26" s="3134"/>
      <c r="N26" s="3135" t="s">
        <v>2918</v>
      </c>
      <c r="O26" s="3135" t="s">
        <v>2919</v>
      </c>
      <c r="P26" s="3136" t="s">
        <v>2920</v>
      </c>
      <c r="Q26" s="3136" t="s">
        <v>2921</v>
      </c>
      <c r="R26" s="3039" t="s">
        <v>2846</v>
      </c>
      <c r="S26" s="3137"/>
      <c r="T26" s="3137"/>
      <c r="U26" s="3137"/>
      <c r="V26" s="3130"/>
    </row>
    <row r="27" spans="1:22" s="3034" customFormat="1" ht="13.15" customHeight="1">
      <c r="A27" s="3119"/>
      <c r="B27" s="3120" t="s">
        <v>2922</v>
      </c>
      <c r="C27" s="3138" t="e">
        <f>E7</f>
        <v>#DIV/0!</v>
      </c>
      <c r="D27" s="3122"/>
      <c r="E27" s="3123"/>
      <c r="F27" s="3124"/>
      <c r="G27" s="3118"/>
      <c r="H27" s="3139"/>
      <c r="I27" s="3130"/>
      <c r="J27" s="3490"/>
      <c r="K27" s="3140"/>
      <c r="L27" s="3141"/>
      <c r="M27" s="3142"/>
      <c r="N27" s="3143"/>
      <c r="O27" s="3143"/>
      <c r="P27" s="3143"/>
      <c r="Q27" s="3144"/>
      <c r="R27" s="3100">
        <f>ROUND(O27*N27*P27*(1-Q27)/10000,0)</f>
        <v>0</v>
      </c>
      <c r="S27" s="3022"/>
      <c r="T27" s="3022"/>
      <c r="U27" s="3022"/>
      <c r="V27" s="3030"/>
    </row>
    <row r="28" spans="1:22" s="3131" customFormat="1" ht="13.15" customHeight="1" thickBot="1">
      <c r="A28" s="3119"/>
      <c r="B28" s="3120"/>
      <c r="C28" s="3138"/>
      <c r="D28" s="3122"/>
      <c r="E28" s="3123" t="s">
        <v>2923</v>
      </c>
      <c r="F28" s="3124"/>
      <c r="G28" s="3111"/>
      <c r="H28" s="3139"/>
      <c r="I28" s="3130"/>
      <c r="J28" s="3145">
        <v>6</v>
      </c>
      <c r="K28" s="3146" t="s">
        <v>2924</v>
      </c>
      <c r="L28" s="3147" t="s">
        <v>2925</v>
      </c>
      <c r="M28" s="3148"/>
      <c r="N28" s="3147" t="s">
        <v>2926</v>
      </c>
      <c r="O28" s="3149"/>
      <c r="P28" s="3147" t="s">
        <v>2927</v>
      </c>
      <c r="Q28" s="3150">
        <v>1.4999999999999999E-2</v>
      </c>
      <c r="R28" s="3151"/>
      <c r="S28" s="3103"/>
      <c r="T28" s="3103"/>
      <c r="U28" s="3103"/>
      <c r="V28" s="3130"/>
    </row>
    <row r="29" spans="1:22" s="3131" customFormat="1" ht="13.15" customHeight="1">
      <c r="A29" s="3112">
        <v>3</v>
      </c>
      <c r="B29" s="3113" t="s">
        <v>2928</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15" customHeight="1" thickBot="1">
      <c r="A30" s="3119"/>
      <c r="B30" s="3120" t="s">
        <v>2922</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15" customHeight="1">
      <c r="A31" s="3119"/>
      <c r="B31" s="3120"/>
      <c r="C31" s="3153"/>
      <c r="D31" s="3152"/>
      <c r="E31" s="3083"/>
      <c r="F31" s="3124"/>
      <c r="G31" s="3111"/>
      <c r="H31" s="3139"/>
      <c r="I31" s="3130"/>
      <c r="J31" s="3019" t="s">
        <v>2929</v>
      </c>
      <c r="K31" s="3020"/>
      <c r="L31" s="3020"/>
      <c r="M31" s="3020"/>
      <c r="N31" s="3020"/>
      <c r="O31" s="3020"/>
      <c r="P31" s="3020"/>
      <c r="Q31" s="3020"/>
      <c r="R31" s="3021"/>
      <c r="S31" s="3103"/>
      <c r="T31" s="3022"/>
      <c r="U31" s="3022"/>
      <c r="V31" s="3130"/>
    </row>
    <row r="32" spans="1:22" s="3131" customFormat="1" ht="13.15" customHeight="1">
      <c r="A32" s="3112">
        <v>4</v>
      </c>
      <c r="B32" s="3113" t="s">
        <v>2930</v>
      </c>
      <c r="C32" s="3114">
        <f>C23-C26-C29</f>
        <v>0</v>
      </c>
      <c r="D32" s="3115">
        <f>D23-D26-D29</f>
        <v>0</v>
      </c>
      <c r="E32" s="3116">
        <f>E23-E26-E29</f>
        <v>0</v>
      </c>
      <c r="F32" s="3117"/>
      <c r="G32" s="3111"/>
      <c r="H32" s="3029"/>
      <c r="I32" s="3030"/>
      <c r="J32" s="3472" t="s">
        <v>2822</v>
      </c>
      <c r="K32" s="3473"/>
      <c r="L32" s="3031" t="s">
        <v>2823</v>
      </c>
      <c r="M32" s="3031" t="s">
        <v>2824</v>
      </c>
      <c r="N32" s="3031" t="s">
        <v>2825</v>
      </c>
      <c r="O32" s="3031" t="s">
        <v>2826</v>
      </c>
      <c r="P32" s="3031" t="s">
        <v>2827</v>
      </c>
      <c r="Q32" s="3032" t="s">
        <v>2828</v>
      </c>
      <c r="R32" s="3154" t="s">
        <v>2829</v>
      </c>
      <c r="S32" s="3103"/>
      <c r="T32" s="3022"/>
      <c r="U32" s="3022"/>
      <c r="V32" s="3130"/>
    </row>
    <row r="33" spans="1:23" s="3034" customFormat="1" ht="13.15" customHeight="1">
      <c r="A33" s="3112"/>
      <c r="B33" s="3113"/>
      <c r="C33" s="3114"/>
      <c r="D33" s="3155"/>
      <c r="E33" s="3156"/>
      <c r="F33" s="3117"/>
      <c r="G33" s="3111"/>
      <c r="H33" s="3139"/>
      <c r="I33" s="3130"/>
      <c r="J33" s="3474" t="s">
        <v>2832</v>
      </c>
      <c r="K33" s="3475"/>
      <c r="L33" s="3037"/>
      <c r="M33" s="3037"/>
      <c r="N33" s="3037"/>
      <c r="O33" s="3037"/>
      <c r="P33" s="3037"/>
      <c r="Q33" s="3038"/>
      <c r="R33" s="3157">
        <f>SUM(L33:Q33)</f>
        <v>0</v>
      </c>
      <c r="S33" s="3103"/>
      <c r="T33" s="3022"/>
      <c r="U33" s="3022"/>
      <c r="V33" s="3030"/>
    </row>
    <row r="34" spans="1:23" s="3034" customFormat="1" ht="13.15" customHeight="1">
      <c r="A34" s="3112">
        <v>5</v>
      </c>
      <c r="B34" s="3113" t="s">
        <v>2931</v>
      </c>
      <c r="C34" s="3158"/>
      <c r="D34" s="3159"/>
      <c r="E34" s="3160"/>
      <c r="F34" s="3117"/>
      <c r="G34" s="3111"/>
      <c r="H34" s="3139"/>
      <c r="I34" s="3130"/>
      <c r="J34" s="3474" t="s">
        <v>2834</v>
      </c>
      <c r="K34" s="3475"/>
      <c r="L34" s="3042"/>
      <c r="M34" s="3042"/>
      <c r="N34" s="3042"/>
      <c r="O34" s="3042"/>
      <c r="P34" s="3042"/>
      <c r="Q34" s="3043"/>
      <c r="R34" s="3161">
        <f>SUM(L34:Q34)</f>
        <v>0</v>
      </c>
      <c r="S34" s="3103"/>
      <c r="T34" s="3022"/>
      <c r="U34" s="3022" t="e">
        <f>ROUND(R35*10000/365/R33,1)</f>
        <v>#DIV/0!</v>
      </c>
      <c r="V34" s="3030"/>
    </row>
    <row r="35" spans="1:23" s="3034" customFormat="1" ht="13.15" customHeight="1">
      <c r="A35" s="3112">
        <v>6</v>
      </c>
      <c r="B35" s="3113" t="s">
        <v>2932</v>
      </c>
      <c r="C35" s="3162"/>
      <c r="D35" s="3163"/>
      <c r="E35" s="3164"/>
      <c r="F35" s="3117"/>
      <c r="G35" s="3165"/>
      <c r="H35" s="3029"/>
      <c r="I35" s="3130"/>
      <c r="J35" s="3048" t="s">
        <v>2836</v>
      </c>
      <c r="K35" s="3049"/>
      <c r="L35" s="3049"/>
      <c r="M35" s="3050"/>
      <c r="N35" s="3050"/>
      <c r="O35" s="3050"/>
      <c r="P35" s="3050"/>
      <c r="Q35" s="3050"/>
      <c r="R35" s="3166">
        <f>R40+R41+R43</f>
        <v>0</v>
      </c>
      <c r="S35" s="3103"/>
      <c r="T35" s="3022" t="s">
        <v>2837</v>
      </c>
      <c r="U35" s="3022"/>
      <c r="V35" s="3030"/>
    </row>
    <row r="36" spans="1:23" s="3034" customFormat="1" ht="13.15" customHeight="1" thickBot="1">
      <c r="A36" s="3112">
        <v>7</v>
      </c>
      <c r="B36" s="3167" t="s">
        <v>2933</v>
      </c>
      <c r="C36" s="3168"/>
      <c r="D36" s="3169"/>
      <c r="E36" s="3170"/>
      <c r="F36" s="3171">
        <f>C36+D36+E36</f>
        <v>0</v>
      </c>
      <c r="G36" s="3111"/>
      <c r="H36" s="3029"/>
      <c r="I36" s="3030"/>
      <c r="J36" s="3479">
        <v>1</v>
      </c>
      <c r="K36" s="3480" t="s">
        <v>2934</v>
      </c>
      <c r="L36" s="3055"/>
      <c r="M36" s="3056"/>
      <c r="N36" s="3056"/>
      <c r="O36" s="3056"/>
      <c r="P36" s="3056"/>
      <c r="Q36" s="3056"/>
      <c r="R36" s="3039" t="s">
        <v>2846</v>
      </c>
      <c r="S36" s="3103"/>
      <c r="T36" s="3022" t="s">
        <v>2847</v>
      </c>
      <c r="U36" s="3022"/>
      <c r="V36" s="3030"/>
    </row>
    <row r="37" spans="1:23" s="3034" customFormat="1" ht="13.15" customHeight="1">
      <c r="A37" s="3112"/>
      <c r="B37" s="3113"/>
      <c r="C37" s="3113"/>
      <c r="D37" s="3113"/>
      <c r="E37" s="3113"/>
      <c r="F37" s="3117"/>
      <c r="G37" s="3111"/>
      <c r="H37" s="3029"/>
      <c r="I37" s="3030"/>
      <c r="J37" s="3479"/>
      <c r="K37" s="3481"/>
      <c r="L37" s="3064"/>
      <c r="M37" s="3065"/>
      <c r="N37" s="3041"/>
      <c r="O37" s="3066"/>
      <c r="P37" s="3066"/>
      <c r="Q37" s="3067"/>
      <c r="R37" s="3068"/>
      <c r="S37" s="3103"/>
      <c r="T37" s="3022" t="s">
        <v>2850</v>
      </c>
      <c r="U37" s="3022"/>
      <c r="V37" s="3030"/>
    </row>
    <row r="38" spans="1:23" s="3034" customFormat="1" ht="13.15" customHeight="1">
      <c r="A38" s="3112">
        <v>8</v>
      </c>
      <c r="B38" s="3113"/>
      <c r="C38" s="3070" t="e">
        <f>ROUND(C32*(1-((1+C35)/(1+C34))^C36)/(C34-C35),0)</f>
        <v>#DIV/0!</v>
      </c>
      <c r="D38" s="3070">
        <f>IF(D23=0,0,ROUND(D32*(1-((1+D35)/(1+D34))^D36)/(D34-D35),0))</f>
        <v>0</v>
      </c>
      <c r="E38" s="3070">
        <f>IF(E23=0,0,ROUND(E32*(1-((1+E35)/(1+E34))^E36)/(E34-E35),0))</f>
        <v>0</v>
      </c>
      <c r="F38" s="3117"/>
      <c r="G38" s="3111"/>
      <c r="H38" s="3029"/>
      <c r="I38" s="3030"/>
      <c r="J38" s="3479"/>
      <c r="K38" s="3481"/>
      <c r="L38" s="3064"/>
      <c r="M38" s="3065"/>
      <c r="N38" s="3041"/>
      <c r="O38" s="3066"/>
      <c r="P38" s="3066"/>
      <c r="Q38" s="3067"/>
      <c r="R38" s="3068"/>
      <c r="S38" s="3103"/>
      <c r="T38" s="3022" t="s">
        <v>2857</v>
      </c>
      <c r="U38" s="3022"/>
      <c r="V38" s="3030"/>
    </row>
    <row r="39" spans="1:23" s="3034" customFormat="1" ht="13.15" customHeight="1">
      <c r="A39" s="3112">
        <v>9</v>
      </c>
      <c r="B39" s="3113" t="s">
        <v>2935</v>
      </c>
      <c r="C39" s="3078" t="e">
        <f>C38</f>
        <v>#DIV/0!</v>
      </c>
      <c r="D39" s="3113">
        <f>D38/(1+D34)^C36</f>
        <v>0</v>
      </c>
      <c r="E39" s="3113">
        <f>E38/(1+E34)^(C36+D36)</f>
        <v>0</v>
      </c>
      <c r="F39" s="3117"/>
      <c r="G39" s="3172"/>
      <c r="H39" s="3029"/>
      <c r="I39" s="3030"/>
      <c r="J39" s="3479"/>
      <c r="K39" s="3481"/>
      <c r="L39" s="3064"/>
      <c r="M39" s="3065"/>
      <c r="N39" s="3041"/>
      <c r="O39" s="3066"/>
      <c r="P39" s="3066"/>
      <c r="Q39" s="3067"/>
      <c r="R39" s="3068"/>
      <c r="S39" s="3103"/>
      <c r="T39" s="3022"/>
      <c r="U39" s="3022"/>
      <c r="V39" s="3030"/>
    </row>
    <row r="40" spans="1:23" s="3034" customFormat="1" ht="13.15" customHeight="1">
      <c r="A40" s="3173">
        <v>10</v>
      </c>
      <c r="B40" s="3113" t="s">
        <v>2936</v>
      </c>
      <c r="C40" s="3174" t="e">
        <f>C39+D39+E39</f>
        <v>#DIV/0!</v>
      </c>
      <c r="D40" s="3175"/>
      <c r="E40" s="3175"/>
      <c r="F40" s="3176"/>
      <c r="G40" s="3111"/>
      <c r="H40" s="3029"/>
      <c r="I40" s="3030"/>
      <c r="J40" s="3479"/>
      <c r="K40" s="3482"/>
      <c r="L40" s="3084" t="s">
        <v>2875</v>
      </c>
      <c r="M40" s="3085"/>
      <c r="N40" s="3085"/>
      <c r="O40" s="3086"/>
      <c r="P40" s="3086"/>
      <c r="Q40" s="3087"/>
      <c r="R40" s="3033">
        <f>SUM(R37:R39)</f>
        <v>0</v>
      </c>
      <c r="S40" s="3103"/>
      <c r="T40" s="3022"/>
      <c r="U40" s="3022"/>
      <c r="V40" s="3030"/>
    </row>
    <row r="41" spans="1:23" s="3034" customFormat="1" ht="13.15" customHeight="1" thickBot="1">
      <c r="A41" s="3177">
        <v>11</v>
      </c>
      <c r="B41" s="3178" t="s">
        <v>2937</v>
      </c>
      <c r="C41" s="3178" t="e">
        <f>ROUND(C40*10000/B4,0)</f>
        <v>#DIV/0!</v>
      </c>
      <c r="D41" s="3179"/>
      <c r="E41" s="3179"/>
      <c r="F41" s="3180"/>
      <c r="G41" s="3181"/>
      <c r="H41" s="3029"/>
      <c r="I41" s="3030"/>
      <c r="J41" s="3125">
        <v>2</v>
      </c>
      <c r="K41" s="3126" t="s">
        <v>2915</v>
      </c>
      <c r="L41" s="3127"/>
      <c r="M41" s="3127"/>
      <c r="N41" s="3127"/>
      <c r="O41" s="3127"/>
      <c r="P41" s="3128"/>
      <c r="Q41" s="3129"/>
      <c r="R41" s="3100">
        <f>ROUND(R40*Q41,0)</f>
        <v>0</v>
      </c>
      <c r="S41" s="3103"/>
      <c r="T41" s="3022"/>
      <c r="U41" s="3137"/>
      <c r="V41" s="3030"/>
    </row>
    <row r="42" spans="1:23" s="3034" customFormat="1" ht="13.15" customHeight="1">
      <c r="G42" s="3181"/>
      <c r="H42" s="3029"/>
      <c r="I42" s="3030"/>
      <c r="J42" s="3489">
        <v>3</v>
      </c>
      <c r="K42" s="3132" t="s">
        <v>2917</v>
      </c>
      <c r="L42" s="3133"/>
      <c r="M42" s="3134"/>
      <c r="N42" s="3135" t="s">
        <v>2918</v>
      </c>
      <c r="O42" s="3135" t="s">
        <v>2919</v>
      </c>
      <c r="P42" s="3136" t="s">
        <v>2920</v>
      </c>
      <c r="Q42" s="3136" t="s">
        <v>2921</v>
      </c>
      <c r="R42" s="3039" t="s">
        <v>2846</v>
      </c>
      <c r="S42" s="3137"/>
      <c r="T42" s="3137"/>
      <c r="U42" s="3022"/>
      <c r="V42" s="3030"/>
    </row>
    <row r="43" spans="1:23" ht="13.15" customHeight="1">
      <c r="A43" s="3034"/>
      <c r="B43" s="3034"/>
      <c r="C43" s="3034"/>
      <c r="D43" s="3034"/>
      <c r="E43" s="3034"/>
      <c r="F43" s="3034"/>
      <c r="I43" s="3017"/>
      <c r="J43" s="3490"/>
      <c r="K43" s="3140"/>
      <c r="L43" s="3141"/>
      <c r="M43" s="3142"/>
      <c r="N43" s="3065"/>
      <c r="O43" s="3065"/>
      <c r="P43" s="3065"/>
      <c r="Q43" s="3129"/>
      <c r="R43" s="3100">
        <f>ROUND(O43*N43*P43*(1-Q43)/10000,0)</f>
        <v>0</v>
      </c>
      <c r="S43" s="3103"/>
      <c r="T43" s="3022"/>
      <c r="V43" s="3183"/>
      <c r="W43" s="3184"/>
    </row>
    <row r="44" spans="1:23" ht="13.15" customHeight="1" thickBot="1">
      <c r="J44" s="3145">
        <v>6</v>
      </c>
      <c r="K44" s="3146" t="s">
        <v>2924</v>
      </c>
      <c r="L44" s="3185" t="s">
        <v>2925</v>
      </c>
      <c r="M44" s="3148"/>
      <c r="N44" s="3185" t="s">
        <v>2926</v>
      </c>
      <c r="O44" s="3148"/>
      <c r="P44" s="3185" t="s">
        <v>2927</v>
      </c>
      <c r="Q44" s="3150">
        <v>1.4999999999999999E-2</v>
      </c>
      <c r="R44" s="31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6"/>
      <c r="G1" s="1625"/>
      <c r="H1" s="1625"/>
      <c r="I1" s="1625"/>
      <c r="J1" s="1625"/>
      <c r="K1" s="1625"/>
      <c r="L1" s="1625"/>
      <c r="M1" s="1625"/>
      <c r="N1" s="1625"/>
      <c r="O1" s="1625"/>
      <c r="P1" s="1625"/>
      <c r="Q1" s="1625"/>
      <c r="R1" s="1625"/>
      <c r="S1" s="1625"/>
    </row>
    <row r="2" spans="1:22" ht="15.75">
      <c r="A2" s="2007" t="s">
        <v>1907</v>
      </c>
      <c r="B2" s="2008">
        <f ca="1">SUMIF(B6:B13,"&lt;&gt;#ref!",B6:B13)</f>
        <v>4375</v>
      </c>
      <c r="C2" s="2009" t="s">
        <v>2099</v>
      </c>
      <c r="D2" s="2010" t="s">
        <v>2100</v>
      </c>
      <c r="E2" s="2783">
        <f>SUM(E6:E13)</f>
        <v>2656.2</v>
      </c>
      <c r="F2" s="2886"/>
      <c r="G2" s="1625"/>
      <c r="H2" s="1625"/>
      <c r="I2" s="1625"/>
      <c r="J2" s="1625"/>
      <c r="K2" s="1625"/>
      <c r="L2" s="1625"/>
      <c r="M2" s="1625"/>
      <c r="N2" s="1625"/>
      <c r="O2" s="1625"/>
      <c r="P2" s="1625"/>
      <c r="Q2" s="1625"/>
      <c r="R2" s="1625"/>
      <c r="S2" s="1625"/>
    </row>
    <row r="3" spans="1:22" ht="15.75">
      <c r="A3" s="2007" t="s">
        <v>1119</v>
      </c>
      <c r="B3" s="2777">
        <f ca="1">ROUND(B2*10000/E2,0)</f>
        <v>16471</v>
      </c>
      <c r="C3" s="2009" t="s">
        <v>2107</v>
      </c>
      <c r="D3" s="2888"/>
      <c r="E3" s="2890"/>
      <c r="F3" s="2886"/>
      <c r="G3" s="1625"/>
      <c r="H3" s="1625"/>
      <c r="I3" s="1625"/>
      <c r="J3" s="1625"/>
      <c r="K3" s="1625"/>
      <c r="L3" s="1625"/>
      <c r="M3" s="1625"/>
      <c r="N3" s="1625"/>
      <c r="O3" s="1625"/>
      <c r="P3" s="1625"/>
      <c r="Q3" s="1625"/>
      <c r="R3" s="1625"/>
      <c r="S3" s="1625"/>
    </row>
    <row r="4" spans="1:22" ht="15.75">
      <c r="A4" s="2891"/>
      <c r="B4" s="2888"/>
      <c r="C4" s="2888"/>
      <c r="D4" s="2888"/>
      <c r="E4" s="2890"/>
      <c r="F4" s="2886"/>
      <c r="G4" s="1625"/>
      <c r="H4" s="1625"/>
      <c r="I4" s="1625"/>
      <c r="J4" s="1625"/>
      <c r="K4" s="1625"/>
      <c r="L4" s="1625"/>
      <c r="M4" s="1625"/>
      <c r="N4" s="1625"/>
      <c r="O4" s="1625"/>
      <c r="P4" s="1625"/>
      <c r="Q4" s="1625"/>
      <c r="R4" s="1625"/>
      <c r="S4" s="1625"/>
    </row>
    <row r="5" spans="1:22" ht="15">
      <c r="A5" s="2779" t="s">
        <v>2101</v>
      </c>
      <c r="B5" s="3491" t="s">
        <v>2102</v>
      </c>
      <c r="C5" s="3492"/>
      <c r="D5" s="2887"/>
      <c r="E5" s="2011" t="s">
        <v>2103</v>
      </c>
      <c r="F5" s="2012" t="s">
        <v>2104</v>
      </c>
      <c r="G5" s="1625"/>
      <c r="H5" s="1625"/>
      <c r="I5" s="1625"/>
      <c r="J5" s="1625"/>
      <c r="K5" s="1625"/>
      <c r="L5" s="1625"/>
      <c r="M5" s="1625"/>
      <c r="N5" s="1625"/>
      <c r="O5" s="1625"/>
      <c r="P5" s="1625"/>
      <c r="Q5" s="1625"/>
      <c r="R5" s="1625"/>
      <c r="S5" s="1625"/>
    </row>
    <row r="6" spans="1:22">
      <c r="A6" s="2780" t="str">
        <f>'数据-取费表'!AN6</f>
        <v>收益法</v>
      </c>
      <c r="B6" s="2778">
        <f ca="1">IF(F6="是",'数据-取费表'!AO6,0)</f>
        <v>4375</v>
      </c>
      <c r="C6" s="2009" t="s">
        <v>2099</v>
      </c>
      <c r="D6" s="2888"/>
      <c r="E6" s="2782">
        <f>IF(OR(A6=0,F6="否"),0,'数据-取费表'!K6+'数据-取费表'!S6)</f>
        <v>2656.2</v>
      </c>
      <c r="F6" s="2013" t="s">
        <v>2105</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2099</v>
      </c>
      <c r="D7" s="2888"/>
      <c r="E7" s="2782">
        <f>IF(OR(A7=0,F7="否"),0,'数据-取费表'!K7+'数据-取费表'!S7)</f>
        <v>0</v>
      </c>
      <c r="F7" s="2013" t="s">
        <v>2105</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2099</v>
      </c>
      <c r="D8" s="2888"/>
      <c r="E8" s="2782">
        <f>IF(OR(A8=0,F8="否"),0,'数据-取费表'!K8+'数据-取费表'!S8)</f>
        <v>0</v>
      </c>
      <c r="F8" s="2013" t="s">
        <v>2105</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2099</v>
      </c>
      <c r="D9" s="2888"/>
      <c r="E9" s="2782">
        <f>IF(OR(A9=0,F9="否"),0,'数据-取费表'!K9+'数据-取费表'!S9)</f>
        <v>0</v>
      </c>
      <c r="F9" s="2013" t="s">
        <v>2105</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2099</v>
      </c>
      <c r="D10" s="2888"/>
      <c r="E10" s="2782">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2099</v>
      </c>
      <c r="D11" s="2888"/>
      <c r="E11" s="2782">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2099</v>
      </c>
      <c r="D12" s="2888"/>
      <c r="E12" s="2782">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2099</v>
      </c>
      <c r="D13" s="2889"/>
      <c r="E13" s="2782">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2656.2</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5">
      <c r="A4" s="361" t="s">
        <v>2115</v>
      </c>
      <c r="B4" s="362"/>
      <c r="C4" s="3444" t="s">
        <v>2116</v>
      </c>
      <c r="D4" s="3445"/>
      <c r="E4" s="3446" t="s">
        <v>2117</v>
      </c>
      <c r="F4" s="3447"/>
      <c r="G4" s="3444" t="s">
        <v>2118</v>
      </c>
      <c r="H4" s="3445"/>
      <c r="I4" s="3444" t="s">
        <v>2119</v>
      </c>
      <c r="J4" s="3445"/>
      <c r="K4" s="2026" t="s">
        <v>2120</v>
      </c>
      <c r="L4" s="2894"/>
      <c r="M4" s="2895"/>
      <c r="N4" s="2895"/>
      <c r="O4" s="2895"/>
      <c r="P4" s="3448" t="s">
        <v>2121</v>
      </c>
      <c r="Q4" s="3449"/>
      <c r="R4" s="3431" t="s">
        <v>2117</v>
      </c>
      <c r="S4" s="3432"/>
      <c r="T4" s="3431" t="s">
        <v>2118</v>
      </c>
      <c r="U4" s="3432"/>
      <c r="V4" s="3456" t="s">
        <v>2119</v>
      </c>
      <c r="W4" s="3456"/>
      <c r="X4" s="1490"/>
      <c r="Y4" s="3431" t="s">
        <v>2121</v>
      </c>
      <c r="Z4" s="3432"/>
      <c r="AA4" s="3426" t="s">
        <v>2117</v>
      </c>
      <c r="AB4" s="3426" t="s">
        <v>2118</v>
      </c>
      <c r="AC4" s="3426" t="s">
        <v>2119</v>
      </c>
    </row>
    <row r="5" spans="1:29" ht="15">
      <c r="A5" s="364"/>
      <c r="B5" s="365"/>
      <c r="C5" s="3437" t="s">
        <v>2122</v>
      </c>
      <c r="D5" s="3438"/>
      <c r="E5" s="3435" t="s">
        <v>2123</v>
      </c>
      <c r="F5" s="3436"/>
      <c r="G5" s="3437" t="s">
        <v>2124</v>
      </c>
      <c r="H5" s="3438"/>
      <c r="I5" s="3437" t="s">
        <v>2125</v>
      </c>
      <c r="J5" s="3438"/>
      <c r="K5" s="2027"/>
      <c r="L5" s="2894"/>
      <c r="M5" s="2895"/>
      <c r="N5" s="2895"/>
      <c r="O5" s="2895"/>
      <c r="P5" s="3450"/>
      <c r="Q5" s="3451"/>
      <c r="R5" s="3433"/>
      <c r="S5" s="3434"/>
      <c r="T5" s="3433"/>
      <c r="U5" s="3434"/>
      <c r="V5" s="3456"/>
      <c r="W5" s="3456"/>
      <c r="X5" s="1490"/>
      <c r="Y5" s="3433"/>
      <c r="Z5" s="3434"/>
      <c r="AA5" s="3427"/>
      <c r="AB5" s="3427"/>
      <c r="AC5" s="3427"/>
    </row>
    <row r="6" spans="1:29" ht="15.75" thickBot="1">
      <c r="A6" s="366"/>
      <c r="B6" s="367"/>
      <c r="C6" s="3439" t="s">
        <v>2126</v>
      </c>
      <c r="D6" s="3440"/>
      <c r="E6" s="3441" t="s">
        <v>2126</v>
      </c>
      <c r="F6" s="3442"/>
      <c r="G6" s="3439" t="s">
        <v>2126</v>
      </c>
      <c r="H6" s="3440"/>
      <c r="I6" s="3439" t="s">
        <v>2126</v>
      </c>
      <c r="J6" s="3440"/>
      <c r="K6" s="2027" t="s">
        <v>2127</v>
      </c>
      <c r="L6" s="2894"/>
      <c r="M6" s="2895"/>
      <c r="N6" s="2895"/>
      <c r="O6" s="2895"/>
      <c r="P6" s="3452"/>
      <c r="Q6" s="3453"/>
      <c r="R6" s="3433"/>
      <c r="S6" s="3434"/>
      <c r="T6" s="3454"/>
      <c r="U6" s="3455"/>
      <c r="V6" s="3456"/>
      <c r="W6" s="3456"/>
      <c r="X6" s="1490"/>
      <c r="Y6" s="3454"/>
      <c r="Z6" s="3455"/>
      <c r="AA6" s="3428"/>
      <c r="AB6" s="3428"/>
      <c r="AC6" s="3428"/>
    </row>
    <row r="7" spans="1:29" s="113" customFormat="1" ht="15.75" thickBot="1">
      <c r="A7" s="368" t="s">
        <v>2128</v>
      </c>
      <c r="B7" s="369"/>
      <c r="C7" s="370">
        <f>'数据-取费表'!B2</f>
        <v>44705</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429" t="s">
        <v>2129</v>
      </c>
      <c r="Q7" s="3457"/>
      <c r="R7" s="710" t="s">
        <v>23</v>
      </c>
      <c r="S7" s="711">
        <f t="shared" ref="S7:S15" si="0">F7</f>
        <v>0</v>
      </c>
      <c r="T7" s="710" t="s">
        <v>23</v>
      </c>
      <c r="U7" s="711">
        <f t="shared" ref="U7:U15" si="1">H7</f>
        <v>0</v>
      </c>
      <c r="V7" s="710" t="s">
        <v>23</v>
      </c>
      <c r="W7" s="711">
        <f t="shared" ref="W7:W15" si="2">J7</f>
        <v>0</v>
      </c>
      <c r="X7" s="712"/>
      <c r="Y7" s="3429" t="s">
        <v>2129</v>
      </c>
      <c r="Z7" s="3430"/>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429" t="s">
        <v>2132</v>
      </c>
      <c r="Q8" s="3430"/>
      <c r="R8" s="710" t="s">
        <v>23</v>
      </c>
      <c r="S8" s="711">
        <f t="shared" si="0"/>
        <v>0</v>
      </c>
      <c r="T8" s="710" t="s">
        <v>23</v>
      </c>
      <c r="U8" s="711">
        <f t="shared" si="1"/>
        <v>0</v>
      </c>
      <c r="V8" s="710" t="s">
        <v>23</v>
      </c>
      <c r="W8" s="711">
        <f t="shared" si="2"/>
        <v>0</v>
      </c>
      <c r="X8" s="712"/>
      <c r="Y8" s="3429" t="s">
        <v>2132</v>
      </c>
      <c r="Z8" s="3430"/>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93" t="s">
        <v>2135</v>
      </c>
      <c r="Q9" s="1478" t="str">
        <f t="shared" ref="Q9:Q15" si="6">B9</f>
        <v>用途</v>
      </c>
      <c r="R9" s="710" t="s">
        <v>17</v>
      </c>
      <c r="S9" s="711">
        <f t="shared" si="0"/>
        <v>100</v>
      </c>
      <c r="T9" s="710" t="s">
        <v>17</v>
      </c>
      <c r="U9" s="711">
        <f t="shared" si="1"/>
        <v>100</v>
      </c>
      <c r="V9" s="710" t="s">
        <v>17</v>
      </c>
      <c r="W9" s="711">
        <f t="shared" si="2"/>
        <v>100</v>
      </c>
      <c r="X9" s="712"/>
      <c r="Y9" s="339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93"/>
      <c r="Q10" s="1478" t="str">
        <f t="shared" si="6"/>
        <v>土地使用年限（年）</v>
      </c>
      <c r="R10" s="710" t="s">
        <v>17</v>
      </c>
      <c r="S10" s="711">
        <f t="shared" si="0"/>
        <v>100</v>
      </c>
      <c r="T10" s="710" t="s">
        <v>17</v>
      </c>
      <c r="U10" s="711">
        <f t="shared" si="1"/>
        <v>100</v>
      </c>
      <c r="V10" s="710" t="s">
        <v>17</v>
      </c>
      <c r="W10" s="711">
        <f t="shared" si="2"/>
        <v>100</v>
      </c>
      <c r="X10" s="712"/>
      <c r="Y10" s="339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93"/>
      <c r="Q11" s="1478" t="str">
        <f t="shared" si="6"/>
        <v>容积率</v>
      </c>
      <c r="R11" s="710" t="s">
        <v>21</v>
      </c>
      <c r="S11" s="711" t="e">
        <f t="shared" si="0"/>
        <v>#N/A</v>
      </c>
      <c r="T11" s="710" t="s">
        <v>21</v>
      </c>
      <c r="U11" s="711" t="e">
        <f t="shared" si="1"/>
        <v>#N/A</v>
      </c>
      <c r="V11" s="710" t="s">
        <v>21</v>
      </c>
      <c r="W11" s="711" t="e">
        <f t="shared" si="2"/>
        <v>#N/A</v>
      </c>
      <c r="X11" s="712"/>
      <c r="Y11" s="3399"/>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93"/>
      <c r="Q12" s="1478">
        <f t="shared" si="6"/>
        <v>111</v>
      </c>
      <c r="R12" s="710" t="s">
        <v>21</v>
      </c>
      <c r="S12" s="711">
        <f t="shared" si="0"/>
        <v>100</v>
      </c>
      <c r="T12" s="710" t="s">
        <v>21</v>
      </c>
      <c r="U12" s="711">
        <f t="shared" si="1"/>
        <v>100</v>
      </c>
      <c r="V12" s="710" t="s">
        <v>21</v>
      </c>
      <c r="W12" s="711">
        <f t="shared" si="2"/>
        <v>100</v>
      </c>
      <c r="X12" s="712"/>
      <c r="Y12" s="3399"/>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93"/>
      <c r="Q13" s="1478">
        <f t="shared" si="6"/>
        <v>111</v>
      </c>
      <c r="R13" s="710" t="s">
        <v>21</v>
      </c>
      <c r="S13" s="711">
        <f t="shared" si="0"/>
        <v>100</v>
      </c>
      <c r="T13" s="710" t="s">
        <v>21</v>
      </c>
      <c r="U13" s="711">
        <f t="shared" si="1"/>
        <v>100</v>
      </c>
      <c r="V13" s="710" t="s">
        <v>21</v>
      </c>
      <c r="W13" s="711">
        <f t="shared" si="2"/>
        <v>100</v>
      </c>
      <c r="X13" s="712"/>
      <c r="Y13" s="3399"/>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93"/>
      <c r="Q14" s="1478">
        <f t="shared" si="6"/>
        <v>111</v>
      </c>
      <c r="R14" s="710" t="s">
        <v>21</v>
      </c>
      <c r="S14" s="711">
        <f t="shared" si="0"/>
        <v>100</v>
      </c>
      <c r="T14" s="710" t="s">
        <v>21</v>
      </c>
      <c r="U14" s="711">
        <f t="shared" si="1"/>
        <v>100</v>
      </c>
      <c r="V14" s="710" t="s">
        <v>21</v>
      </c>
      <c r="W14" s="711">
        <f t="shared" si="2"/>
        <v>100</v>
      </c>
      <c r="X14" s="712"/>
      <c r="Y14" s="3399"/>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497" t="s">
        <v>2140</v>
      </c>
      <c r="Q15" s="1487" t="str">
        <f t="shared" si="6"/>
        <v>居住社区成熟度</v>
      </c>
      <c r="R15" s="714" t="s">
        <v>21</v>
      </c>
      <c r="S15" s="715">
        <f t="shared" si="0"/>
        <v>100</v>
      </c>
      <c r="T15" s="714" t="s">
        <v>21</v>
      </c>
      <c r="U15" s="715">
        <f t="shared" si="1"/>
        <v>100</v>
      </c>
      <c r="V15" s="714" t="s">
        <v>21</v>
      </c>
      <c r="W15" s="715">
        <f t="shared" si="2"/>
        <v>100</v>
      </c>
      <c r="X15" s="1490"/>
      <c r="Y15" s="3458"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498"/>
      <c r="Q16" s="1487"/>
      <c r="R16" s="714"/>
      <c r="S16" s="715"/>
      <c r="T16" s="714"/>
      <c r="U16" s="715"/>
      <c r="V16" s="714"/>
      <c r="W16" s="715"/>
      <c r="X16" s="1490"/>
      <c r="Y16" s="3459"/>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498"/>
      <c r="Q17" s="1487" t="str">
        <f>B17</f>
        <v>交通便捷度</v>
      </c>
      <c r="R17" s="714" t="s">
        <v>21</v>
      </c>
      <c r="S17" s="715">
        <f>F17</f>
        <v>100</v>
      </c>
      <c r="T17" s="714" t="s">
        <v>21</v>
      </c>
      <c r="U17" s="715">
        <f>H17</f>
        <v>100</v>
      </c>
      <c r="V17" s="714" t="s">
        <v>21</v>
      </c>
      <c r="W17" s="715">
        <f>J17</f>
        <v>100</v>
      </c>
      <c r="X17" s="1490"/>
      <c r="Y17" s="3459"/>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498"/>
      <c r="Q18" s="1487"/>
      <c r="R18" s="714"/>
      <c r="S18" s="715"/>
      <c r="T18" s="714"/>
      <c r="U18" s="715"/>
      <c r="V18" s="714"/>
      <c r="W18" s="715"/>
      <c r="X18" s="1490"/>
      <c r="Y18" s="3459"/>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498"/>
      <c r="Q19" s="1487" t="str">
        <f>B19</f>
        <v>公共配套设施</v>
      </c>
      <c r="R19" s="714" t="s">
        <v>21</v>
      </c>
      <c r="S19" s="715">
        <f>F19</f>
        <v>100</v>
      </c>
      <c r="T19" s="714" t="s">
        <v>21</v>
      </c>
      <c r="U19" s="715">
        <f>H19</f>
        <v>100</v>
      </c>
      <c r="V19" s="714" t="s">
        <v>21</v>
      </c>
      <c r="W19" s="715">
        <f>J19</f>
        <v>100</v>
      </c>
      <c r="X19" s="1490"/>
      <c r="Y19" s="3459"/>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498"/>
      <c r="Q20" s="1487"/>
      <c r="R20" s="714"/>
      <c r="S20" s="715"/>
      <c r="T20" s="714"/>
      <c r="U20" s="715"/>
      <c r="V20" s="714"/>
      <c r="W20" s="715"/>
      <c r="X20" s="1490"/>
      <c r="Y20" s="3459"/>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498"/>
      <c r="Q21" s="1487" t="str">
        <f>B21</f>
        <v>基础设施水平</v>
      </c>
      <c r="R21" s="714" t="s">
        <v>17</v>
      </c>
      <c r="S21" s="715">
        <f>F21</f>
        <v>100</v>
      </c>
      <c r="T21" s="714" t="s">
        <v>17</v>
      </c>
      <c r="U21" s="715">
        <f>H21</f>
        <v>100</v>
      </c>
      <c r="V21" s="714" t="s">
        <v>17</v>
      </c>
      <c r="W21" s="715">
        <f>J21</f>
        <v>100</v>
      </c>
      <c r="X21" s="1490"/>
      <c r="Y21" s="345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498"/>
      <c r="Q22" s="1487"/>
      <c r="R22" s="714"/>
      <c r="S22" s="715"/>
      <c r="T22" s="714"/>
      <c r="U22" s="715"/>
      <c r="V22" s="714"/>
      <c r="W22" s="715"/>
      <c r="X22" s="1490"/>
      <c r="Y22" s="3459"/>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498"/>
      <c r="Q23" s="1487" t="str">
        <f>B23</f>
        <v>自然及人文环境</v>
      </c>
      <c r="R23" s="714" t="s">
        <v>21</v>
      </c>
      <c r="S23" s="715">
        <f>F23</f>
        <v>100</v>
      </c>
      <c r="T23" s="714" t="s">
        <v>21</v>
      </c>
      <c r="U23" s="715">
        <f>H23</f>
        <v>100</v>
      </c>
      <c r="V23" s="714" t="s">
        <v>21</v>
      </c>
      <c r="W23" s="715">
        <f>J23</f>
        <v>100</v>
      </c>
      <c r="X23" s="1490"/>
      <c r="Y23" s="3459"/>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498"/>
      <c r="Q24" s="1487"/>
      <c r="R24" s="714"/>
      <c r="S24" s="715"/>
      <c r="T24" s="714"/>
      <c r="U24" s="715"/>
      <c r="V24" s="714"/>
      <c r="W24" s="715"/>
      <c r="X24" s="1490"/>
      <c r="Y24" s="3459"/>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498"/>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59"/>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498"/>
      <c r="Q26" s="1487" t="str">
        <f t="shared" si="11"/>
        <v>朝向</v>
      </c>
      <c r="R26" s="714" t="s">
        <v>21</v>
      </c>
      <c r="S26" s="715">
        <f t="shared" si="12"/>
        <v>100</v>
      </c>
      <c r="T26" s="714" t="s">
        <v>21</v>
      </c>
      <c r="U26" s="715">
        <f t="shared" si="13"/>
        <v>100</v>
      </c>
      <c r="V26" s="714" t="s">
        <v>21</v>
      </c>
      <c r="W26" s="715">
        <f t="shared" si="14"/>
        <v>100</v>
      </c>
      <c r="X26" s="1490"/>
      <c r="Y26" s="3459"/>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498"/>
      <c r="Q27" s="1478">
        <f t="shared" si="11"/>
        <v>111</v>
      </c>
      <c r="R27" s="710" t="s">
        <v>21</v>
      </c>
      <c r="S27" s="711">
        <f t="shared" si="12"/>
        <v>100</v>
      </c>
      <c r="T27" s="710" t="s">
        <v>21</v>
      </c>
      <c r="U27" s="711">
        <f t="shared" si="13"/>
        <v>100</v>
      </c>
      <c r="V27" s="710" t="s">
        <v>21</v>
      </c>
      <c r="W27" s="711">
        <f t="shared" si="14"/>
        <v>100</v>
      </c>
      <c r="X27" s="712"/>
      <c r="Y27" s="3459"/>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498"/>
      <c r="Q28" s="1487">
        <f t="shared" si="11"/>
        <v>111</v>
      </c>
      <c r="R28" s="714" t="s">
        <v>21</v>
      </c>
      <c r="S28" s="715">
        <f t="shared" si="12"/>
        <v>100</v>
      </c>
      <c r="T28" s="714" t="s">
        <v>21</v>
      </c>
      <c r="U28" s="715">
        <f t="shared" si="13"/>
        <v>100</v>
      </c>
      <c r="V28" s="714" t="s">
        <v>21</v>
      </c>
      <c r="W28" s="715">
        <f t="shared" si="14"/>
        <v>100</v>
      </c>
      <c r="X28" s="1490"/>
      <c r="Y28" s="3459"/>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498"/>
      <c r="Q29" s="1487">
        <f t="shared" si="11"/>
        <v>111</v>
      </c>
      <c r="R29" s="714" t="s">
        <v>21</v>
      </c>
      <c r="S29" s="715">
        <f t="shared" si="12"/>
        <v>100</v>
      </c>
      <c r="T29" s="714" t="s">
        <v>21</v>
      </c>
      <c r="U29" s="715">
        <f t="shared" si="13"/>
        <v>100</v>
      </c>
      <c r="V29" s="714" t="s">
        <v>21</v>
      </c>
      <c r="W29" s="715">
        <f t="shared" si="14"/>
        <v>100</v>
      </c>
      <c r="X29" s="1490"/>
      <c r="Y29" s="3459"/>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498"/>
      <c r="Q30" s="1487">
        <f t="shared" si="11"/>
        <v>111</v>
      </c>
      <c r="R30" s="714" t="s">
        <v>21</v>
      </c>
      <c r="S30" s="715">
        <f t="shared" si="12"/>
        <v>100</v>
      </c>
      <c r="T30" s="714" t="s">
        <v>21</v>
      </c>
      <c r="U30" s="715">
        <f t="shared" si="13"/>
        <v>100</v>
      </c>
      <c r="V30" s="714" t="s">
        <v>21</v>
      </c>
      <c r="W30" s="715">
        <f t="shared" si="14"/>
        <v>100</v>
      </c>
      <c r="X30" s="1490"/>
      <c r="Y30" s="3459"/>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498"/>
      <c r="Q31" s="1487">
        <f t="shared" si="11"/>
        <v>111</v>
      </c>
      <c r="R31" s="714" t="s">
        <v>21</v>
      </c>
      <c r="S31" s="715">
        <f t="shared" si="12"/>
        <v>100</v>
      </c>
      <c r="T31" s="714" t="s">
        <v>21</v>
      </c>
      <c r="U31" s="715">
        <f t="shared" si="13"/>
        <v>100</v>
      </c>
      <c r="V31" s="714" t="s">
        <v>21</v>
      </c>
      <c r="W31" s="715">
        <f t="shared" si="14"/>
        <v>100</v>
      </c>
      <c r="X31" s="1490"/>
      <c r="Y31" s="3459"/>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94" t="s">
        <v>2145</v>
      </c>
      <c r="Q32" s="1487" t="str">
        <f t="shared" si="11"/>
        <v>建筑类型</v>
      </c>
      <c r="R32" s="714" t="s">
        <v>21</v>
      </c>
      <c r="S32" s="715">
        <f t="shared" si="12"/>
        <v>100</v>
      </c>
      <c r="T32" s="714" t="s">
        <v>21</v>
      </c>
      <c r="U32" s="715">
        <f t="shared" si="13"/>
        <v>100</v>
      </c>
      <c r="V32" s="714" t="s">
        <v>21</v>
      </c>
      <c r="W32" s="715">
        <f t="shared" si="14"/>
        <v>100</v>
      </c>
      <c r="X32" s="1490"/>
      <c r="Y32" s="3461"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95"/>
      <c r="Q33" s="716" t="str">
        <f t="shared" si="11"/>
        <v>项目建筑规模</v>
      </c>
      <c r="R33" s="717" t="s">
        <v>21</v>
      </c>
      <c r="S33" s="718" t="e">
        <f t="shared" si="12"/>
        <v>#N/A</v>
      </c>
      <c r="T33" s="717" t="s">
        <v>21</v>
      </c>
      <c r="U33" s="718" t="e">
        <f t="shared" si="13"/>
        <v>#N/A</v>
      </c>
      <c r="V33" s="717" t="s">
        <v>21</v>
      </c>
      <c r="W33" s="718" t="e">
        <f t="shared" si="14"/>
        <v>#N/A</v>
      </c>
      <c r="X33" s="719"/>
      <c r="Y33" s="3461"/>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95"/>
      <c r="Q34" s="1487" t="str">
        <f t="shared" si="11"/>
        <v>建筑结构</v>
      </c>
      <c r="R34" s="714" t="s">
        <v>21</v>
      </c>
      <c r="S34" s="715">
        <f t="shared" si="12"/>
        <v>100</v>
      </c>
      <c r="T34" s="714" t="s">
        <v>21</v>
      </c>
      <c r="U34" s="715">
        <f t="shared" si="13"/>
        <v>100</v>
      </c>
      <c r="V34" s="714" t="s">
        <v>21</v>
      </c>
      <c r="W34" s="715">
        <f t="shared" si="14"/>
        <v>100</v>
      </c>
      <c r="X34" s="1490"/>
      <c r="Y34" s="3461"/>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95"/>
      <c r="Q35" s="1487" t="str">
        <f t="shared" si="11"/>
        <v>建筑品质</v>
      </c>
      <c r="R35" s="714" t="s">
        <v>21</v>
      </c>
      <c r="S35" s="715">
        <f t="shared" si="12"/>
        <v>100</v>
      </c>
      <c r="T35" s="714" t="s">
        <v>21</v>
      </c>
      <c r="U35" s="715">
        <f t="shared" si="13"/>
        <v>100</v>
      </c>
      <c r="V35" s="714" t="s">
        <v>21</v>
      </c>
      <c r="W35" s="715">
        <f t="shared" si="14"/>
        <v>100</v>
      </c>
      <c r="X35" s="1490"/>
      <c r="Y35" s="3461"/>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95"/>
      <c r="Q36" s="1487" t="str">
        <f t="shared" si="11"/>
        <v>公共部分装修</v>
      </c>
      <c r="R36" s="714" t="s">
        <v>21</v>
      </c>
      <c r="S36" s="715">
        <f t="shared" si="12"/>
        <v>100</v>
      </c>
      <c r="T36" s="714" t="s">
        <v>21</v>
      </c>
      <c r="U36" s="715">
        <f t="shared" si="13"/>
        <v>100</v>
      </c>
      <c r="V36" s="714" t="s">
        <v>21</v>
      </c>
      <c r="W36" s="715">
        <f t="shared" si="14"/>
        <v>100</v>
      </c>
      <c r="X36" s="1490"/>
      <c r="Y36" s="3461"/>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95"/>
      <c r="Q37" s="1478" t="str">
        <f t="shared" si="11"/>
        <v>成新度</v>
      </c>
      <c r="R37" s="710" t="s">
        <v>21</v>
      </c>
      <c r="S37" s="711" t="e">
        <f t="shared" si="12"/>
        <v>#N/A</v>
      </c>
      <c r="T37" s="710" t="s">
        <v>21</v>
      </c>
      <c r="U37" s="711" t="e">
        <f t="shared" si="13"/>
        <v>#N/A</v>
      </c>
      <c r="V37" s="710" t="s">
        <v>21</v>
      </c>
      <c r="W37" s="711" t="e">
        <f t="shared" si="14"/>
        <v>#N/A</v>
      </c>
      <c r="X37" s="712"/>
      <c r="Y37" s="3461"/>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95" t="s">
        <v>2145</v>
      </c>
      <c r="Q38" s="1487" t="str">
        <f t="shared" si="11"/>
        <v>物业管理</v>
      </c>
      <c r="R38" s="714" t="s">
        <v>21</v>
      </c>
      <c r="S38" s="715">
        <f t="shared" si="12"/>
        <v>100</v>
      </c>
      <c r="T38" s="714" t="s">
        <v>21</v>
      </c>
      <c r="U38" s="715">
        <f t="shared" si="13"/>
        <v>100</v>
      </c>
      <c r="V38" s="714" t="s">
        <v>21</v>
      </c>
      <c r="W38" s="715">
        <f t="shared" si="14"/>
        <v>100</v>
      </c>
      <c r="X38" s="1490"/>
      <c r="Y38" s="3461"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95"/>
      <c r="Q39" s="1487" t="str">
        <f t="shared" si="11"/>
        <v>市政基础设施</v>
      </c>
      <c r="R39" s="714" t="s">
        <v>21</v>
      </c>
      <c r="S39" s="715">
        <f t="shared" si="12"/>
        <v>100</v>
      </c>
      <c r="T39" s="714" t="s">
        <v>21</v>
      </c>
      <c r="U39" s="715">
        <f t="shared" si="13"/>
        <v>100</v>
      </c>
      <c r="V39" s="714" t="s">
        <v>21</v>
      </c>
      <c r="W39" s="715">
        <f t="shared" si="14"/>
        <v>100</v>
      </c>
      <c r="X39" s="1490"/>
      <c r="Y39" s="3461"/>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95"/>
      <c r="Q40" s="1487" t="str">
        <f t="shared" si="11"/>
        <v>房型</v>
      </c>
      <c r="R40" s="714" t="s">
        <v>21</v>
      </c>
      <c r="S40" s="715">
        <f t="shared" si="12"/>
        <v>100</v>
      </c>
      <c r="T40" s="714" t="s">
        <v>21</v>
      </c>
      <c r="U40" s="715">
        <f t="shared" si="13"/>
        <v>100</v>
      </c>
      <c r="V40" s="714" t="s">
        <v>21</v>
      </c>
      <c r="W40" s="715">
        <f t="shared" si="14"/>
        <v>100</v>
      </c>
      <c r="X40" s="1490"/>
      <c r="Y40" s="3461"/>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95"/>
      <c r="Q41" s="716" t="str">
        <f t="shared" si="11"/>
        <v>单套/主力户型建筑面积</v>
      </c>
      <c r="R41" s="717" t="s">
        <v>21</v>
      </c>
      <c r="S41" s="718">
        <f t="shared" si="12"/>
        <v>100</v>
      </c>
      <c r="T41" s="717" t="s">
        <v>21</v>
      </c>
      <c r="U41" s="718">
        <f t="shared" si="13"/>
        <v>100</v>
      </c>
      <c r="V41" s="717" t="s">
        <v>21</v>
      </c>
      <c r="W41" s="718">
        <f t="shared" si="14"/>
        <v>100</v>
      </c>
      <c r="X41" s="719"/>
      <c r="Y41" s="3461"/>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95"/>
      <c r="Q42" s="1487" t="str">
        <f t="shared" si="11"/>
        <v>内部装修</v>
      </c>
      <c r="R42" s="714" t="s">
        <v>21</v>
      </c>
      <c r="S42" s="715">
        <f t="shared" si="12"/>
        <v>100</v>
      </c>
      <c r="T42" s="714" t="s">
        <v>21</v>
      </c>
      <c r="U42" s="715">
        <f t="shared" si="13"/>
        <v>100</v>
      </c>
      <c r="V42" s="714" t="s">
        <v>21</v>
      </c>
      <c r="W42" s="715">
        <f t="shared" si="14"/>
        <v>100</v>
      </c>
      <c r="X42" s="1490"/>
      <c r="Y42" s="3461"/>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95"/>
      <c r="Q43" s="1487" t="str">
        <f t="shared" si="11"/>
        <v>内部装修维护情况</v>
      </c>
      <c r="R43" s="714" t="s">
        <v>21</v>
      </c>
      <c r="S43" s="715">
        <f t="shared" si="12"/>
        <v>100</v>
      </c>
      <c r="T43" s="714" t="s">
        <v>21</v>
      </c>
      <c r="U43" s="715">
        <f t="shared" si="13"/>
        <v>100</v>
      </c>
      <c r="V43" s="714" t="s">
        <v>21</v>
      </c>
      <c r="W43" s="715">
        <f t="shared" si="14"/>
        <v>100</v>
      </c>
      <c r="X43" s="1490"/>
      <c r="Y43" s="3461"/>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95"/>
      <c r="Q44" s="1478">
        <f t="shared" si="11"/>
        <v>111</v>
      </c>
      <c r="R44" s="710" t="s">
        <v>21</v>
      </c>
      <c r="S44" s="711">
        <f t="shared" si="12"/>
        <v>100</v>
      </c>
      <c r="T44" s="710" t="s">
        <v>21</v>
      </c>
      <c r="U44" s="711">
        <f t="shared" si="13"/>
        <v>100</v>
      </c>
      <c r="V44" s="710" t="s">
        <v>21</v>
      </c>
      <c r="W44" s="711">
        <f t="shared" si="14"/>
        <v>100</v>
      </c>
      <c r="X44" s="712"/>
      <c r="Y44" s="3461"/>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95"/>
      <c r="Q45" s="1487">
        <f t="shared" si="11"/>
        <v>111</v>
      </c>
      <c r="R45" s="714" t="s">
        <v>21</v>
      </c>
      <c r="S45" s="715">
        <f t="shared" si="12"/>
        <v>100</v>
      </c>
      <c r="T45" s="714" t="s">
        <v>21</v>
      </c>
      <c r="U45" s="715">
        <f t="shared" si="13"/>
        <v>100</v>
      </c>
      <c r="V45" s="714" t="s">
        <v>21</v>
      </c>
      <c r="W45" s="715">
        <f t="shared" si="14"/>
        <v>100</v>
      </c>
      <c r="X45" s="1490"/>
      <c r="Y45" s="3461"/>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96"/>
      <c r="Q46" s="1487">
        <f t="shared" si="11"/>
        <v>111</v>
      </c>
      <c r="R46" s="714" t="s">
        <v>20</v>
      </c>
      <c r="S46" s="715">
        <f t="shared" si="12"/>
        <v>100</v>
      </c>
      <c r="T46" s="714" t="s">
        <v>20</v>
      </c>
      <c r="U46" s="715">
        <f t="shared" si="13"/>
        <v>100</v>
      </c>
      <c r="V46" s="714" t="s">
        <v>20</v>
      </c>
      <c r="W46" s="715">
        <f t="shared" si="14"/>
        <v>100</v>
      </c>
      <c r="X46" s="1490"/>
      <c r="Y46" s="3462"/>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3"/>
      <c r="M47" s="2904"/>
      <c r="N47" s="2895"/>
      <c r="O47" s="2904"/>
      <c r="P47" s="3443" t="str">
        <f>A47</f>
        <v>成交单价（元/平方米）</v>
      </c>
      <c r="Q47" s="3443"/>
      <c r="R47" s="3463">
        <f>E47</f>
        <v>0</v>
      </c>
      <c r="S47" s="3463"/>
      <c r="T47" s="3463">
        <f>G47</f>
        <v>0</v>
      </c>
      <c r="U47" s="3463"/>
      <c r="V47" s="3463">
        <f>I47</f>
        <v>0</v>
      </c>
      <c r="W47" s="3463"/>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3"/>
      <c r="M48" s="2904"/>
      <c r="N48" s="2904"/>
      <c r="O48" s="2904"/>
      <c r="P48" s="3443" t="str">
        <f>A48</f>
        <v>比较价值（元/平方米）</v>
      </c>
      <c r="Q48" s="3443"/>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3"/>
      <c r="M49" s="2904"/>
      <c r="N49" s="2904"/>
      <c r="O49" s="2904"/>
      <c r="P49" s="3464" t="str">
        <f>A49</f>
        <v>估价对象XX用房的比较价值（楼面单价，元/平方米）</v>
      </c>
      <c r="Q49" s="3465"/>
      <c r="R49" s="3466" t="e">
        <f>IF(F1="售价",ROUND(IF(D48="简单平均",AVERAGE(R48:V48),R48*F48+T48*H48+V48*J48),0),ROUND(IF(D48="简单平均",AVERAGE(R48:V48),R48*F48+T48*H48+V48*J48),1))</f>
        <v>#DIV/0!</v>
      </c>
      <c r="S49" s="3466"/>
      <c r="T49" s="3466"/>
      <c r="U49" s="3466"/>
      <c r="V49" s="3466"/>
      <c r="W49" s="3466"/>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2022-5</v>
      </c>
      <c r="D58" s="1300">
        <f>EDATE(C58,-1)</f>
        <v>44652</v>
      </c>
      <c r="E58" s="1300">
        <f>EDATE(D58,-1)</f>
        <v>44621</v>
      </c>
      <c r="F58" s="1300">
        <f t="shared" ref="F58:O58" si="19">EDATE(E58,-1)</f>
        <v>44593</v>
      </c>
      <c r="G58" s="1300">
        <f t="shared" si="19"/>
        <v>44562</v>
      </c>
      <c r="H58" s="1300">
        <f t="shared" si="19"/>
        <v>44531</v>
      </c>
      <c r="I58" s="1300">
        <f t="shared" si="19"/>
        <v>44501</v>
      </c>
      <c r="J58" s="1300">
        <f t="shared" si="19"/>
        <v>44470</v>
      </c>
      <c r="K58" s="1300">
        <f t="shared" si="19"/>
        <v>44440</v>
      </c>
      <c r="L58" s="1300">
        <f t="shared" si="19"/>
        <v>44409</v>
      </c>
      <c r="M58" s="1300">
        <f t="shared" si="19"/>
        <v>44378</v>
      </c>
      <c r="N58" s="1300">
        <f t="shared" si="19"/>
        <v>44348</v>
      </c>
      <c r="O58" s="1300">
        <f t="shared" si="19"/>
        <v>44317</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2656.2</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5">
      <c r="A4" s="361" t="s">
        <v>2225</v>
      </c>
      <c r="B4" s="362"/>
      <c r="C4" s="3444" t="s">
        <v>2226</v>
      </c>
      <c r="D4" s="3445"/>
      <c r="E4" s="3446" t="s">
        <v>2227</v>
      </c>
      <c r="F4" s="3447"/>
      <c r="G4" s="3444" t="s">
        <v>2228</v>
      </c>
      <c r="H4" s="3445"/>
      <c r="I4" s="3444" t="s">
        <v>2229</v>
      </c>
      <c r="J4" s="3445"/>
      <c r="K4" s="567" t="s">
        <v>2230</v>
      </c>
      <c r="L4" s="2894"/>
      <c r="M4" s="2895"/>
      <c r="N4" s="2895"/>
      <c r="O4" s="2895"/>
      <c r="P4" s="3448" t="s">
        <v>2231</v>
      </c>
      <c r="Q4" s="3449"/>
      <c r="R4" s="3431" t="s">
        <v>2227</v>
      </c>
      <c r="S4" s="3432"/>
      <c r="T4" s="3431" t="s">
        <v>2228</v>
      </c>
      <c r="U4" s="3432"/>
      <c r="V4" s="3456" t="s">
        <v>2229</v>
      </c>
      <c r="W4" s="3456"/>
      <c r="X4" s="1490"/>
      <c r="Y4" s="3431" t="s">
        <v>2231</v>
      </c>
      <c r="Z4" s="3432"/>
      <c r="AA4" s="3426" t="s">
        <v>2227</v>
      </c>
      <c r="AB4" s="3456" t="s">
        <v>2228</v>
      </c>
      <c r="AC4" s="3426" t="s">
        <v>2229</v>
      </c>
    </row>
    <row r="5" spans="1:29" ht="15">
      <c r="A5" s="364"/>
      <c r="B5" s="365"/>
      <c r="C5" s="3437" t="s">
        <v>2122</v>
      </c>
      <c r="D5" s="3438"/>
      <c r="E5" s="3435" t="s">
        <v>2123</v>
      </c>
      <c r="F5" s="3436"/>
      <c r="G5" s="3437" t="s">
        <v>2124</v>
      </c>
      <c r="H5" s="3438"/>
      <c r="I5" s="3437" t="s">
        <v>2125</v>
      </c>
      <c r="J5" s="3438"/>
      <c r="K5" s="567"/>
      <c r="L5" s="2894"/>
      <c r="M5" s="2895"/>
      <c r="N5" s="2895"/>
      <c r="O5" s="2895"/>
      <c r="P5" s="3450"/>
      <c r="Q5" s="3451"/>
      <c r="R5" s="3433"/>
      <c r="S5" s="3434"/>
      <c r="T5" s="3433"/>
      <c r="U5" s="3434"/>
      <c r="V5" s="3456"/>
      <c r="W5" s="3456"/>
      <c r="X5" s="1490"/>
      <c r="Y5" s="3433"/>
      <c r="Z5" s="3434"/>
      <c r="AA5" s="3427"/>
      <c r="AB5" s="3456"/>
      <c r="AC5" s="3427"/>
    </row>
    <row r="6" spans="1:29" ht="15.75" thickBot="1">
      <c r="A6" s="366"/>
      <c r="B6" s="367"/>
      <c r="C6" s="3439" t="s">
        <v>2126</v>
      </c>
      <c r="D6" s="3440"/>
      <c r="E6" s="3441" t="s">
        <v>2126</v>
      </c>
      <c r="F6" s="3442"/>
      <c r="G6" s="3439" t="s">
        <v>2126</v>
      </c>
      <c r="H6" s="3440"/>
      <c r="I6" s="3439" t="s">
        <v>2126</v>
      </c>
      <c r="J6" s="3440"/>
      <c r="K6" s="567" t="s">
        <v>2127</v>
      </c>
      <c r="L6" s="2894"/>
      <c r="M6" s="2895"/>
      <c r="N6" s="2895"/>
      <c r="O6" s="2895"/>
      <c r="P6" s="3452"/>
      <c r="Q6" s="3453"/>
      <c r="R6" s="3433"/>
      <c r="S6" s="3434"/>
      <c r="T6" s="3454"/>
      <c r="U6" s="3455"/>
      <c r="V6" s="3456"/>
      <c r="W6" s="3456"/>
      <c r="X6" s="1490"/>
      <c r="Y6" s="3454"/>
      <c r="Z6" s="3455"/>
      <c r="AA6" s="3428"/>
      <c r="AB6" s="3456"/>
      <c r="AC6" s="3428"/>
    </row>
    <row r="7" spans="1:29" s="113" customFormat="1" ht="15.75" thickBot="1">
      <c r="A7" s="368" t="s">
        <v>2128</v>
      </c>
      <c r="B7" s="369"/>
      <c r="C7" s="370">
        <f>'数据-取费表'!B2</f>
        <v>44705</v>
      </c>
      <c r="D7" s="371">
        <v>100</v>
      </c>
      <c r="E7" s="372"/>
      <c r="F7" s="373">
        <f>SUMIF(58:58,YEAR(E7)&amp;"-"&amp;MONTH(E7),59:59)</f>
        <v>0</v>
      </c>
      <c r="G7" s="372"/>
      <c r="H7" s="371">
        <f>SUMIF(58:58,YEAR(G7)&amp;"-"&amp;MONTH(G7),59:59)</f>
        <v>0</v>
      </c>
      <c r="I7" s="372"/>
      <c r="J7" s="371">
        <f>SUMIF(58:58,YEAR(I7)&amp;"-"&amp;MONTH(I7),59:59)</f>
        <v>0</v>
      </c>
      <c r="K7" s="568"/>
      <c r="L7" s="2896"/>
      <c r="M7" s="2897"/>
      <c r="N7" s="2897"/>
      <c r="O7" s="2897"/>
      <c r="P7" s="3429" t="s">
        <v>2129</v>
      </c>
      <c r="Q7" s="3457"/>
      <c r="R7" s="710" t="s">
        <v>17</v>
      </c>
      <c r="S7" s="711">
        <f t="shared" ref="S7:S15" si="0">F7</f>
        <v>0</v>
      </c>
      <c r="T7" s="710" t="s">
        <v>17</v>
      </c>
      <c r="U7" s="711">
        <f t="shared" ref="U7:U15" si="1">H7</f>
        <v>0</v>
      </c>
      <c r="V7" s="710" t="s">
        <v>17</v>
      </c>
      <c r="W7" s="711">
        <f t="shared" ref="W7:W15" si="2">J7</f>
        <v>0</v>
      </c>
      <c r="X7" s="712"/>
      <c r="Y7" s="3429" t="s">
        <v>2129</v>
      </c>
      <c r="Z7" s="3430"/>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429" t="s">
        <v>2132</v>
      </c>
      <c r="Q8" s="3430"/>
      <c r="R8" s="710" t="s">
        <v>17</v>
      </c>
      <c r="S8" s="711">
        <f t="shared" si="0"/>
        <v>0</v>
      </c>
      <c r="T8" s="710" t="s">
        <v>17</v>
      </c>
      <c r="U8" s="711">
        <f t="shared" si="1"/>
        <v>0</v>
      </c>
      <c r="V8" s="710" t="s">
        <v>17</v>
      </c>
      <c r="W8" s="711">
        <f t="shared" si="2"/>
        <v>0</v>
      </c>
      <c r="X8" s="712"/>
      <c r="Y8" s="3429" t="s">
        <v>2132</v>
      </c>
      <c r="Z8" s="3430"/>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93" t="s">
        <v>2135</v>
      </c>
      <c r="Q9" s="1478" t="str">
        <f t="shared" ref="Q9:Q15" si="6">B9</f>
        <v>用途</v>
      </c>
      <c r="R9" s="710" t="s">
        <v>17</v>
      </c>
      <c r="S9" s="711">
        <f t="shared" si="0"/>
        <v>100</v>
      </c>
      <c r="T9" s="710" t="s">
        <v>17</v>
      </c>
      <c r="U9" s="711">
        <f t="shared" si="1"/>
        <v>100</v>
      </c>
      <c r="V9" s="710" t="s">
        <v>17</v>
      </c>
      <c r="W9" s="711">
        <f t="shared" si="2"/>
        <v>100</v>
      </c>
      <c r="X9" s="712"/>
      <c r="Y9" s="339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93"/>
      <c r="Q10" s="1478" t="str">
        <f t="shared" si="6"/>
        <v>土地使用年限（年）</v>
      </c>
      <c r="R10" s="710" t="s">
        <v>17</v>
      </c>
      <c r="S10" s="711">
        <f t="shared" si="0"/>
        <v>100</v>
      </c>
      <c r="T10" s="710" t="s">
        <v>17</v>
      </c>
      <c r="U10" s="711">
        <f t="shared" si="1"/>
        <v>100</v>
      </c>
      <c r="V10" s="710" t="s">
        <v>17</v>
      </c>
      <c r="W10" s="711">
        <f t="shared" si="2"/>
        <v>100</v>
      </c>
      <c r="X10" s="712"/>
      <c r="Y10" s="339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93"/>
      <c r="Q11" s="1478" t="str">
        <f t="shared" si="6"/>
        <v>容积率</v>
      </c>
      <c r="R11" s="710" t="s">
        <v>17</v>
      </c>
      <c r="S11" s="711" t="e">
        <f t="shared" si="0"/>
        <v>#N/A</v>
      </c>
      <c r="T11" s="710" t="s">
        <v>17</v>
      </c>
      <c r="U11" s="711" t="e">
        <f t="shared" si="1"/>
        <v>#N/A</v>
      </c>
      <c r="V11" s="710" t="s">
        <v>17</v>
      </c>
      <c r="W11" s="711" t="e">
        <f t="shared" si="2"/>
        <v>#N/A</v>
      </c>
      <c r="X11" s="712"/>
      <c r="Y11" s="3399"/>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93"/>
      <c r="Q12" s="1478">
        <f t="shared" si="6"/>
        <v>111</v>
      </c>
      <c r="R12" s="710" t="s">
        <v>17</v>
      </c>
      <c r="S12" s="711">
        <f t="shared" si="0"/>
        <v>100</v>
      </c>
      <c r="T12" s="710" t="s">
        <v>17</v>
      </c>
      <c r="U12" s="711">
        <f t="shared" si="1"/>
        <v>100</v>
      </c>
      <c r="V12" s="710" t="s">
        <v>17</v>
      </c>
      <c r="W12" s="711">
        <f t="shared" si="2"/>
        <v>100</v>
      </c>
      <c r="X12" s="712"/>
      <c r="Y12" s="3399"/>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93"/>
      <c r="Q13" s="1478">
        <f t="shared" si="6"/>
        <v>111</v>
      </c>
      <c r="R13" s="710" t="s">
        <v>17</v>
      </c>
      <c r="S13" s="711">
        <f t="shared" si="0"/>
        <v>100</v>
      </c>
      <c r="T13" s="710" t="s">
        <v>17</v>
      </c>
      <c r="U13" s="711">
        <f t="shared" si="1"/>
        <v>100</v>
      </c>
      <c r="V13" s="710" t="s">
        <v>17</v>
      </c>
      <c r="W13" s="711">
        <f t="shared" si="2"/>
        <v>100</v>
      </c>
      <c r="X13" s="712"/>
      <c r="Y13" s="3399"/>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93"/>
      <c r="Q14" s="1478">
        <f t="shared" si="6"/>
        <v>111</v>
      </c>
      <c r="R14" s="710" t="s">
        <v>17</v>
      </c>
      <c r="S14" s="711">
        <f t="shared" si="0"/>
        <v>100</v>
      </c>
      <c r="T14" s="710" t="s">
        <v>17</v>
      </c>
      <c r="U14" s="711">
        <f t="shared" si="1"/>
        <v>100</v>
      </c>
      <c r="V14" s="710" t="s">
        <v>17</v>
      </c>
      <c r="W14" s="711">
        <f t="shared" si="2"/>
        <v>100</v>
      </c>
      <c r="X14" s="712"/>
      <c r="Y14" s="3399"/>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497" t="s">
        <v>2140</v>
      </c>
      <c r="Q15" s="1487" t="str">
        <f t="shared" si="6"/>
        <v>商业繁华度</v>
      </c>
      <c r="R15" s="714" t="s">
        <v>17</v>
      </c>
      <c r="S15" s="715">
        <f t="shared" si="0"/>
        <v>100</v>
      </c>
      <c r="T15" s="714" t="s">
        <v>17</v>
      </c>
      <c r="U15" s="715">
        <f t="shared" si="1"/>
        <v>100</v>
      </c>
      <c r="V15" s="714" t="s">
        <v>17</v>
      </c>
      <c r="W15" s="715">
        <f t="shared" si="2"/>
        <v>100</v>
      </c>
      <c r="X15" s="1490"/>
      <c r="Y15" s="3458"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498"/>
      <c r="Q16" s="1487"/>
      <c r="R16" s="714"/>
      <c r="S16" s="715"/>
      <c r="T16" s="714"/>
      <c r="U16" s="715"/>
      <c r="V16" s="714"/>
      <c r="W16" s="715"/>
      <c r="X16" s="1490"/>
      <c r="Y16" s="3459"/>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498"/>
      <c r="Q17" s="1487" t="str">
        <f>B17</f>
        <v>交通便捷度</v>
      </c>
      <c r="R17" s="714" t="s">
        <v>17</v>
      </c>
      <c r="S17" s="715">
        <f>F17</f>
        <v>100</v>
      </c>
      <c r="T17" s="714" t="s">
        <v>17</v>
      </c>
      <c r="U17" s="715">
        <f>H17</f>
        <v>100</v>
      </c>
      <c r="V17" s="714" t="s">
        <v>17</v>
      </c>
      <c r="W17" s="715">
        <f>J17</f>
        <v>100</v>
      </c>
      <c r="X17" s="1490"/>
      <c r="Y17" s="3459"/>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498"/>
      <c r="Q18" s="1487"/>
      <c r="R18" s="714"/>
      <c r="S18" s="715"/>
      <c r="T18" s="714"/>
      <c r="U18" s="715"/>
      <c r="V18" s="714"/>
      <c r="W18" s="715"/>
      <c r="X18" s="1490"/>
      <c r="Y18" s="3459"/>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498"/>
      <c r="Q19" s="1487" t="str">
        <f>B19</f>
        <v>公共配套设施</v>
      </c>
      <c r="R19" s="714" t="s">
        <v>17</v>
      </c>
      <c r="S19" s="715">
        <f>F19</f>
        <v>100</v>
      </c>
      <c r="T19" s="714" t="s">
        <v>17</v>
      </c>
      <c r="U19" s="715">
        <f>H19</f>
        <v>100</v>
      </c>
      <c r="V19" s="714" t="s">
        <v>17</v>
      </c>
      <c r="W19" s="715">
        <f>J19</f>
        <v>100</v>
      </c>
      <c r="X19" s="1490"/>
      <c r="Y19" s="3459"/>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498"/>
      <c r="Q20" s="1487"/>
      <c r="R20" s="714"/>
      <c r="S20" s="715"/>
      <c r="T20" s="714"/>
      <c r="U20" s="715"/>
      <c r="V20" s="714"/>
      <c r="W20" s="715"/>
      <c r="X20" s="1490"/>
      <c r="Y20" s="3459"/>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498"/>
      <c r="Q21" s="1487" t="str">
        <f>B21</f>
        <v>基础设施水平</v>
      </c>
      <c r="R21" s="714" t="s">
        <v>17</v>
      </c>
      <c r="S21" s="715">
        <f>F21</f>
        <v>100</v>
      </c>
      <c r="T21" s="714" t="s">
        <v>17</v>
      </c>
      <c r="U21" s="715">
        <f>H21</f>
        <v>100</v>
      </c>
      <c r="V21" s="714" t="s">
        <v>17</v>
      </c>
      <c r="W21" s="715">
        <f>J21</f>
        <v>100</v>
      </c>
      <c r="X21" s="1490"/>
      <c r="Y21" s="345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498"/>
      <c r="Q22" s="1487"/>
      <c r="R22" s="714"/>
      <c r="S22" s="715"/>
      <c r="T22" s="714"/>
      <c r="U22" s="715"/>
      <c r="V22" s="714"/>
      <c r="W22" s="715"/>
      <c r="X22" s="1490"/>
      <c r="Y22" s="3459"/>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498"/>
      <c r="Q23" s="1487" t="str">
        <f>B23</f>
        <v>自然及人文环境</v>
      </c>
      <c r="R23" s="714" t="s">
        <v>17</v>
      </c>
      <c r="S23" s="715">
        <f>F23</f>
        <v>100</v>
      </c>
      <c r="T23" s="714" t="s">
        <v>17</v>
      </c>
      <c r="U23" s="715">
        <f>H23</f>
        <v>100</v>
      </c>
      <c r="V23" s="714" t="s">
        <v>17</v>
      </c>
      <c r="W23" s="715">
        <f>J23</f>
        <v>100</v>
      </c>
      <c r="X23" s="1490"/>
      <c r="Y23" s="3459"/>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498"/>
      <c r="Q24" s="1487"/>
      <c r="R24" s="714"/>
      <c r="S24" s="715"/>
      <c r="T24" s="714"/>
      <c r="U24" s="715"/>
      <c r="V24" s="714"/>
      <c r="W24" s="715"/>
      <c r="X24" s="1490"/>
      <c r="Y24" s="3459"/>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498"/>
      <c r="Q25" s="1487" t="str">
        <f t="shared" ref="Q25:Q46" si="11">B25</f>
        <v>临街状况</v>
      </c>
      <c r="R25" s="714" t="s">
        <v>17</v>
      </c>
      <c r="S25" s="715">
        <f>F25</f>
        <v>100</v>
      </c>
      <c r="T25" s="714" t="s">
        <v>17</v>
      </c>
      <c r="U25" s="715">
        <f>H25</f>
        <v>100</v>
      </c>
      <c r="V25" s="714" t="s">
        <v>17</v>
      </c>
      <c r="W25" s="715">
        <f>J25</f>
        <v>100</v>
      </c>
      <c r="X25" s="1490"/>
      <c r="Y25" s="3459"/>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498"/>
      <c r="Q26" s="1487" t="str">
        <f t="shared" si="11"/>
        <v>平面位置/可视性</v>
      </c>
      <c r="R26" s="714" t="s">
        <v>17</v>
      </c>
      <c r="S26" s="715">
        <f>F26</f>
        <v>100</v>
      </c>
      <c r="T26" s="714" t="s">
        <v>17</v>
      </c>
      <c r="U26" s="715">
        <f>H26</f>
        <v>100</v>
      </c>
      <c r="V26" s="714" t="s">
        <v>17</v>
      </c>
      <c r="W26" s="715">
        <f>J26</f>
        <v>100</v>
      </c>
      <c r="X26" s="1490"/>
      <c r="Y26" s="3459"/>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498"/>
      <c r="Q27" s="1478" t="str">
        <f t="shared" si="11"/>
        <v>人流量</v>
      </c>
      <c r="R27" s="710" t="s">
        <v>17</v>
      </c>
      <c r="S27" s="711">
        <f>F27</f>
        <v>100</v>
      </c>
      <c r="T27" s="710" t="s">
        <v>17</v>
      </c>
      <c r="U27" s="711">
        <f>H27</f>
        <v>100</v>
      </c>
      <c r="V27" s="710" t="s">
        <v>17</v>
      </c>
      <c r="W27" s="711">
        <f>J27</f>
        <v>100</v>
      </c>
      <c r="X27" s="712"/>
      <c r="Y27" s="3459"/>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498"/>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59"/>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498"/>
      <c r="Q29" s="1487">
        <f t="shared" si="11"/>
        <v>111</v>
      </c>
      <c r="R29" s="714" t="s">
        <v>17</v>
      </c>
      <c r="S29" s="715">
        <f t="shared" si="12"/>
        <v>100</v>
      </c>
      <c r="T29" s="714" t="s">
        <v>17</v>
      </c>
      <c r="U29" s="715">
        <f t="shared" si="13"/>
        <v>100</v>
      </c>
      <c r="V29" s="714" t="s">
        <v>17</v>
      </c>
      <c r="W29" s="715">
        <f t="shared" si="14"/>
        <v>100</v>
      </c>
      <c r="X29" s="1490"/>
      <c r="Y29" s="3459"/>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498"/>
      <c r="Q30" s="1487">
        <f t="shared" si="11"/>
        <v>111</v>
      </c>
      <c r="R30" s="714" t="s">
        <v>17</v>
      </c>
      <c r="S30" s="715">
        <f t="shared" si="12"/>
        <v>100</v>
      </c>
      <c r="T30" s="714" t="s">
        <v>17</v>
      </c>
      <c r="U30" s="715">
        <f t="shared" si="13"/>
        <v>100</v>
      </c>
      <c r="V30" s="714" t="s">
        <v>17</v>
      </c>
      <c r="W30" s="715">
        <f t="shared" si="14"/>
        <v>100</v>
      </c>
      <c r="X30" s="1490"/>
      <c r="Y30" s="3459"/>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498"/>
      <c r="Q31" s="1487">
        <f t="shared" si="11"/>
        <v>111</v>
      </c>
      <c r="R31" s="714" t="s">
        <v>17</v>
      </c>
      <c r="S31" s="715">
        <f t="shared" si="12"/>
        <v>100</v>
      </c>
      <c r="T31" s="714" t="s">
        <v>17</v>
      </c>
      <c r="U31" s="715">
        <f t="shared" si="13"/>
        <v>100</v>
      </c>
      <c r="V31" s="714" t="s">
        <v>17</v>
      </c>
      <c r="W31" s="715">
        <f t="shared" si="14"/>
        <v>100</v>
      </c>
      <c r="X31" s="1490"/>
      <c r="Y31" s="3459"/>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94" t="s">
        <v>2145</v>
      </c>
      <c r="Q32" s="1487" t="str">
        <f t="shared" si="11"/>
        <v>商业类型</v>
      </c>
      <c r="R32" s="714" t="s">
        <v>17</v>
      </c>
      <c r="S32" s="715">
        <f t="shared" si="12"/>
        <v>100</v>
      </c>
      <c r="T32" s="714" t="s">
        <v>17</v>
      </c>
      <c r="U32" s="715">
        <f t="shared" si="13"/>
        <v>100</v>
      </c>
      <c r="V32" s="714" t="s">
        <v>17</v>
      </c>
      <c r="W32" s="715">
        <f t="shared" si="14"/>
        <v>100</v>
      </c>
      <c r="X32" s="1490"/>
      <c r="Y32" s="3461"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95"/>
      <c r="Q33" s="716" t="str">
        <f t="shared" si="11"/>
        <v>项目建筑规模</v>
      </c>
      <c r="R33" s="717" t="s">
        <v>17</v>
      </c>
      <c r="S33" s="718" t="e">
        <f t="shared" si="12"/>
        <v>#N/A</v>
      </c>
      <c r="T33" s="717" t="s">
        <v>17</v>
      </c>
      <c r="U33" s="718" t="e">
        <f t="shared" si="13"/>
        <v>#N/A</v>
      </c>
      <c r="V33" s="717" t="s">
        <v>17</v>
      </c>
      <c r="W33" s="718" t="e">
        <f t="shared" si="14"/>
        <v>#N/A</v>
      </c>
      <c r="X33" s="719"/>
      <c r="Y33" s="3461"/>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95"/>
      <c r="Q34" s="1487" t="str">
        <f t="shared" si="11"/>
        <v>建筑结构</v>
      </c>
      <c r="R34" s="714" t="s">
        <v>17</v>
      </c>
      <c r="S34" s="715">
        <f t="shared" si="12"/>
        <v>100</v>
      </c>
      <c r="T34" s="714" t="s">
        <v>17</v>
      </c>
      <c r="U34" s="715">
        <f t="shared" si="13"/>
        <v>100</v>
      </c>
      <c r="V34" s="714" t="s">
        <v>17</v>
      </c>
      <c r="W34" s="715">
        <f t="shared" si="14"/>
        <v>100</v>
      </c>
      <c r="X34" s="1490"/>
      <c r="Y34" s="3461"/>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95"/>
      <c r="Q35" s="1487" t="str">
        <f t="shared" si="11"/>
        <v>公共部分装修</v>
      </c>
      <c r="R35" s="714" t="s">
        <v>17</v>
      </c>
      <c r="S35" s="715">
        <f t="shared" si="12"/>
        <v>100</v>
      </c>
      <c r="T35" s="714" t="s">
        <v>17</v>
      </c>
      <c r="U35" s="715">
        <f t="shared" si="13"/>
        <v>100</v>
      </c>
      <c r="V35" s="714" t="s">
        <v>17</v>
      </c>
      <c r="W35" s="715">
        <f t="shared" si="14"/>
        <v>100</v>
      </c>
      <c r="X35" s="1490"/>
      <c r="Y35" s="3461"/>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95"/>
      <c r="Q36" s="1487" t="str">
        <f t="shared" si="11"/>
        <v>成新度</v>
      </c>
      <c r="R36" s="714" t="s">
        <v>17</v>
      </c>
      <c r="S36" s="715" t="e">
        <f t="shared" si="12"/>
        <v>#N/A</v>
      </c>
      <c r="T36" s="714" t="s">
        <v>17</v>
      </c>
      <c r="U36" s="715" t="e">
        <f t="shared" si="13"/>
        <v>#N/A</v>
      </c>
      <c r="V36" s="714" t="s">
        <v>17</v>
      </c>
      <c r="W36" s="715" t="e">
        <f t="shared" si="14"/>
        <v>#N/A</v>
      </c>
      <c r="X36" s="1490"/>
      <c r="Y36" s="3461"/>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95"/>
      <c r="Q37" s="1478" t="str">
        <f t="shared" si="11"/>
        <v>市政基础设施</v>
      </c>
      <c r="R37" s="710" t="s">
        <v>17</v>
      </c>
      <c r="S37" s="711">
        <f t="shared" si="12"/>
        <v>100</v>
      </c>
      <c r="T37" s="710" t="s">
        <v>17</v>
      </c>
      <c r="U37" s="711">
        <f t="shared" si="13"/>
        <v>100</v>
      </c>
      <c r="V37" s="710" t="s">
        <v>17</v>
      </c>
      <c r="W37" s="711">
        <f t="shared" si="14"/>
        <v>100</v>
      </c>
      <c r="X37" s="712"/>
      <c r="Y37" s="3461"/>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95" t="s">
        <v>2145</v>
      </c>
      <c r="Q38" s="1487" t="str">
        <f t="shared" si="11"/>
        <v>业态</v>
      </c>
      <c r="R38" s="714" t="s">
        <v>17</v>
      </c>
      <c r="S38" s="715">
        <f t="shared" si="12"/>
        <v>100</v>
      </c>
      <c r="T38" s="714" t="s">
        <v>17</v>
      </c>
      <c r="U38" s="715">
        <f t="shared" si="13"/>
        <v>100</v>
      </c>
      <c r="V38" s="714" t="s">
        <v>17</v>
      </c>
      <c r="W38" s="715">
        <f t="shared" si="14"/>
        <v>100</v>
      </c>
      <c r="X38" s="1490"/>
      <c r="Y38" s="3461"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95"/>
      <c r="Q39" s="1487" t="str">
        <f t="shared" si="11"/>
        <v>层高</v>
      </c>
      <c r="R39" s="714" t="s">
        <v>17</v>
      </c>
      <c r="S39" s="715">
        <f t="shared" si="12"/>
        <v>100</v>
      </c>
      <c r="T39" s="714" t="s">
        <v>17</v>
      </c>
      <c r="U39" s="715">
        <f t="shared" si="13"/>
        <v>100</v>
      </c>
      <c r="V39" s="714" t="s">
        <v>17</v>
      </c>
      <c r="W39" s="715">
        <f t="shared" si="14"/>
        <v>100</v>
      </c>
      <c r="X39" s="1490"/>
      <c r="Y39" s="3461"/>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95"/>
      <c r="Q40" s="1487" t="str">
        <f t="shared" si="11"/>
        <v>单套建筑面积</v>
      </c>
      <c r="R40" s="714" t="s">
        <v>17</v>
      </c>
      <c r="S40" s="715">
        <f t="shared" si="12"/>
        <v>100</v>
      </c>
      <c r="T40" s="714" t="s">
        <v>17</v>
      </c>
      <c r="U40" s="715">
        <f t="shared" si="13"/>
        <v>100</v>
      </c>
      <c r="V40" s="714" t="s">
        <v>17</v>
      </c>
      <c r="W40" s="715">
        <f t="shared" si="14"/>
        <v>100</v>
      </c>
      <c r="X40" s="1490"/>
      <c r="Y40" s="3461"/>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95"/>
      <c r="Q41" s="716" t="str">
        <f t="shared" si="11"/>
        <v>进深比</v>
      </c>
      <c r="R41" s="717" t="s">
        <v>17</v>
      </c>
      <c r="S41" s="718">
        <f t="shared" si="12"/>
        <v>100</v>
      </c>
      <c r="T41" s="717" t="s">
        <v>17</v>
      </c>
      <c r="U41" s="718">
        <f t="shared" si="13"/>
        <v>100</v>
      </c>
      <c r="V41" s="717" t="s">
        <v>17</v>
      </c>
      <c r="W41" s="718">
        <f t="shared" si="14"/>
        <v>100</v>
      </c>
      <c r="X41" s="719"/>
      <c r="Y41" s="3461"/>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95"/>
      <c r="Q42" s="1487" t="str">
        <f t="shared" si="11"/>
        <v>内部装修</v>
      </c>
      <c r="R42" s="714" t="s">
        <v>17</v>
      </c>
      <c r="S42" s="715">
        <f t="shared" si="12"/>
        <v>100</v>
      </c>
      <c r="T42" s="714" t="s">
        <v>17</v>
      </c>
      <c r="U42" s="715">
        <f t="shared" si="13"/>
        <v>100</v>
      </c>
      <c r="V42" s="714" t="s">
        <v>17</v>
      </c>
      <c r="W42" s="715">
        <f t="shared" si="14"/>
        <v>100</v>
      </c>
      <c r="X42" s="1490"/>
      <c r="Y42" s="3461"/>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95"/>
      <c r="Q43" s="1487" t="str">
        <f t="shared" si="11"/>
        <v>内部装修维护情况</v>
      </c>
      <c r="R43" s="714" t="s">
        <v>17</v>
      </c>
      <c r="S43" s="715">
        <f t="shared" si="12"/>
        <v>100</v>
      </c>
      <c r="T43" s="714" t="s">
        <v>17</v>
      </c>
      <c r="U43" s="715">
        <f t="shared" si="13"/>
        <v>100</v>
      </c>
      <c r="V43" s="714" t="s">
        <v>17</v>
      </c>
      <c r="W43" s="715">
        <f t="shared" si="14"/>
        <v>100</v>
      </c>
      <c r="X43" s="1490"/>
      <c r="Y43" s="3461"/>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95"/>
      <c r="Q44" s="1478">
        <f t="shared" si="11"/>
        <v>111</v>
      </c>
      <c r="R44" s="710" t="s">
        <v>17</v>
      </c>
      <c r="S44" s="711">
        <f t="shared" si="12"/>
        <v>100</v>
      </c>
      <c r="T44" s="710" t="s">
        <v>17</v>
      </c>
      <c r="U44" s="711">
        <f t="shared" si="13"/>
        <v>100</v>
      </c>
      <c r="V44" s="710" t="s">
        <v>17</v>
      </c>
      <c r="W44" s="711">
        <f t="shared" si="14"/>
        <v>100</v>
      </c>
      <c r="X44" s="712"/>
      <c r="Y44" s="3461"/>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95"/>
      <c r="Q45" s="1487">
        <f t="shared" si="11"/>
        <v>111</v>
      </c>
      <c r="R45" s="714" t="s">
        <v>17</v>
      </c>
      <c r="S45" s="715">
        <f t="shared" si="12"/>
        <v>100</v>
      </c>
      <c r="T45" s="714" t="s">
        <v>17</v>
      </c>
      <c r="U45" s="715">
        <f t="shared" si="13"/>
        <v>100</v>
      </c>
      <c r="V45" s="714" t="s">
        <v>17</v>
      </c>
      <c r="W45" s="715">
        <f t="shared" si="14"/>
        <v>100</v>
      </c>
      <c r="X45" s="1490"/>
      <c r="Y45" s="3461"/>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96"/>
      <c r="Q46" s="1487">
        <f t="shared" si="11"/>
        <v>111</v>
      </c>
      <c r="R46" s="714" t="s">
        <v>17</v>
      </c>
      <c r="S46" s="715">
        <f t="shared" si="12"/>
        <v>100</v>
      </c>
      <c r="T46" s="714" t="s">
        <v>17</v>
      </c>
      <c r="U46" s="715">
        <f t="shared" si="13"/>
        <v>100</v>
      </c>
      <c r="V46" s="714" t="s">
        <v>17</v>
      </c>
      <c r="W46" s="715">
        <f t="shared" si="14"/>
        <v>100</v>
      </c>
      <c r="X46" s="1490"/>
      <c r="Y46" s="3462"/>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3"/>
      <c r="M47" s="2904"/>
      <c r="N47" s="2895"/>
      <c r="O47" s="2904"/>
      <c r="P47" s="3443" t="str">
        <f>A47</f>
        <v>成交单价（元/平方米）</v>
      </c>
      <c r="Q47" s="3443"/>
      <c r="R47" s="3456">
        <f>E47</f>
        <v>0</v>
      </c>
      <c r="S47" s="3456"/>
      <c r="T47" s="3456">
        <f>G47</f>
        <v>0</v>
      </c>
      <c r="U47" s="3456"/>
      <c r="V47" s="3456">
        <f>I47</f>
        <v>0</v>
      </c>
      <c r="W47" s="3456"/>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3"/>
      <c r="M48" s="2904"/>
      <c r="N48" s="2895"/>
      <c r="O48" s="2904"/>
      <c r="P48" s="3443" t="str">
        <f>A48</f>
        <v>比较价值（元/平方米）</v>
      </c>
      <c r="Q48" s="3443"/>
      <c r="R48" s="3463" t="e">
        <f>IF(F1="售价",ROUND(PRODUCT(R47,AA7:AA46),0),ROUND(PRODUCT(R47,AA7:AA46),1))</f>
        <v>#DIV/0!</v>
      </c>
      <c r="S48" s="3463"/>
      <c r="T48" s="3463" t="e">
        <f>IF(F1="售价",ROUND(PRODUCT(T47,AB7:AB46),0),ROUND(PRODUCT(T47,AB7:AB46),1))</f>
        <v>#DIV/0!</v>
      </c>
      <c r="U48" s="3463"/>
      <c r="V48" s="3463" t="e">
        <f>IF(F1="售价",ROUND(PRODUCT(V47,AC7:AC46),0),ROUND(PRODUCT(V47,AC7:AC46),1))</f>
        <v>#DIV/0!</v>
      </c>
      <c r="W48" s="3463"/>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3"/>
      <c r="M49" s="2904"/>
      <c r="N49" s="2895"/>
      <c r="O49" s="2904"/>
      <c r="P49" s="3464" t="str">
        <f>A49</f>
        <v>估价对象XX用房的比较价值（楼面单价，元/平方米）</v>
      </c>
      <c r="Q49" s="3465"/>
      <c r="R49" s="3466" t="e">
        <f>IF(F1="售价",ROUND(IF(D48="简单平均",AVERAGE(R48:V48),R48*F48+T48*H48+V48*J48),0),ROUND(IF(D48="简单平均",AVERAGE(R48:V48),R48*F48+T48*H48+V48*J48),1))</f>
        <v>#DIV/0!</v>
      </c>
      <c r="S49" s="3466"/>
      <c r="T49" s="3466"/>
      <c r="U49" s="3466"/>
      <c r="V49" s="3466"/>
      <c r="W49" s="3466"/>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1.75" thickBot="1">
      <c r="A57" s="703" t="s">
        <v>2254</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5">
      <c r="A58" s="462" t="s">
        <v>2128</v>
      </c>
      <c r="B58" s="463"/>
      <c r="C58" s="1299" t="str">
        <f>YEAR(C7)&amp;"-"&amp;MONTH(C7)</f>
        <v>2022-5</v>
      </c>
      <c r="D58" s="1300">
        <f>EDATE(C58,-1)</f>
        <v>44652</v>
      </c>
      <c r="E58" s="1300">
        <f t="shared" ref="E58:N58" si="16">EDATE(D58,-1)</f>
        <v>44621</v>
      </c>
      <c r="F58" s="1300">
        <f t="shared" si="16"/>
        <v>44593</v>
      </c>
      <c r="G58" s="1300">
        <f t="shared" si="16"/>
        <v>44562</v>
      </c>
      <c r="H58" s="1300">
        <f t="shared" si="16"/>
        <v>44531</v>
      </c>
      <c r="I58" s="1300">
        <f t="shared" si="16"/>
        <v>44501</v>
      </c>
      <c r="J58" s="1300">
        <f t="shared" si="16"/>
        <v>44470</v>
      </c>
      <c r="K58" s="1300">
        <f t="shared" si="16"/>
        <v>44440</v>
      </c>
      <c r="L58" s="1300">
        <f t="shared" si="16"/>
        <v>44409</v>
      </c>
      <c r="M58" s="1300">
        <f t="shared" si="16"/>
        <v>44378</v>
      </c>
      <c r="N58" s="1300">
        <f t="shared" si="16"/>
        <v>44348</v>
      </c>
      <c r="O58" s="1300">
        <f>EDATE(N58,-1)</f>
        <v>44317</v>
      </c>
      <c r="P58" s="2919"/>
      <c r="Q58" s="2920"/>
      <c r="R58" s="2920"/>
      <c r="S58" s="2920"/>
      <c r="T58" s="2920"/>
      <c r="U58" s="2920"/>
      <c r="V58" s="2920"/>
      <c r="W58" s="2920"/>
      <c r="X58" s="2920"/>
      <c r="Y58" s="2920"/>
      <c r="Z58" s="2920"/>
      <c r="AA58" s="2920"/>
      <c r="AB58" s="2920"/>
      <c r="AC58" s="2920"/>
    </row>
    <row r="59" spans="1:29" s="113" customFormat="1" ht="15">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75" thickBot="1">
      <c r="A60" s="472" t="s">
        <v>2165</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5">
      <c r="A61" s="478" t="s">
        <v>2130</v>
      </c>
      <c r="B61" s="467"/>
      <c r="C61" s="479" t="s">
        <v>2232</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c r="A63" s="484" t="s">
        <v>2168</v>
      </c>
      <c r="B63" s="485" t="s">
        <v>2134</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5.75"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ht="15">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5.75"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5.75"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5.75"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5.75"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5.75"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5.75"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c r="A76" s="484" t="s">
        <v>2139</v>
      </c>
      <c r="B76" s="485" t="s">
        <v>2176</v>
      </c>
      <c r="C76" s="530" t="s">
        <v>2177</v>
      </c>
      <c r="D76" s="530" t="s">
        <v>2178</v>
      </c>
      <c r="E76" s="530" t="s">
        <v>2179</v>
      </c>
      <c r="F76" s="530" t="s">
        <v>2180</v>
      </c>
      <c r="G76" s="530" t="s">
        <v>2181</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75" thickTop="1">
      <c r="A78" s="491"/>
      <c r="B78" s="495" t="s">
        <v>2182</v>
      </c>
      <c r="C78" s="535" t="s">
        <v>2177</v>
      </c>
      <c r="D78" s="535" t="s">
        <v>2178</v>
      </c>
      <c r="E78" s="535" t="s">
        <v>2179</v>
      </c>
      <c r="F78" s="535" t="s">
        <v>2180</v>
      </c>
      <c r="G78" s="535" t="s">
        <v>2181</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75" thickTop="1">
      <c r="A80" s="491"/>
      <c r="B80" s="495" t="s">
        <v>2183</v>
      </c>
      <c r="C80" s="535" t="s">
        <v>2177</v>
      </c>
      <c r="D80" s="535" t="s">
        <v>2178</v>
      </c>
      <c r="E80" s="535" t="s">
        <v>2179</v>
      </c>
      <c r="F80" s="535" t="s">
        <v>2180</v>
      </c>
      <c r="G80" s="535" t="s">
        <v>2181</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75" thickTop="1">
      <c r="A82" s="491"/>
      <c r="B82" s="503" t="s">
        <v>2235</v>
      </c>
      <c r="C82" s="616" t="s">
        <v>2255</v>
      </c>
      <c r="D82" s="616" t="s">
        <v>2256</v>
      </c>
      <c r="E82" s="616" t="s">
        <v>2257</v>
      </c>
      <c r="F82" s="616" t="s">
        <v>2258</v>
      </c>
      <c r="G82" s="616" t="s">
        <v>2259</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75" thickTop="1">
      <c r="A84" s="491"/>
      <c r="B84" s="495" t="s">
        <v>2189</v>
      </c>
      <c r="C84" s="535" t="s">
        <v>2177</v>
      </c>
      <c r="D84" s="535" t="s">
        <v>2178</v>
      </c>
      <c r="E84" s="535" t="s">
        <v>2179</v>
      </c>
      <c r="F84" s="535" t="s">
        <v>2180</v>
      </c>
      <c r="G84" s="535" t="s">
        <v>2181</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75" thickTop="1">
      <c r="A86" s="536"/>
      <c r="B86" s="495" t="s">
        <v>2260</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5.75"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5.75"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5.75"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5.75"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5.75"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5.75"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5.75"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5.75"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c r="A100" s="484" t="s">
        <v>2143</v>
      </c>
      <c r="B100" s="485" t="s">
        <v>2261</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5.75"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2194</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2196</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2198</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2262</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2263</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2264</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5.75"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2265</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2200</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5"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5.75"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5"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5.75"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5"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5.75"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2656.2</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5">
      <c r="A4" s="361" t="s">
        <v>2225</v>
      </c>
      <c r="B4" s="362"/>
      <c r="C4" s="3444" t="s">
        <v>2226</v>
      </c>
      <c r="D4" s="3445"/>
      <c r="E4" s="3446" t="s">
        <v>2227</v>
      </c>
      <c r="F4" s="3447"/>
      <c r="G4" s="3444" t="s">
        <v>2228</v>
      </c>
      <c r="H4" s="3445"/>
      <c r="I4" s="3444" t="s">
        <v>2229</v>
      </c>
      <c r="J4" s="3445"/>
      <c r="K4" s="567" t="s">
        <v>2230</v>
      </c>
      <c r="L4" s="2894"/>
      <c r="M4" s="2895"/>
      <c r="N4" s="2895"/>
      <c r="O4" s="2895"/>
      <c r="P4" s="3505" t="s">
        <v>2231</v>
      </c>
      <c r="Q4" s="3506"/>
      <c r="R4" s="3500" t="s">
        <v>2227</v>
      </c>
      <c r="S4" s="3501"/>
      <c r="T4" s="3500" t="s">
        <v>2228</v>
      </c>
      <c r="U4" s="3501"/>
      <c r="V4" s="3509" t="s">
        <v>2229</v>
      </c>
      <c r="W4" s="3509"/>
      <c r="X4" s="2095"/>
      <c r="Y4" s="3500" t="s">
        <v>2231</v>
      </c>
      <c r="Z4" s="3501"/>
      <c r="AA4" s="3499" t="s">
        <v>2227</v>
      </c>
      <c r="AB4" s="3499" t="s">
        <v>2228</v>
      </c>
      <c r="AC4" s="3502" t="s">
        <v>2229</v>
      </c>
    </row>
    <row r="5" spans="1:29" ht="15">
      <c r="A5" s="364"/>
      <c r="B5" s="365"/>
      <c r="C5" s="3437" t="s">
        <v>2122</v>
      </c>
      <c r="D5" s="3438"/>
      <c r="E5" s="3435" t="s">
        <v>2123</v>
      </c>
      <c r="F5" s="3436"/>
      <c r="G5" s="3437" t="s">
        <v>2124</v>
      </c>
      <c r="H5" s="3438"/>
      <c r="I5" s="3437" t="s">
        <v>2125</v>
      </c>
      <c r="J5" s="3438"/>
      <c r="K5" s="567"/>
      <c r="L5" s="2894"/>
      <c r="M5" s="2895"/>
      <c r="N5" s="2895"/>
      <c r="O5" s="2895"/>
      <c r="P5" s="3507"/>
      <c r="Q5" s="3451"/>
      <c r="R5" s="3433"/>
      <c r="S5" s="3434"/>
      <c r="T5" s="3433"/>
      <c r="U5" s="3434"/>
      <c r="V5" s="3456"/>
      <c r="W5" s="3456"/>
      <c r="X5" s="1490"/>
      <c r="Y5" s="3433"/>
      <c r="Z5" s="3434"/>
      <c r="AA5" s="3427"/>
      <c r="AB5" s="3427"/>
      <c r="AC5" s="3503"/>
    </row>
    <row r="6" spans="1:29" ht="15.75" thickBot="1">
      <c r="A6" s="366"/>
      <c r="B6" s="367"/>
      <c r="C6" s="3439" t="s">
        <v>2126</v>
      </c>
      <c r="D6" s="3440"/>
      <c r="E6" s="3441" t="s">
        <v>2126</v>
      </c>
      <c r="F6" s="3442"/>
      <c r="G6" s="3439" t="s">
        <v>2126</v>
      </c>
      <c r="H6" s="3440"/>
      <c r="I6" s="3439" t="s">
        <v>2126</v>
      </c>
      <c r="J6" s="3440"/>
      <c r="K6" s="567" t="s">
        <v>2127</v>
      </c>
      <c r="L6" s="2894"/>
      <c r="M6" s="2895"/>
      <c r="N6" s="2895"/>
      <c r="O6" s="2895"/>
      <c r="P6" s="3508"/>
      <c r="Q6" s="3453"/>
      <c r="R6" s="3433"/>
      <c r="S6" s="3434"/>
      <c r="T6" s="3454"/>
      <c r="U6" s="3455"/>
      <c r="V6" s="3456"/>
      <c r="W6" s="3456"/>
      <c r="X6" s="1490"/>
      <c r="Y6" s="3454"/>
      <c r="Z6" s="3455"/>
      <c r="AA6" s="3428"/>
      <c r="AB6" s="3428"/>
      <c r="AC6" s="3504"/>
    </row>
    <row r="7" spans="1:29" s="113" customFormat="1" ht="15.75" thickBot="1">
      <c r="A7" s="368" t="s">
        <v>2128</v>
      </c>
      <c r="B7" s="369"/>
      <c r="C7" s="370">
        <f>'数据-取费表'!B2</f>
        <v>44705</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10" t="s">
        <v>2129</v>
      </c>
      <c r="Q7" s="3457"/>
      <c r="R7" s="710" t="s">
        <v>17</v>
      </c>
      <c r="S7" s="711">
        <f t="shared" ref="S7:S15" si="0">F7</f>
        <v>0</v>
      </c>
      <c r="T7" s="710" t="s">
        <v>17</v>
      </c>
      <c r="U7" s="711">
        <f t="shared" ref="U7:U15" si="1">H7</f>
        <v>0</v>
      </c>
      <c r="V7" s="710" t="s">
        <v>17</v>
      </c>
      <c r="W7" s="711">
        <f t="shared" ref="W7:W15" si="2">J7</f>
        <v>0</v>
      </c>
      <c r="X7" s="712"/>
      <c r="Y7" s="3429" t="s">
        <v>2129</v>
      </c>
      <c r="Z7" s="3430"/>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10" t="s">
        <v>2132</v>
      </c>
      <c r="Q8" s="3430"/>
      <c r="R8" s="710" t="s">
        <v>17</v>
      </c>
      <c r="S8" s="711">
        <f t="shared" si="0"/>
        <v>0</v>
      </c>
      <c r="T8" s="710" t="s">
        <v>17</v>
      </c>
      <c r="U8" s="711">
        <f t="shared" si="1"/>
        <v>0</v>
      </c>
      <c r="V8" s="710" t="s">
        <v>17</v>
      </c>
      <c r="W8" s="711">
        <f t="shared" si="2"/>
        <v>0</v>
      </c>
      <c r="X8" s="712"/>
      <c r="Y8" s="3429" t="s">
        <v>2132</v>
      </c>
      <c r="Z8" s="3430"/>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93" t="s">
        <v>2135</v>
      </c>
      <c r="Q9" s="1478" t="str">
        <f t="shared" ref="Q9:Q15" si="6">B9</f>
        <v>用途</v>
      </c>
      <c r="R9" s="710" t="s">
        <v>17</v>
      </c>
      <c r="S9" s="711">
        <f t="shared" si="0"/>
        <v>100</v>
      </c>
      <c r="T9" s="710" t="s">
        <v>17</v>
      </c>
      <c r="U9" s="711">
        <f t="shared" si="1"/>
        <v>100</v>
      </c>
      <c r="V9" s="710" t="s">
        <v>17</v>
      </c>
      <c r="W9" s="711">
        <f t="shared" si="2"/>
        <v>100</v>
      </c>
      <c r="X9" s="712"/>
      <c r="Y9" s="3399"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93"/>
      <c r="Q10" s="1478" t="str">
        <f t="shared" si="6"/>
        <v>土地使用年限（年）</v>
      </c>
      <c r="R10" s="710" t="s">
        <v>17</v>
      </c>
      <c r="S10" s="711">
        <f t="shared" si="0"/>
        <v>100</v>
      </c>
      <c r="T10" s="710" t="s">
        <v>17</v>
      </c>
      <c r="U10" s="711">
        <f t="shared" si="1"/>
        <v>100</v>
      </c>
      <c r="V10" s="710" t="s">
        <v>17</v>
      </c>
      <c r="W10" s="711">
        <f t="shared" si="2"/>
        <v>100</v>
      </c>
      <c r="X10" s="712"/>
      <c r="Y10" s="3399"/>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93"/>
      <c r="Q11" s="1478" t="str">
        <f t="shared" si="6"/>
        <v>容积率</v>
      </c>
      <c r="R11" s="710" t="s">
        <v>17</v>
      </c>
      <c r="S11" s="711" t="e">
        <f t="shared" si="0"/>
        <v>#N/A</v>
      </c>
      <c r="T11" s="710" t="s">
        <v>17</v>
      </c>
      <c r="U11" s="711" t="e">
        <f t="shared" si="1"/>
        <v>#N/A</v>
      </c>
      <c r="V11" s="710" t="s">
        <v>17</v>
      </c>
      <c r="W11" s="711" t="e">
        <f t="shared" si="2"/>
        <v>#N/A</v>
      </c>
      <c r="X11" s="712"/>
      <c r="Y11" s="3399"/>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93"/>
      <c r="Q12" s="1478">
        <f t="shared" si="6"/>
        <v>111</v>
      </c>
      <c r="R12" s="710" t="s">
        <v>17</v>
      </c>
      <c r="S12" s="711">
        <f t="shared" si="0"/>
        <v>100</v>
      </c>
      <c r="T12" s="710" t="s">
        <v>17</v>
      </c>
      <c r="U12" s="711">
        <f t="shared" si="1"/>
        <v>100</v>
      </c>
      <c r="V12" s="710" t="s">
        <v>17</v>
      </c>
      <c r="W12" s="711">
        <f t="shared" si="2"/>
        <v>100</v>
      </c>
      <c r="X12" s="712"/>
      <c r="Y12" s="3399"/>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93"/>
      <c r="Q13" s="1478">
        <f t="shared" si="6"/>
        <v>111</v>
      </c>
      <c r="R13" s="710" t="s">
        <v>17</v>
      </c>
      <c r="S13" s="711">
        <f t="shared" si="0"/>
        <v>100</v>
      </c>
      <c r="T13" s="710" t="s">
        <v>17</v>
      </c>
      <c r="U13" s="711">
        <f t="shared" si="1"/>
        <v>100</v>
      </c>
      <c r="V13" s="710" t="s">
        <v>17</v>
      </c>
      <c r="W13" s="711">
        <f t="shared" si="2"/>
        <v>100</v>
      </c>
      <c r="X13" s="712"/>
      <c r="Y13" s="3399"/>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93"/>
      <c r="Q14" s="1478">
        <f t="shared" si="6"/>
        <v>111</v>
      </c>
      <c r="R14" s="710" t="s">
        <v>17</v>
      </c>
      <c r="S14" s="711">
        <f t="shared" si="0"/>
        <v>100</v>
      </c>
      <c r="T14" s="710" t="s">
        <v>17</v>
      </c>
      <c r="U14" s="711">
        <f t="shared" si="1"/>
        <v>100</v>
      </c>
      <c r="V14" s="710" t="s">
        <v>17</v>
      </c>
      <c r="W14" s="711">
        <f t="shared" si="2"/>
        <v>100</v>
      </c>
      <c r="X14" s="712"/>
      <c r="Y14" s="3399"/>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497" t="s">
        <v>2140</v>
      </c>
      <c r="Q15" s="1487" t="str">
        <f t="shared" si="6"/>
        <v>办公集聚程度</v>
      </c>
      <c r="R15" s="714" t="s">
        <v>17</v>
      </c>
      <c r="S15" s="715">
        <f t="shared" si="0"/>
        <v>100</v>
      </c>
      <c r="T15" s="714" t="s">
        <v>17</v>
      </c>
      <c r="U15" s="715">
        <f t="shared" si="1"/>
        <v>100</v>
      </c>
      <c r="V15" s="714" t="s">
        <v>17</v>
      </c>
      <c r="W15" s="715">
        <f t="shared" si="2"/>
        <v>100</v>
      </c>
      <c r="X15" s="1490"/>
      <c r="Y15" s="3458"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498"/>
      <c r="Q16" s="1487"/>
      <c r="R16" s="714"/>
      <c r="S16" s="715"/>
      <c r="T16" s="714"/>
      <c r="U16" s="715"/>
      <c r="V16" s="714"/>
      <c r="W16" s="715"/>
      <c r="X16" s="1490"/>
      <c r="Y16" s="3459"/>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498"/>
      <c r="Q17" s="1487" t="str">
        <f>B17</f>
        <v>交通便捷度</v>
      </c>
      <c r="R17" s="714" t="s">
        <v>17</v>
      </c>
      <c r="S17" s="715">
        <f>F17</f>
        <v>100</v>
      </c>
      <c r="T17" s="714" t="s">
        <v>17</v>
      </c>
      <c r="U17" s="715">
        <f>H17</f>
        <v>100</v>
      </c>
      <c r="V17" s="714" t="s">
        <v>17</v>
      </c>
      <c r="W17" s="715">
        <f>J17</f>
        <v>100</v>
      </c>
      <c r="X17" s="1490"/>
      <c r="Y17" s="3459"/>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498"/>
      <c r="Q18" s="1487"/>
      <c r="R18" s="714"/>
      <c r="S18" s="715"/>
      <c r="T18" s="714"/>
      <c r="U18" s="715"/>
      <c r="V18" s="714"/>
      <c r="W18" s="715"/>
      <c r="X18" s="1490"/>
      <c r="Y18" s="3459"/>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498"/>
      <c r="Q19" s="1487" t="str">
        <f>B19</f>
        <v>公共配套设施</v>
      </c>
      <c r="R19" s="714" t="s">
        <v>17</v>
      </c>
      <c r="S19" s="715">
        <f>F19</f>
        <v>100</v>
      </c>
      <c r="T19" s="714" t="s">
        <v>17</v>
      </c>
      <c r="U19" s="715">
        <f>H19</f>
        <v>100</v>
      </c>
      <c r="V19" s="714" t="s">
        <v>17</v>
      </c>
      <c r="W19" s="715">
        <f>J19</f>
        <v>100</v>
      </c>
      <c r="X19" s="1490"/>
      <c r="Y19" s="3459"/>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498"/>
      <c r="Q20" s="1487"/>
      <c r="R20" s="714"/>
      <c r="S20" s="715"/>
      <c r="T20" s="714"/>
      <c r="U20" s="715"/>
      <c r="V20" s="714"/>
      <c r="W20" s="715"/>
      <c r="X20" s="1490"/>
      <c r="Y20" s="3459"/>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498"/>
      <c r="Q21" s="1487" t="str">
        <f>B21</f>
        <v>基础设施水平</v>
      </c>
      <c r="R21" s="714" t="s">
        <v>17</v>
      </c>
      <c r="S21" s="715">
        <f>F21</f>
        <v>100</v>
      </c>
      <c r="T21" s="714" t="s">
        <v>17</v>
      </c>
      <c r="U21" s="715">
        <f>H21</f>
        <v>100</v>
      </c>
      <c r="V21" s="714" t="s">
        <v>17</v>
      </c>
      <c r="W21" s="715">
        <f>J21</f>
        <v>100</v>
      </c>
      <c r="X21" s="1490"/>
      <c r="Y21" s="3459"/>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498"/>
      <c r="Q22" s="1487"/>
      <c r="R22" s="714"/>
      <c r="S22" s="715"/>
      <c r="T22" s="714"/>
      <c r="U22" s="715"/>
      <c r="V22" s="714"/>
      <c r="W22" s="715"/>
      <c r="X22" s="1490"/>
      <c r="Y22" s="3459"/>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498"/>
      <c r="Q23" s="1487" t="str">
        <f>B23</f>
        <v>环境质量</v>
      </c>
      <c r="R23" s="714" t="s">
        <v>17</v>
      </c>
      <c r="S23" s="715">
        <f>F23</f>
        <v>100</v>
      </c>
      <c r="T23" s="714" t="s">
        <v>17</v>
      </c>
      <c r="U23" s="715">
        <f>H23</f>
        <v>100</v>
      </c>
      <c r="V23" s="714" t="s">
        <v>17</v>
      </c>
      <c r="W23" s="715">
        <f>J23</f>
        <v>100</v>
      </c>
      <c r="X23" s="1490"/>
      <c r="Y23" s="3459"/>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498"/>
      <c r="Q24" s="1487"/>
      <c r="R24" s="714"/>
      <c r="S24" s="715"/>
      <c r="T24" s="714"/>
      <c r="U24" s="715"/>
      <c r="V24" s="714"/>
      <c r="W24" s="715"/>
      <c r="X24" s="1490"/>
      <c r="Y24" s="3459"/>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498"/>
      <c r="Q25" s="1487" t="str">
        <f>B25</f>
        <v>毗邻道路的类型与等级</v>
      </c>
      <c r="R25" s="714" t="s">
        <v>17</v>
      </c>
      <c r="S25" s="715">
        <f>F25</f>
        <v>100</v>
      </c>
      <c r="T25" s="714" t="s">
        <v>17</v>
      </c>
      <c r="U25" s="715">
        <f>H25</f>
        <v>100</v>
      </c>
      <c r="V25" s="714" t="s">
        <v>17</v>
      </c>
      <c r="W25" s="715">
        <f>J25</f>
        <v>100</v>
      </c>
      <c r="X25" s="1490"/>
      <c r="Y25" s="3459"/>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498"/>
      <c r="Q26" s="1487"/>
      <c r="R26" s="714"/>
      <c r="S26" s="715"/>
      <c r="T26" s="714"/>
      <c r="U26" s="715"/>
      <c r="V26" s="714"/>
      <c r="W26" s="715"/>
      <c r="X26" s="1490"/>
      <c r="Y26" s="3459"/>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498"/>
      <c r="Q27" s="1487" t="str">
        <f t="shared" ref="Q27:Q47" si="11">B27</f>
        <v>楼层</v>
      </c>
      <c r="R27" s="714" t="s">
        <v>17</v>
      </c>
      <c r="S27" s="715">
        <f>F27</f>
        <v>100</v>
      </c>
      <c r="T27" s="714" t="s">
        <v>17</v>
      </c>
      <c r="U27" s="715">
        <f>H27</f>
        <v>100</v>
      </c>
      <c r="V27" s="714" t="s">
        <v>17</v>
      </c>
      <c r="W27" s="715">
        <f>J27</f>
        <v>100</v>
      </c>
      <c r="X27" s="1490"/>
      <c r="Y27" s="3459"/>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498"/>
      <c r="Q28" s="1478" t="str">
        <f t="shared" si="11"/>
        <v>朝向</v>
      </c>
      <c r="R28" s="710" t="s">
        <v>17</v>
      </c>
      <c r="S28" s="711">
        <f>F28</f>
        <v>100</v>
      </c>
      <c r="T28" s="710" t="s">
        <v>17</v>
      </c>
      <c r="U28" s="711">
        <f>H28</f>
        <v>100</v>
      </c>
      <c r="V28" s="710" t="s">
        <v>17</v>
      </c>
      <c r="W28" s="711">
        <f>J28</f>
        <v>100</v>
      </c>
      <c r="X28" s="712"/>
      <c r="Y28" s="3459"/>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498"/>
      <c r="Q29" s="1487">
        <f t="shared" si="11"/>
        <v>111</v>
      </c>
      <c r="R29" s="714" t="s">
        <v>17</v>
      </c>
      <c r="S29" s="715">
        <f t="shared" ref="S29:S47" si="12">F29</f>
        <v>100</v>
      </c>
      <c r="T29" s="714" t="s">
        <v>17</v>
      </c>
      <c r="U29" s="715">
        <f t="shared" ref="U29:U47" si="13">H29</f>
        <v>100</v>
      </c>
      <c r="V29" s="714" t="s">
        <v>17</v>
      </c>
      <c r="W29" s="715">
        <f t="shared" ref="W29:W47" si="14">J29</f>
        <v>100</v>
      </c>
      <c r="X29" s="1490"/>
      <c r="Y29" s="3459"/>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498"/>
      <c r="Q30" s="1487">
        <f t="shared" si="11"/>
        <v>111</v>
      </c>
      <c r="R30" s="714" t="s">
        <v>17</v>
      </c>
      <c r="S30" s="715">
        <f t="shared" si="12"/>
        <v>100</v>
      </c>
      <c r="T30" s="714" t="s">
        <v>17</v>
      </c>
      <c r="U30" s="715">
        <f t="shared" si="13"/>
        <v>100</v>
      </c>
      <c r="V30" s="714" t="s">
        <v>17</v>
      </c>
      <c r="W30" s="715">
        <f t="shared" si="14"/>
        <v>100</v>
      </c>
      <c r="X30" s="1490"/>
      <c r="Y30" s="3459"/>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498"/>
      <c r="Q31" s="1487">
        <f t="shared" si="11"/>
        <v>111</v>
      </c>
      <c r="R31" s="714" t="s">
        <v>17</v>
      </c>
      <c r="S31" s="715">
        <f t="shared" si="12"/>
        <v>100</v>
      </c>
      <c r="T31" s="714" t="s">
        <v>17</v>
      </c>
      <c r="U31" s="715">
        <f t="shared" si="13"/>
        <v>100</v>
      </c>
      <c r="V31" s="714" t="s">
        <v>17</v>
      </c>
      <c r="W31" s="715">
        <f t="shared" si="14"/>
        <v>100</v>
      </c>
      <c r="X31" s="1490"/>
      <c r="Y31" s="3459"/>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498"/>
      <c r="Q32" s="1487">
        <f t="shared" si="11"/>
        <v>111</v>
      </c>
      <c r="R32" s="714" t="s">
        <v>17</v>
      </c>
      <c r="S32" s="715">
        <f t="shared" si="12"/>
        <v>100</v>
      </c>
      <c r="T32" s="714" t="s">
        <v>17</v>
      </c>
      <c r="U32" s="715">
        <f t="shared" si="13"/>
        <v>100</v>
      </c>
      <c r="V32" s="714" t="s">
        <v>17</v>
      </c>
      <c r="W32" s="715">
        <f t="shared" si="14"/>
        <v>100</v>
      </c>
      <c r="X32" s="1490"/>
      <c r="Y32" s="3459"/>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94" t="s">
        <v>2145</v>
      </c>
      <c r="Q33" s="1487" t="str">
        <f t="shared" si="11"/>
        <v>建筑类型</v>
      </c>
      <c r="R33" s="714" t="s">
        <v>17</v>
      </c>
      <c r="S33" s="715">
        <f t="shared" si="12"/>
        <v>100</v>
      </c>
      <c r="T33" s="714" t="s">
        <v>17</v>
      </c>
      <c r="U33" s="715">
        <f t="shared" si="13"/>
        <v>100</v>
      </c>
      <c r="V33" s="714" t="s">
        <v>17</v>
      </c>
      <c r="W33" s="715">
        <f t="shared" si="14"/>
        <v>100</v>
      </c>
      <c r="X33" s="1490"/>
      <c r="Y33" s="3461"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95"/>
      <c r="Q34" s="716" t="str">
        <f t="shared" si="11"/>
        <v>项目建筑规模</v>
      </c>
      <c r="R34" s="717" t="s">
        <v>17</v>
      </c>
      <c r="S34" s="718" t="e">
        <f t="shared" si="12"/>
        <v>#N/A</v>
      </c>
      <c r="T34" s="717" t="s">
        <v>17</v>
      </c>
      <c r="U34" s="718" t="e">
        <f t="shared" si="13"/>
        <v>#N/A</v>
      </c>
      <c r="V34" s="717" t="s">
        <v>17</v>
      </c>
      <c r="W34" s="718" t="e">
        <f t="shared" si="14"/>
        <v>#N/A</v>
      </c>
      <c r="X34" s="719"/>
      <c r="Y34" s="3461"/>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95"/>
      <c r="Q35" s="1487" t="str">
        <f t="shared" si="11"/>
        <v>建筑结构</v>
      </c>
      <c r="R35" s="714" t="s">
        <v>17</v>
      </c>
      <c r="S35" s="715">
        <f t="shared" si="12"/>
        <v>100</v>
      </c>
      <c r="T35" s="714" t="s">
        <v>17</v>
      </c>
      <c r="U35" s="715">
        <f t="shared" si="13"/>
        <v>100</v>
      </c>
      <c r="V35" s="714" t="s">
        <v>17</v>
      </c>
      <c r="W35" s="715">
        <f t="shared" si="14"/>
        <v>100</v>
      </c>
      <c r="X35" s="1490"/>
      <c r="Y35" s="3461"/>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95"/>
      <c r="Q36" s="1487" t="str">
        <f t="shared" si="11"/>
        <v>公共部分装修</v>
      </c>
      <c r="R36" s="714" t="s">
        <v>17</v>
      </c>
      <c r="S36" s="715">
        <f t="shared" si="12"/>
        <v>100</v>
      </c>
      <c r="T36" s="714" t="s">
        <v>17</v>
      </c>
      <c r="U36" s="715">
        <f t="shared" si="13"/>
        <v>100</v>
      </c>
      <c r="V36" s="714" t="s">
        <v>17</v>
      </c>
      <c r="W36" s="715">
        <f t="shared" si="14"/>
        <v>100</v>
      </c>
      <c r="X36" s="1490"/>
      <c r="Y36" s="3461"/>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95"/>
      <c r="Q37" s="1487" t="str">
        <f t="shared" si="11"/>
        <v>成新度</v>
      </c>
      <c r="R37" s="714" t="s">
        <v>17</v>
      </c>
      <c r="S37" s="715" t="e">
        <f t="shared" si="12"/>
        <v>#N/A</v>
      </c>
      <c r="T37" s="714" t="s">
        <v>17</v>
      </c>
      <c r="U37" s="715" t="e">
        <f t="shared" si="13"/>
        <v>#N/A</v>
      </c>
      <c r="V37" s="714" t="s">
        <v>17</v>
      </c>
      <c r="W37" s="715" t="e">
        <f t="shared" si="14"/>
        <v>#N/A</v>
      </c>
      <c r="X37" s="1490"/>
      <c r="Y37" s="3461"/>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95"/>
      <c r="Q38" s="1478" t="str">
        <f t="shared" si="11"/>
        <v>写字楼等级</v>
      </c>
      <c r="R38" s="710" t="s">
        <v>17</v>
      </c>
      <c r="S38" s="711">
        <f t="shared" si="12"/>
        <v>100</v>
      </c>
      <c r="T38" s="710" t="s">
        <v>17</v>
      </c>
      <c r="U38" s="711">
        <f t="shared" si="13"/>
        <v>100</v>
      </c>
      <c r="V38" s="710" t="s">
        <v>17</v>
      </c>
      <c r="W38" s="711">
        <f t="shared" si="14"/>
        <v>100</v>
      </c>
      <c r="X38" s="712"/>
      <c r="Y38" s="3461"/>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95" t="s">
        <v>2145</v>
      </c>
      <c r="Q39" s="1487" t="str">
        <f t="shared" si="11"/>
        <v>物业管理</v>
      </c>
      <c r="R39" s="714" t="s">
        <v>17</v>
      </c>
      <c r="S39" s="715">
        <f t="shared" si="12"/>
        <v>100</v>
      </c>
      <c r="T39" s="714" t="s">
        <v>17</v>
      </c>
      <c r="U39" s="715">
        <f t="shared" si="13"/>
        <v>100</v>
      </c>
      <c r="V39" s="714" t="s">
        <v>17</v>
      </c>
      <c r="W39" s="715">
        <f t="shared" si="14"/>
        <v>100</v>
      </c>
      <c r="X39" s="1490"/>
      <c r="Y39" s="3461"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95"/>
      <c r="Q40" s="1487" t="str">
        <f t="shared" si="11"/>
        <v>市政基础设施</v>
      </c>
      <c r="R40" s="714" t="s">
        <v>17</v>
      </c>
      <c r="S40" s="715">
        <f t="shared" si="12"/>
        <v>100</v>
      </c>
      <c r="T40" s="714" t="s">
        <v>17</v>
      </c>
      <c r="U40" s="715">
        <f t="shared" si="13"/>
        <v>100</v>
      </c>
      <c r="V40" s="714" t="s">
        <v>17</v>
      </c>
      <c r="W40" s="715">
        <f t="shared" si="14"/>
        <v>100</v>
      </c>
      <c r="X40" s="1490"/>
      <c r="Y40" s="3461"/>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95"/>
      <c r="Q41" s="1487" t="str">
        <f t="shared" si="11"/>
        <v>层高</v>
      </c>
      <c r="R41" s="714" t="s">
        <v>17</v>
      </c>
      <c r="S41" s="715">
        <f t="shared" si="12"/>
        <v>100</v>
      </c>
      <c r="T41" s="714" t="s">
        <v>17</v>
      </c>
      <c r="U41" s="715">
        <f t="shared" si="13"/>
        <v>100</v>
      </c>
      <c r="V41" s="714" t="s">
        <v>17</v>
      </c>
      <c r="W41" s="715">
        <f t="shared" si="14"/>
        <v>100</v>
      </c>
      <c r="X41" s="1490"/>
      <c r="Y41" s="3461"/>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95"/>
      <c r="Q42" s="716" t="str">
        <f t="shared" si="11"/>
        <v>单套建筑面积</v>
      </c>
      <c r="R42" s="717" t="s">
        <v>17</v>
      </c>
      <c r="S42" s="718">
        <f t="shared" si="12"/>
        <v>100</v>
      </c>
      <c r="T42" s="717" t="s">
        <v>17</v>
      </c>
      <c r="U42" s="718">
        <f t="shared" si="13"/>
        <v>100</v>
      </c>
      <c r="V42" s="717" t="s">
        <v>17</v>
      </c>
      <c r="W42" s="718">
        <f t="shared" si="14"/>
        <v>100</v>
      </c>
      <c r="X42" s="719"/>
      <c r="Y42" s="3461"/>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95"/>
      <c r="Q43" s="1487" t="str">
        <f t="shared" si="11"/>
        <v>内部装修</v>
      </c>
      <c r="R43" s="714" t="s">
        <v>17</v>
      </c>
      <c r="S43" s="715">
        <f t="shared" si="12"/>
        <v>100</v>
      </c>
      <c r="T43" s="714" t="s">
        <v>17</v>
      </c>
      <c r="U43" s="715">
        <f t="shared" si="13"/>
        <v>100</v>
      </c>
      <c r="V43" s="714" t="s">
        <v>17</v>
      </c>
      <c r="W43" s="715">
        <f t="shared" si="14"/>
        <v>100</v>
      </c>
      <c r="X43" s="1490"/>
      <c r="Y43" s="3461"/>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95"/>
      <c r="Q44" s="1487" t="str">
        <f t="shared" si="11"/>
        <v>内部装修维护情况</v>
      </c>
      <c r="R44" s="714" t="s">
        <v>17</v>
      </c>
      <c r="S44" s="715">
        <f t="shared" si="12"/>
        <v>100</v>
      </c>
      <c r="T44" s="714" t="s">
        <v>17</v>
      </c>
      <c r="U44" s="715">
        <f t="shared" si="13"/>
        <v>100</v>
      </c>
      <c r="V44" s="714" t="s">
        <v>17</v>
      </c>
      <c r="W44" s="715">
        <f t="shared" si="14"/>
        <v>100</v>
      </c>
      <c r="X44" s="1490"/>
      <c r="Y44" s="3461"/>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95"/>
      <c r="Q45" s="1478">
        <f t="shared" si="11"/>
        <v>111</v>
      </c>
      <c r="R45" s="710" t="s">
        <v>17</v>
      </c>
      <c r="S45" s="711">
        <f t="shared" si="12"/>
        <v>100</v>
      </c>
      <c r="T45" s="710" t="s">
        <v>17</v>
      </c>
      <c r="U45" s="711">
        <f t="shared" si="13"/>
        <v>100</v>
      </c>
      <c r="V45" s="710" t="s">
        <v>17</v>
      </c>
      <c r="W45" s="711">
        <f t="shared" si="14"/>
        <v>100</v>
      </c>
      <c r="X45" s="712"/>
      <c r="Y45" s="3461"/>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95"/>
      <c r="Q46" s="1487">
        <f t="shared" si="11"/>
        <v>111</v>
      </c>
      <c r="R46" s="714" t="s">
        <v>17</v>
      </c>
      <c r="S46" s="715">
        <f t="shared" si="12"/>
        <v>100</v>
      </c>
      <c r="T46" s="714" t="s">
        <v>17</v>
      </c>
      <c r="U46" s="715">
        <f t="shared" si="13"/>
        <v>100</v>
      </c>
      <c r="V46" s="714" t="s">
        <v>17</v>
      </c>
      <c r="W46" s="715">
        <f t="shared" si="14"/>
        <v>100</v>
      </c>
      <c r="X46" s="1490"/>
      <c r="Y46" s="3461"/>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96"/>
      <c r="Q47" s="1487">
        <f t="shared" si="11"/>
        <v>111</v>
      </c>
      <c r="R47" s="714" t="s">
        <v>17</v>
      </c>
      <c r="S47" s="715">
        <f t="shared" si="12"/>
        <v>100</v>
      </c>
      <c r="T47" s="714" t="s">
        <v>17</v>
      </c>
      <c r="U47" s="715">
        <f t="shared" si="13"/>
        <v>100</v>
      </c>
      <c r="V47" s="714" t="s">
        <v>17</v>
      </c>
      <c r="W47" s="715">
        <f t="shared" si="14"/>
        <v>100</v>
      </c>
      <c r="X47" s="1490"/>
      <c r="Y47" s="3462"/>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3"/>
      <c r="M48" s="2895"/>
      <c r="N48" s="2895"/>
      <c r="O48" s="2895"/>
      <c r="P48" s="3493" t="str">
        <f>A48</f>
        <v>成交单价（元/平方米）</v>
      </c>
      <c r="Q48" s="3443"/>
      <c r="R48" s="3463">
        <f>E48</f>
        <v>0</v>
      </c>
      <c r="S48" s="3463"/>
      <c r="T48" s="3463">
        <f>G48</f>
        <v>0</v>
      </c>
      <c r="U48" s="3463"/>
      <c r="V48" s="3463">
        <f>I48</f>
        <v>0</v>
      </c>
      <c r="W48" s="3463"/>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3"/>
      <c r="M49" s="2895"/>
      <c r="N49" s="2895"/>
      <c r="O49" s="2895"/>
      <c r="P49" s="3493" t="str">
        <f>A49</f>
        <v>比较价值（元/平方米）</v>
      </c>
      <c r="Q49" s="3443"/>
      <c r="R49" s="3463" t="e">
        <f>IF(F1="售价",ROUND(PRODUCT(R48,AA7:AA47),0),ROUND(PRODUCT(R48,AA7:AA47),1))</f>
        <v>#DIV/0!</v>
      </c>
      <c r="S49" s="3463"/>
      <c r="T49" s="3463" t="e">
        <f>IF(F1="售价",ROUND(PRODUCT(T48,AB7:AB47),0),ROUND(PRODUCT(T48,AB7:AB47),1))</f>
        <v>#DIV/0!</v>
      </c>
      <c r="U49" s="3463"/>
      <c r="V49" s="3463" t="e">
        <f>IF(F1="售价",ROUND(PRODUCT(V48,AC7:AC47),0),ROUND(PRODUCT(V48,AC7:AC47),1))</f>
        <v>#DIV/0!</v>
      </c>
      <c r="W49" s="3463"/>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3"/>
      <c r="M50" s="2895"/>
      <c r="N50" s="2895"/>
      <c r="O50" s="2895"/>
      <c r="P50" s="3511" t="str">
        <f>A50</f>
        <v>估价对象XX用房的比较价值（楼面单价，元/平方米）</v>
      </c>
      <c r="Q50" s="3512"/>
      <c r="R50" s="3513" t="e">
        <f>IF(F1="售价",ROUND(IF(D49="简单平均",AVERAGE(R49:V49),R49*F49+T49*H49+V49*J49),0),ROUND(IF(D49="简单平均",AVERAGE(R49:V49),R49*F49+T49*H49+V49*J49),1))</f>
        <v>#DIV/0!</v>
      </c>
      <c r="S50" s="3513"/>
      <c r="T50" s="3513"/>
      <c r="U50" s="3513"/>
      <c r="V50" s="3513"/>
      <c r="W50" s="3513"/>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1.75" thickBot="1">
      <c r="A58" s="703" t="s">
        <v>2254</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5">
      <c r="A59" s="462" t="s">
        <v>2128</v>
      </c>
      <c r="B59" s="463"/>
      <c r="C59" s="1299" t="str">
        <f>YEAR(C7)&amp;"-"&amp;MONTH(C7)</f>
        <v>2022-5</v>
      </c>
      <c r="D59" s="1300">
        <f>EDATE(C59,-1)</f>
        <v>44652</v>
      </c>
      <c r="E59" s="1300">
        <f>EDATE(D59,-1)</f>
        <v>44621</v>
      </c>
      <c r="F59" s="1300">
        <f t="shared" ref="F59:O59" si="16">EDATE(E59,-1)</f>
        <v>44593</v>
      </c>
      <c r="G59" s="1300">
        <f t="shared" si="16"/>
        <v>44562</v>
      </c>
      <c r="H59" s="1300">
        <f t="shared" si="16"/>
        <v>44531</v>
      </c>
      <c r="I59" s="1300">
        <f t="shared" si="16"/>
        <v>44501</v>
      </c>
      <c r="J59" s="1300">
        <f t="shared" si="16"/>
        <v>44470</v>
      </c>
      <c r="K59" s="1300">
        <f t="shared" si="16"/>
        <v>44440</v>
      </c>
      <c r="L59" s="1300">
        <f t="shared" si="16"/>
        <v>44409</v>
      </c>
      <c r="M59" s="1300">
        <f t="shared" si="16"/>
        <v>44378</v>
      </c>
      <c r="N59" s="1300">
        <f t="shared" si="16"/>
        <v>44348</v>
      </c>
      <c r="O59" s="1300">
        <f t="shared" si="16"/>
        <v>44317</v>
      </c>
      <c r="P59" s="2938"/>
      <c r="Q59" s="2920"/>
      <c r="R59" s="2920"/>
      <c r="S59" s="2920"/>
      <c r="T59" s="2920"/>
      <c r="U59" s="2920"/>
      <c r="V59" s="2920"/>
      <c r="W59" s="2920"/>
      <c r="X59" s="2920"/>
      <c r="Y59" s="2920"/>
      <c r="Z59" s="2920"/>
      <c r="AA59" s="2920"/>
      <c r="AB59" s="2920"/>
      <c r="AC59" s="2920"/>
    </row>
    <row r="60" spans="1:29" s="113" customFormat="1" ht="15">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75" thickBot="1">
      <c r="A61" s="472" t="s">
        <v>2165</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5">
      <c r="A62" s="478" t="s">
        <v>2130</v>
      </c>
      <c r="B62" s="467"/>
      <c r="C62" s="479" t="s">
        <v>2232</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c r="A64" s="484" t="s">
        <v>2168</v>
      </c>
      <c r="B64" s="485" t="s">
        <v>2134</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5.75"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ht="15">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5.75"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5.75"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5.75"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5.75"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5.75"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5.75"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c r="A77" s="484" t="s">
        <v>2139</v>
      </c>
      <c r="B77" s="485" t="s">
        <v>2277</v>
      </c>
      <c r="C77" s="530" t="s">
        <v>2177</v>
      </c>
      <c r="D77" s="530" t="s">
        <v>2178</v>
      </c>
      <c r="E77" s="530" t="s">
        <v>2179</v>
      </c>
      <c r="F77" s="530" t="s">
        <v>2180</v>
      </c>
      <c r="G77" s="530" t="s">
        <v>2181</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75" thickTop="1">
      <c r="A79" s="491"/>
      <c r="B79" s="495" t="s">
        <v>2182</v>
      </c>
      <c r="C79" s="535" t="s">
        <v>2177</v>
      </c>
      <c r="D79" s="535" t="s">
        <v>2178</v>
      </c>
      <c r="E79" s="535" t="s">
        <v>2179</v>
      </c>
      <c r="F79" s="535" t="s">
        <v>2180</v>
      </c>
      <c r="G79" s="535" t="s">
        <v>2181</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75" thickTop="1">
      <c r="A81" s="491"/>
      <c r="B81" s="495" t="s">
        <v>2183</v>
      </c>
      <c r="C81" s="535" t="s">
        <v>2177</v>
      </c>
      <c r="D81" s="535" t="s">
        <v>2178</v>
      </c>
      <c r="E81" s="535" t="s">
        <v>2179</v>
      </c>
      <c r="F81" s="535" t="s">
        <v>2180</v>
      </c>
      <c r="G81" s="535" t="s">
        <v>2181</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75" thickTop="1">
      <c r="A83" s="491"/>
      <c r="B83" s="503" t="s">
        <v>2269</v>
      </c>
      <c r="C83" s="616" t="s">
        <v>2255</v>
      </c>
      <c r="D83" s="616" t="s">
        <v>2256</v>
      </c>
      <c r="E83" s="616" t="s">
        <v>2257</v>
      </c>
      <c r="F83" s="616" t="s">
        <v>2258</v>
      </c>
      <c r="G83" s="616" t="s">
        <v>2259</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75" thickTop="1">
      <c r="A85" s="491"/>
      <c r="B85" s="495" t="s">
        <v>2278</v>
      </c>
      <c r="C85" s="535" t="s">
        <v>2177</v>
      </c>
      <c r="D85" s="535" t="s">
        <v>2178</v>
      </c>
      <c r="E85" s="535" t="s">
        <v>2179</v>
      </c>
      <c r="F85" s="535" t="s">
        <v>2180</v>
      </c>
      <c r="G85" s="535" t="s">
        <v>2181</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7.75" thickTop="1">
      <c r="A87" s="536"/>
      <c r="B87" s="495" t="s">
        <v>2279</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5.75"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5.75"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5.75"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5.75"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5.75"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5.75"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c r="A101" s="484" t="s">
        <v>2143</v>
      </c>
      <c r="B101" s="485" t="s">
        <v>2192</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5.75"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2194</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2196</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2280</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2197</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2198</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2281</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2264</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5.75"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2200</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5"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5.75"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5"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5.75"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5"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5.75"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20" stopIfTrue="1" operator="containsText" text="超过">
      <formula>NOT(ISERROR(SEARCH("超过",F53)))</formula>
    </cfRule>
  </conditionalFormatting>
  <conditionalFormatting sqref="H55">
    <cfRule type="containsText" dxfId="96" priority="19" stopIfTrue="1" operator="containsText" text="超过">
      <formula>NOT(ISERROR(SEARCH("超过",H55)))</formula>
    </cfRule>
  </conditionalFormatting>
  <conditionalFormatting sqref="F55">
    <cfRule type="containsText" dxfId="95" priority="18" stopIfTrue="1" operator="containsText" text="超过">
      <formula>NOT(ISERROR(SEARCH("超过",F55)))</formula>
    </cfRule>
  </conditionalFormatting>
  <conditionalFormatting sqref="F54 H54">
    <cfRule type="containsText" dxfId="94" priority="17" stopIfTrue="1" operator="containsText" text="超过">
      <formula>NOT(ISERROR(SEARCH("超过",F54)))</formula>
    </cfRule>
  </conditionalFormatting>
  <conditionalFormatting sqref="E53">
    <cfRule type="expression" dxfId="93" priority="16" stopIfTrue="1">
      <formula>$F$53="超过30%"</formula>
    </cfRule>
  </conditionalFormatting>
  <conditionalFormatting sqref="E54">
    <cfRule type="expression" dxfId="92" priority="15" stopIfTrue="1">
      <formula>$F$54="超过20%"</formula>
    </cfRule>
  </conditionalFormatting>
  <conditionalFormatting sqref="E55">
    <cfRule type="expression" dxfId="91" priority="14" stopIfTrue="1">
      <formula>$F$55="超过30%"</formula>
    </cfRule>
  </conditionalFormatting>
  <conditionalFormatting sqref="G55">
    <cfRule type="expression" dxfId="90" priority="13" stopIfTrue="1">
      <formula>$H$55="超过30%"</formula>
    </cfRule>
  </conditionalFormatting>
  <conditionalFormatting sqref="G53">
    <cfRule type="expression" dxfId="89" priority="12" stopIfTrue="1">
      <formula>$H$53="超过30%"</formula>
    </cfRule>
  </conditionalFormatting>
  <conditionalFormatting sqref="G54">
    <cfRule type="expression" dxfId="88" priority="11" stopIfTrue="1">
      <formula>$H$54="超过20%"</formula>
    </cfRule>
  </conditionalFormatting>
  <conditionalFormatting sqref="J53">
    <cfRule type="containsText" dxfId="87" priority="10" stopIfTrue="1" operator="containsText" text="超过">
      <formula>NOT(ISERROR(SEARCH("超过",J53)))</formula>
    </cfRule>
  </conditionalFormatting>
  <conditionalFormatting sqref="J55">
    <cfRule type="containsText" dxfId="86" priority="9" stopIfTrue="1" operator="containsText" text="超过">
      <formula>NOT(ISERROR(SEARCH("超过",J55)))</formula>
    </cfRule>
  </conditionalFormatting>
  <conditionalFormatting sqref="J54">
    <cfRule type="containsText" dxfId="85" priority="8" stopIfTrue="1" operator="containsText" text="超过">
      <formula>NOT(ISERROR(SEARCH("超过",J54)))</formula>
    </cfRule>
  </conditionalFormatting>
  <conditionalFormatting sqref="I53">
    <cfRule type="expression" dxfId="84" priority="7" stopIfTrue="1">
      <formula>$J$53="超过30%"</formula>
    </cfRule>
  </conditionalFormatting>
  <conditionalFormatting sqref="I54">
    <cfRule type="expression" dxfId="83" priority="6" stopIfTrue="1">
      <formula>$J$53+$J$54="超过20%"</formula>
    </cfRule>
  </conditionalFormatting>
  <conditionalFormatting sqref="I55">
    <cfRule type="expression" dxfId="82" priority="5" stopIfTrue="1">
      <formula>$J$55="超过30%"</formula>
    </cfRule>
  </conditionalFormatting>
  <conditionalFormatting sqref="F49">
    <cfRule type="expression" dxfId="81" priority="4">
      <formula>$D$49="简单平均"</formula>
    </cfRule>
  </conditionalFormatting>
  <conditionalFormatting sqref="H49">
    <cfRule type="expression" dxfId="80" priority="3">
      <formula>$D$49="简单平均"</formula>
    </cfRule>
  </conditionalFormatting>
  <conditionalFormatting sqref="J49">
    <cfRule type="expression" dxfId="79" priority="2">
      <formula>$D$49="简单平均"</formula>
    </cfRule>
  </conditionalFormatting>
  <conditionalFormatting sqref="F7:F47 H7:H47 J7:J47">
    <cfRule type="cellIs" dxfId="7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5">
      <c r="A4" s="361" t="s">
        <v>2225</v>
      </c>
      <c r="B4" s="362"/>
      <c r="C4" s="3444" t="s">
        <v>2226</v>
      </c>
      <c r="D4" s="3445"/>
      <c r="E4" s="3446" t="s">
        <v>2227</v>
      </c>
      <c r="F4" s="3447"/>
      <c r="G4" s="3444" t="s">
        <v>2228</v>
      </c>
      <c r="H4" s="3445"/>
      <c r="I4" s="3444" t="s">
        <v>2229</v>
      </c>
      <c r="J4" s="3445"/>
      <c r="K4" s="567" t="s">
        <v>2230</v>
      </c>
      <c r="L4" s="2894"/>
      <c r="M4" s="2895"/>
      <c r="N4" s="2895"/>
      <c r="O4" s="2895"/>
      <c r="P4" s="3448" t="s">
        <v>2231</v>
      </c>
      <c r="Q4" s="3449"/>
      <c r="R4" s="3431" t="s">
        <v>2227</v>
      </c>
      <c r="S4" s="3432"/>
      <c r="T4" s="3431" t="s">
        <v>2228</v>
      </c>
      <c r="U4" s="3432"/>
      <c r="V4" s="3456" t="s">
        <v>2229</v>
      </c>
      <c r="W4" s="3456"/>
      <c r="X4" s="1490"/>
      <c r="Y4" s="3431" t="s">
        <v>2231</v>
      </c>
      <c r="Z4" s="3432"/>
      <c r="AA4" s="3426" t="s">
        <v>2227</v>
      </c>
      <c r="AB4" s="3427" t="s">
        <v>2228</v>
      </c>
      <c r="AC4" s="3426" t="s">
        <v>2229</v>
      </c>
    </row>
    <row r="5" spans="1:29" ht="15">
      <c r="A5" s="364"/>
      <c r="B5" s="365"/>
      <c r="C5" s="3437" t="s">
        <v>2122</v>
      </c>
      <c r="D5" s="3438"/>
      <c r="E5" s="3435" t="s">
        <v>2123</v>
      </c>
      <c r="F5" s="3436"/>
      <c r="G5" s="3437" t="s">
        <v>2124</v>
      </c>
      <c r="H5" s="3438"/>
      <c r="I5" s="3437" t="s">
        <v>2125</v>
      </c>
      <c r="J5" s="3438"/>
      <c r="K5" s="567"/>
      <c r="L5" s="2894"/>
      <c r="M5" s="2895"/>
      <c r="N5" s="2895"/>
      <c r="O5" s="2895"/>
      <c r="P5" s="3450"/>
      <c r="Q5" s="3451"/>
      <c r="R5" s="3433"/>
      <c r="S5" s="3434"/>
      <c r="T5" s="3433"/>
      <c r="U5" s="3434"/>
      <c r="V5" s="3456"/>
      <c r="W5" s="3456"/>
      <c r="X5" s="1490"/>
      <c r="Y5" s="3433"/>
      <c r="Z5" s="3434"/>
      <c r="AA5" s="3427"/>
      <c r="AB5" s="3427"/>
      <c r="AC5" s="3427"/>
    </row>
    <row r="6" spans="1:29" ht="15.75" thickBot="1">
      <c r="A6" s="366"/>
      <c r="B6" s="367"/>
      <c r="C6" s="3439" t="s">
        <v>2126</v>
      </c>
      <c r="D6" s="3440"/>
      <c r="E6" s="3441" t="s">
        <v>2126</v>
      </c>
      <c r="F6" s="3442"/>
      <c r="G6" s="3439" t="s">
        <v>2126</v>
      </c>
      <c r="H6" s="3440"/>
      <c r="I6" s="3439" t="s">
        <v>2126</v>
      </c>
      <c r="J6" s="3440"/>
      <c r="K6" s="567" t="s">
        <v>2127</v>
      </c>
      <c r="L6" s="2894"/>
      <c r="M6" s="2895"/>
      <c r="N6" s="2895"/>
      <c r="O6" s="2895"/>
      <c r="P6" s="3452"/>
      <c r="Q6" s="3453"/>
      <c r="R6" s="3433"/>
      <c r="S6" s="3434"/>
      <c r="T6" s="3454"/>
      <c r="U6" s="3455"/>
      <c r="V6" s="3456"/>
      <c r="W6" s="3456"/>
      <c r="X6" s="1490"/>
      <c r="Y6" s="3454"/>
      <c r="Z6" s="3455"/>
      <c r="AA6" s="3428"/>
      <c r="AB6" s="3428"/>
      <c r="AC6" s="3428"/>
    </row>
    <row r="7" spans="1:29" s="113" customFormat="1" ht="15.75" thickBot="1">
      <c r="A7" s="368" t="s">
        <v>2128</v>
      </c>
      <c r="B7" s="369"/>
      <c r="C7" s="370">
        <f>'数据-取费表'!B2</f>
        <v>44705</v>
      </c>
      <c r="D7" s="371">
        <v>100</v>
      </c>
      <c r="E7" s="372"/>
      <c r="F7" s="373">
        <f>SUMIF(48:48,YEAR(E7)&amp;"-"&amp;MONTH(E7),49:49)</f>
        <v>0</v>
      </c>
      <c r="G7" s="372"/>
      <c r="H7" s="371">
        <f>SUMIF(48:48,YEAR(G7)&amp;"-"&amp;MONTH(G7),49:49)</f>
        <v>0</v>
      </c>
      <c r="I7" s="372"/>
      <c r="J7" s="371">
        <f>SUMIF(48:48,YEAR(I7)&amp;"-"&amp;MONTH(I7),49:49)</f>
        <v>0</v>
      </c>
      <c r="K7" s="568"/>
      <c r="L7" s="2896"/>
      <c r="M7" s="2897"/>
      <c r="N7" s="2897"/>
      <c r="O7" s="2897"/>
      <c r="P7" s="3429" t="s">
        <v>2129</v>
      </c>
      <c r="Q7" s="3457"/>
      <c r="R7" s="710" t="s">
        <v>17</v>
      </c>
      <c r="S7" s="711">
        <f t="shared" ref="S7:S14" si="0">F7</f>
        <v>0</v>
      </c>
      <c r="T7" s="710" t="s">
        <v>17</v>
      </c>
      <c r="U7" s="711">
        <f t="shared" ref="U7:U14" si="1">H7</f>
        <v>0</v>
      </c>
      <c r="V7" s="710" t="s">
        <v>17</v>
      </c>
      <c r="W7" s="711">
        <f t="shared" ref="W7:W14" si="2">J7</f>
        <v>0</v>
      </c>
      <c r="X7" s="712"/>
      <c r="Y7" s="3429" t="s">
        <v>2129</v>
      </c>
      <c r="Z7" s="3430"/>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429" t="s">
        <v>2132</v>
      </c>
      <c r="Q8" s="3430"/>
      <c r="R8" s="710" t="s">
        <v>17</v>
      </c>
      <c r="S8" s="711">
        <f t="shared" si="0"/>
        <v>0</v>
      </c>
      <c r="T8" s="710" t="s">
        <v>17</v>
      </c>
      <c r="U8" s="711">
        <f t="shared" si="1"/>
        <v>0</v>
      </c>
      <c r="V8" s="710" t="s">
        <v>17</v>
      </c>
      <c r="W8" s="711">
        <f t="shared" si="2"/>
        <v>0</v>
      </c>
      <c r="X8" s="712"/>
      <c r="Y8" s="3429" t="s">
        <v>2132</v>
      </c>
      <c r="Z8" s="3430"/>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43" t="s">
        <v>2135</v>
      </c>
      <c r="Q9" s="1478" t="str">
        <f t="shared" ref="Q9:Q14" si="6">B9</f>
        <v>用途</v>
      </c>
      <c r="R9" s="710" t="s">
        <v>17</v>
      </c>
      <c r="S9" s="711">
        <f t="shared" si="0"/>
        <v>100</v>
      </c>
      <c r="T9" s="710" t="s">
        <v>17</v>
      </c>
      <c r="U9" s="711">
        <f t="shared" si="1"/>
        <v>100</v>
      </c>
      <c r="V9" s="710" t="s">
        <v>17</v>
      </c>
      <c r="W9" s="711">
        <f t="shared" si="2"/>
        <v>100</v>
      </c>
      <c r="X9" s="712"/>
      <c r="Y9" s="3399"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43"/>
      <c r="Q10" s="1478" t="str">
        <f t="shared" si="6"/>
        <v>土地使用年限（年）</v>
      </c>
      <c r="R10" s="710" t="s">
        <v>17</v>
      </c>
      <c r="S10" s="711">
        <f t="shared" si="0"/>
        <v>100</v>
      </c>
      <c r="T10" s="710" t="s">
        <v>17</v>
      </c>
      <c r="U10" s="711">
        <f t="shared" si="1"/>
        <v>100</v>
      </c>
      <c r="V10" s="710" t="s">
        <v>17</v>
      </c>
      <c r="W10" s="711">
        <f t="shared" si="2"/>
        <v>100</v>
      </c>
      <c r="X10" s="712"/>
      <c r="Y10" s="3399"/>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43"/>
      <c r="Q11" s="1478">
        <f t="shared" si="6"/>
        <v>111</v>
      </c>
      <c r="R11" s="710" t="s">
        <v>17</v>
      </c>
      <c r="S11" s="711">
        <f t="shared" si="0"/>
        <v>100</v>
      </c>
      <c r="T11" s="710" t="s">
        <v>17</v>
      </c>
      <c r="U11" s="711">
        <f t="shared" si="1"/>
        <v>100</v>
      </c>
      <c r="V11" s="710" t="s">
        <v>17</v>
      </c>
      <c r="W11" s="711">
        <f t="shared" si="2"/>
        <v>100</v>
      </c>
      <c r="X11" s="712"/>
      <c r="Y11" s="3399"/>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43"/>
      <c r="Q12" s="1478">
        <f t="shared" si="6"/>
        <v>111</v>
      </c>
      <c r="R12" s="710" t="s">
        <v>17</v>
      </c>
      <c r="S12" s="711">
        <f t="shared" si="0"/>
        <v>100</v>
      </c>
      <c r="T12" s="710" t="s">
        <v>17</v>
      </c>
      <c r="U12" s="711">
        <f t="shared" si="1"/>
        <v>100</v>
      </c>
      <c r="V12" s="710" t="s">
        <v>17</v>
      </c>
      <c r="W12" s="711">
        <f t="shared" si="2"/>
        <v>100</v>
      </c>
      <c r="X12" s="712"/>
      <c r="Y12" s="3399"/>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43"/>
      <c r="Q13" s="1478">
        <f t="shared" si="6"/>
        <v>111</v>
      </c>
      <c r="R13" s="710" t="s">
        <v>17</v>
      </c>
      <c r="S13" s="711">
        <f t="shared" si="0"/>
        <v>100</v>
      </c>
      <c r="T13" s="710" t="s">
        <v>17</v>
      </c>
      <c r="U13" s="711">
        <f t="shared" si="1"/>
        <v>100</v>
      </c>
      <c r="V13" s="710" t="s">
        <v>17</v>
      </c>
      <c r="W13" s="711">
        <f t="shared" si="2"/>
        <v>100</v>
      </c>
      <c r="X13" s="712"/>
      <c r="Y13" s="3399"/>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58" t="s">
        <v>2140</v>
      </c>
      <c r="Q14" s="1487" t="str">
        <f t="shared" si="6"/>
        <v>交通便捷度</v>
      </c>
      <c r="R14" s="714" t="s">
        <v>17</v>
      </c>
      <c r="S14" s="715">
        <f t="shared" si="0"/>
        <v>100</v>
      </c>
      <c r="T14" s="714" t="s">
        <v>17</v>
      </c>
      <c r="U14" s="715">
        <f t="shared" si="1"/>
        <v>100</v>
      </c>
      <c r="V14" s="714" t="s">
        <v>17</v>
      </c>
      <c r="W14" s="715">
        <f t="shared" si="2"/>
        <v>100</v>
      </c>
      <c r="X14" s="1490"/>
      <c r="Y14" s="3458"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59"/>
      <c r="Q15" s="1487"/>
      <c r="R15" s="714"/>
      <c r="S15" s="715"/>
      <c r="T15" s="714"/>
      <c r="U15" s="715"/>
      <c r="V15" s="714"/>
      <c r="W15" s="715"/>
      <c r="X15" s="1490"/>
      <c r="Y15" s="3459"/>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59"/>
      <c r="Q16" s="1487" t="str">
        <f>B16</f>
        <v>公共配套设施</v>
      </c>
      <c r="R16" s="714" t="s">
        <v>17</v>
      </c>
      <c r="S16" s="715">
        <f>F16</f>
        <v>100</v>
      </c>
      <c r="T16" s="714" t="s">
        <v>17</v>
      </c>
      <c r="U16" s="715">
        <f>H16</f>
        <v>100</v>
      </c>
      <c r="V16" s="714" t="s">
        <v>17</v>
      </c>
      <c r="W16" s="715">
        <f>J16</f>
        <v>100</v>
      </c>
      <c r="X16" s="1490"/>
      <c r="Y16" s="3459"/>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59"/>
      <c r="Q17" s="1487"/>
      <c r="R17" s="714"/>
      <c r="S17" s="715"/>
      <c r="T17" s="714"/>
      <c r="U17" s="715"/>
      <c r="V17" s="714"/>
      <c r="W17" s="715"/>
      <c r="X17" s="1490"/>
      <c r="Y17" s="3459"/>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59"/>
      <c r="Q18" s="1487" t="str">
        <f>B18</f>
        <v>基础设施水平</v>
      </c>
      <c r="R18" s="714" t="s">
        <v>17</v>
      </c>
      <c r="S18" s="715">
        <f>F18</f>
        <v>100</v>
      </c>
      <c r="T18" s="714" t="s">
        <v>17</v>
      </c>
      <c r="U18" s="715">
        <f>H18</f>
        <v>100</v>
      </c>
      <c r="V18" s="714" t="s">
        <v>17</v>
      </c>
      <c r="W18" s="715">
        <f>J18</f>
        <v>100</v>
      </c>
      <c r="X18" s="1490"/>
      <c r="Y18" s="3459"/>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59"/>
      <c r="Q19" s="1487"/>
      <c r="R19" s="714"/>
      <c r="S19" s="715"/>
      <c r="T19" s="714"/>
      <c r="U19" s="715"/>
      <c r="V19" s="714"/>
      <c r="W19" s="715"/>
      <c r="X19" s="1490"/>
      <c r="Y19" s="3459"/>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59"/>
      <c r="Q20" s="1487" t="str">
        <f>B20</f>
        <v>自然及人文环境</v>
      </c>
      <c r="R20" s="714" t="s">
        <v>17</v>
      </c>
      <c r="S20" s="715">
        <f>F20</f>
        <v>100</v>
      </c>
      <c r="T20" s="714" t="s">
        <v>17</v>
      </c>
      <c r="U20" s="715">
        <f>H20</f>
        <v>100</v>
      </c>
      <c r="V20" s="714" t="s">
        <v>17</v>
      </c>
      <c r="W20" s="715">
        <f>J20</f>
        <v>100</v>
      </c>
      <c r="X20" s="1490"/>
      <c r="Y20" s="3459"/>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59"/>
      <c r="Q21" s="1487"/>
      <c r="R21" s="714"/>
      <c r="S21" s="715"/>
      <c r="T21" s="714"/>
      <c r="U21" s="715"/>
      <c r="V21" s="714"/>
      <c r="W21" s="715"/>
      <c r="X21" s="1490"/>
      <c r="Y21" s="3459"/>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59"/>
      <c r="Q22" s="1487" t="str">
        <f>B22</f>
        <v>楼层</v>
      </c>
      <c r="R22" s="714" t="s">
        <v>17</v>
      </c>
      <c r="S22" s="715">
        <f>F22</f>
        <v>100</v>
      </c>
      <c r="T22" s="714" t="s">
        <v>17</v>
      </c>
      <c r="U22" s="715">
        <f>H22</f>
        <v>100</v>
      </c>
      <c r="V22" s="714" t="s">
        <v>17</v>
      </c>
      <c r="W22" s="715">
        <f>J22</f>
        <v>100</v>
      </c>
      <c r="X22" s="1490"/>
      <c r="Y22" s="3459"/>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59"/>
      <c r="Q23" s="1487">
        <f>B23</f>
        <v>111</v>
      </c>
      <c r="R23" s="714" t="s">
        <v>17</v>
      </c>
      <c r="S23" s="715">
        <f>F23</f>
        <v>100</v>
      </c>
      <c r="T23" s="714" t="s">
        <v>17</v>
      </c>
      <c r="U23" s="715">
        <f>H23</f>
        <v>100</v>
      </c>
      <c r="V23" s="714" t="s">
        <v>17</v>
      </c>
      <c r="W23" s="715">
        <f>J23</f>
        <v>100</v>
      </c>
      <c r="X23" s="1490"/>
      <c r="Y23" s="3459"/>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59"/>
      <c r="Q24" s="1487">
        <f t="shared" ref="Q24:Q36" si="11">B24</f>
        <v>111</v>
      </c>
      <c r="R24" s="714" t="s">
        <v>17</v>
      </c>
      <c r="S24" s="715">
        <f>F24</f>
        <v>100</v>
      </c>
      <c r="T24" s="714" t="s">
        <v>17</v>
      </c>
      <c r="U24" s="715">
        <f>H24</f>
        <v>100</v>
      </c>
      <c r="V24" s="714" t="s">
        <v>17</v>
      </c>
      <c r="W24" s="715">
        <f>J24</f>
        <v>100</v>
      </c>
      <c r="X24" s="1490"/>
      <c r="Y24" s="3459"/>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59"/>
      <c r="Q25" s="1478">
        <f t="shared" si="11"/>
        <v>111</v>
      </c>
      <c r="R25" s="710" t="s">
        <v>17</v>
      </c>
      <c r="S25" s="711">
        <f>F25</f>
        <v>100</v>
      </c>
      <c r="T25" s="710" t="s">
        <v>17</v>
      </c>
      <c r="U25" s="711">
        <f>H25</f>
        <v>100</v>
      </c>
      <c r="V25" s="710" t="s">
        <v>17</v>
      </c>
      <c r="W25" s="711">
        <f>J25</f>
        <v>100</v>
      </c>
      <c r="X25" s="712"/>
      <c r="Y25" s="3459"/>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460"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61"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61"/>
      <c r="Q27" s="716" t="str">
        <f t="shared" si="11"/>
        <v>项目停车位配比</v>
      </c>
      <c r="R27" s="717" t="s">
        <v>17</v>
      </c>
      <c r="S27" s="718">
        <f t="shared" si="12"/>
        <v>100</v>
      </c>
      <c r="T27" s="717" t="s">
        <v>17</v>
      </c>
      <c r="U27" s="718">
        <f t="shared" si="13"/>
        <v>100</v>
      </c>
      <c r="V27" s="717" t="s">
        <v>17</v>
      </c>
      <c r="W27" s="718">
        <f t="shared" si="14"/>
        <v>100</v>
      </c>
      <c r="X27" s="719"/>
      <c r="Y27" s="3461"/>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61"/>
      <c r="Q28" s="1487" t="str">
        <f t="shared" si="11"/>
        <v>公共部分装修</v>
      </c>
      <c r="R28" s="714" t="s">
        <v>17</v>
      </c>
      <c r="S28" s="715">
        <f t="shared" si="12"/>
        <v>100</v>
      </c>
      <c r="T28" s="714" t="s">
        <v>17</v>
      </c>
      <c r="U28" s="715">
        <f t="shared" si="13"/>
        <v>100</v>
      </c>
      <c r="V28" s="714" t="s">
        <v>17</v>
      </c>
      <c r="W28" s="715">
        <f t="shared" si="14"/>
        <v>100</v>
      </c>
      <c r="X28" s="1490"/>
      <c r="Y28" s="3461"/>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61"/>
      <c r="Q29" s="1487" t="str">
        <f t="shared" si="11"/>
        <v>成新率</v>
      </c>
      <c r="R29" s="714" t="s">
        <v>17</v>
      </c>
      <c r="S29" s="715" t="e">
        <f t="shared" si="12"/>
        <v>#N/A</v>
      </c>
      <c r="T29" s="714" t="s">
        <v>17</v>
      </c>
      <c r="U29" s="715" t="e">
        <f t="shared" si="13"/>
        <v>#N/A</v>
      </c>
      <c r="V29" s="714" t="s">
        <v>17</v>
      </c>
      <c r="W29" s="715" t="e">
        <f t="shared" si="14"/>
        <v>#N/A</v>
      </c>
      <c r="X29" s="1490"/>
      <c r="Y29" s="3461"/>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61"/>
      <c r="Q30" s="1487" t="str">
        <f t="shared" si="11"/>
        <v>物业等级</v>
      </c>
      <c r="R30" s="714" t="s">
        <v>17</v>
      </c>
      <c r="S30" s="715">
        <f t="shared" si="12"/>
        <v>100</v>
      </c>
      <c r="T30" s="714" t="s">
        <v>17</v>
      </c>
      <c r="U30" s="715">
        <f t="shared" si="13"/>
        <v>100</v>
      </c>
      <c r="V30" s="714" t="s">
        <v>17</v>
      </c>
      <c r="W30" s="715">
        <f t="shared" si="14"/>
        <v>100</v>
      </c>
      <c r="X30" s="1490"/>
      <c r="Y30" s="3461"/>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61"/>
      <c r="Q31" s="1478" t="str">
        <f t="shared" si="11"/>
        <v>停车位面积</v>
      </c>
      <c r="R31" s="710" t="s">
        <v>17</v>
      </c>
      <c r="S31" s="711" t="e">
        <f t="shared" si="12"/>
        <v>#N/A</v>
      </c>
      <c r="T31" s="710" t="s">
        <v>17</v>
      </c>
      <c r="U31" s="711" t="e">
        <f t="shared" si="13"/>
        <v>#N/A</v>
      </c>
      <c r="V31" s="710" t="s">
        <v>17</v>
      </c>
      <c r="W31" s="711" t="e">
        <f t="shared" si="14"/>
        <v>#N/A</v>
      </c>
      <c r="X31" s="712"/>
      <c r="Y31" s="3461"/>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61" t="s">
        <v>2145</v>
      </c>
      <c r="Q32" s="1487" t="str">
        <f t="shared" si="11"/>
        <v>车位类型</v>
      </c>
      <c r="R32" s="714" t="s">
        <v>17</v>
      </c>
      <c r="S32" s="715">
        <f t="shared" si="12"/>
        <v>100</v>
      </c>
      <c r="T32" s="714" t="s">
        <v>17</v>
      </c>
      <c r="U32" s="715">
        <f t="shared" si="13"/>
        <v>100</v>
      </c>
      <c r="V32" s="714" t="s">
        <v>17</v>
      </c>
      <c r="W32" s="715">
        <f t="shared" si="14"/>
        <v>100</v>
      </c>
      <c r="X32" s="1490"/>
      <c r="Y32" s="3461"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61"/>
      <c r="Q33" s="1487" t="str">
        <f t="shared" si="11"/>
        <v>是否直接入户</v>
      </c>
      <c r="R33" s="714" t="s">
        <v>17</v>
      </c>
      <c r="S33" s="715">
        <f t="shared" si="12"/>
        <v>100</v>
      </c>
      <c r="T33" s="714" t="s">
        <v>17</v>
      </c>
      <c r="U33" s="715">
        <f t="shared" si="13"/>
        <v>100</v>
      </c>
      <c r="V33" s="714" t="s">
        <v>17</v>
      </c>
      <c r="W33" s="715">
        <f t="shared" si="14"/>
        <v>100</v>
      </c>
      <c r="X33" s="1490"/>
      <c r="Y33" s="3461"/>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61"/>
      <c r="Q34" s="1487">
        <f t="shared" si="11"/>
        <v>111</v>
      </c>
      <c r="R34" s="714" t="s">
        <v>17</v>
      </c>
      <c r="S34" s="715">
        <f t="shared" si="12"/>
        <v>100</v>
      </c>
      <c r="T34" s="714" t="s">
        <v>17</v>
      </c>
      <c r="U34" s="715">
        <f t="shared" si="13"/>
        <v>100</v>
      </c>
      <c r="V34" s="714" t="s">
        <v>17</v>
      </c>
      <c r="W34" s="715">
        <f t="shared" si="14"/>
        <v>100</v>
      </c>
      <c r="X34" s="1490"/>
      <c r="Y34" s="3461"/>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61"/>
      <c r="Q35" s="716">
        <f t="shared" si="11"/>
        <v>111</v>
      </c>
      <c r="R35" s="717" t="s">
        <v>17</v>
      </c>
      <c r="S35" s="718">
        <f t="shared" si="12"/>
        <v>100</v>
      </c>
      <c r="T35" s="717" t="s">
        <v>17</v>
      </c>
      <c r="U35" s="718">
        <f t="shared" si="13"/>
        <v>100</v>
      </c>
      <c r="V35" s="717" t="s">
        <v>17</v>
      </c>
      <c r="W35" s="718">
        <f t="shared" si="14"/>
        <v>100</v>
      </c>
      <c r="X35" s="719"/>
      <c r="Y35" s="3461"/>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61"/>
      <c r="Q36" s="1487">
        <f t="shared" si="11"/>
        <v>111</v>
      </c>
      <c r="R36" s="714" t="s">
        <v>17</v>
      </c>
      <c r="S36" s="715">
        <f t="shared" si="12"/>
        <v>100</v>
      </c>
      <c r="T36" s="714" t="s">
        <v>17</v>
      </c>
      <c r="U36" s="715">
        <f t="shared" si="13"/>
        <v>100</v>
      </c>
      <c r="V36" s="714" t="s">
        <v>17</v>
      </c>
      <c r="W36" s="715">
        <f t="shared" si="14"/>
        <v>100</v>
      </c>
      <c r="X36" s="1490"/>
      <c r="Y36" s="3461"/>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3"/>
      <c r="M37" s="2904"/>
      <c r="N37" s="2895"/>
      <c r="O37" s="2904"/>
      <c r="P37" s="3443" t="str">
        <f>A37</f>
        <v>成交单价</v>
      </c>
      <c r="Q37" s="3443"/>
      <c r="R37" s="3463">
        <f>E37</f>
        <v>0</v>
      </c>
      <c r="S37" s="3463"/>
      <c r="T37" s="3463">
        <f>G37</f>
        <v>0</v>
      </c>
      <c r="U37" s="3463"/>
      <c r="V37" s="3463">
        <f>I37</f>
        <v>0</v>
      </c>
      <c r="W37" s="3463"/>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3"/>
      <c r="M38" s="2904"/>
      <c r="N38" s="2904"/>
      <c r="O38" s="2904"/>
      <c r="P38" s="3443" t="str">
        <f>A38</f>
        <v>比较价值（元/平方米）</v>
      </c>
      <c r="Q38" s="3443"/>
      <c r="R38" s="3463" t="e">
        <f>IF(F1="售价",ROUND(PRODUCT(R37,AA7:AA36),0),ROUND(PRODUCT(R37,AA7:AA36),1))</f>
        <v>#DIV/0!</v>
      </c>
      <c r="S38" s="3463"/>
      <c r="T38" s="3463" t="e">
        <f>IF(F1="售价",ROUND(PRODUCT(T37,AB7:AB36),0),ROUND(PRODUCT(T37,AB7:AB36),1))</f>
        <v>#DIV/0!</v>
      </c>
      <c r="U38" s="3463"/>
      <c r="V38" s="3463" t="e">
        <f>IF(F1="售价",ROUND(PRODUCT(V37,AC7:AC36),0),ROUND(PRODUCT(V37,AC7:AC36),1))</f>
        <v>#DIV/0!</v>
      </c>
      <c r="W38" s="3463"/>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3"/>
      <c r="M39" s="2904"/>
      <c r="N39" s="2904"/>
      <c r="O39" s="2904"/>
      <c r="P39" s="3464" t="str">
        <f>A39</f>
        <v>估价对象XX用房的比较价值（楼面单价，元/平方米）</v>
      </c>
      <c r="Q39" s="3465"/>
      <c r="R39" s="3514" t="e">
        <f>IF(F1="售价",ROUND(IF(D38="简单平均",AVERAGE(R38:W38),R38*F38+T38*H38+V38*J38),0),ROUND(IF(D38="简单平均",AVERAGE(R38:V38),R38*F38+T38*H38+V38*J38),1))</f>
        <v>#DIV/0!</v>
      </c>
      <c r="S39" s="3514"/>
      <c r="T39" s="3514"/>
      <c r="U39" s="3514"/>
      <c r="V39" s="3514"/>
      <c r="W39" s="3514"/>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1.75" thickBot="1">
      <c r="A47" s="1281" t="s">
        <v>2307</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5">
      <c r="A48" s="462" t="s">
        <v>2308</v>
      </c>
      <c r="B48" s="463"/>
      <c r="C48" s="1299" t="str">
        <f>YEAR(C7)&amp;"-"&amp;MONTH(C7)</f>
        <v>2022-5</v>
      </c>
      <c r="D48" s="1300">
        <f>EDATE(C48,-1)</f>
        <v>44652</v>
      </c>
      <c r="E48" s="1300">
        <f t="shared" ref="E48:O48" si="16">EDATE(D48,-1)</f>
        <v>44621</v>
      </c>
      <c r="F48" s="1300">
        <f t="shared" si="16"/>
        <v>44593</v>
      </c>
      <c r="G48" s="1300">
        <f t="shared" si="16"/>
        <v>44562</v>
      </c>
      <c r="H48" s="1300">
        <f t="shared" si="16"/>
        <v>44531</v>
      </c>
      <c r="I48" s="1300">
        <f t="shared" si="16"/>
        <v>44501</v>
      </c>
      <c r="J48" s="1300">
        <f t="shared" si="16"/>
        <v>44470</v>
      </c>
      <c r="K48" s="1300">
        <f t="shared" si="16"/>
        <v>44440</v>
      </c>
      <c r="L48" s="1300">
        <f t="shared" si="16"/>
        <v>44409</v>
      </c>
      <c r="M48" s="1300">
        <f t="shared" si="16"/>
        <v>44378</v>
      </c>
      <c r="N48" s="1300">
        <f t="shared" si="16"/>
        <v>44348</v>
      </c>
      <c r="O48" s="1300">
        <f t="shared" si="16"/>
        <v>44317</v>
      </c>
      <c r="P48" s="2938"/>
      <c r="Q48" s="2920"/>
      <c r="R48" s="2920"/>
      <c r="S48" s="2920"/>
      <c r="T48" s="2920"/>
      <c r="U48" s="2920"/>
      <c r="V48" s="2920"/>
      <c r="W48" s="2920"/>
      <c r="X48" s="2920"/>
      <c r="Y48" s="2920"/>
      <c r="Z48" s="2920"/>
      <c r="AA48" s="2920"/>
      <c r="AB48" s="2920"/>
      <c r="AC48" s="2920"/>
    </row>
    <row r="49" spans="1:29" s="113" customFormat="1" ht="15">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75" thickBot="1">
      <c r="A50" s="472" t="s">
        <v>2165</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5">
      <c r="A51" s="478" t="s">
        <v>2130</v>
      </c>
      <c r="B51" s="467"/>
      <c r="C51" s="479" t="s">
        <v>2232</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c r="A53" s="484" t="s">
        <v>2168</v>
      </c>
      <c r="B53" s="485" t="s">
        <v>2134</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5.75"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5.75"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5.75"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5.75"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5.75"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5.75"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5.75"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75" thickTop="1">
      <c r="A65" s="491"/>
      <c r="B65" s="495" t="s">
        <v>2183</v>
      </c>
      <c r="C65" s="535" t="s">
        <v>2177</v>
      </c>
      <c r="D65" s="535" t="s">
        <v>2178</v>
      </c>
      <c r="E65" s="535" t="s">
        <v>2179</v>
      </c>
      <c r="F65" s="535" t="s">
        <v>2180</v>
      </c>
      <c r="G65" s="535" t="s">
        <v>2181</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75" thickTop="1">
      <c r="A67" s="491"/>
      <c r="B67" s="503" t="s">
        <v>2269</v>
      </c>
      <c r="C67" s="616" t="s">
        <v>2255</v>
      </c>
      <c r="D67" s="616" t="s">
        <v>2256</v>
      </c>
      <c r="E67" s="616" t="s">
        <v>2257</v>
      </c>
      <c r="F67" s="616" t="s">
        <v>2258</v>
      </c>
      <c r="G67" s="616" t="s">
        <v>2259</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75" thickTop="1">
      <c r="A69" s="491"/>
      <c r="B69" s="495" t="s">
        <v>2189</v>
      </c>
      <c r="C69" s="535" t="s">
        <v>2177</v>
      </c>
      <c r="D69" s="535" t="s">
        <v>2178</v>
      </c>
      <c r="E69" s="535" t="s">
        <v>2179</v>
      </c>
      <c r="F69" s="535" t="s">
        <v>2180</v>
      </c>
      <c r="G69" s="535" t="s">
        <v>2181</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75" thickTop="1">
      <c r="A71" s="491"/>
      <c r="B71" s="495" t="s">
        <v>2309</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5.75"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5.75"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7.75" thickTop="1">
      <c r="A79" s="484" t="s">
        <v>2143</v>
      </c>
      <c r="B79" s="485" t="s">
        <v>2310</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75" thickTop="1">
      <c r="A81" s="491"/>
      <c r="B81" s="495" t="s">
        <v>2311</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5.75"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2196</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2313</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2315</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2316</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5"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5.75"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5"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5.75"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5"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5"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44" t="s">
        <v>2226</v>
      </c>
      <c r="D4" s="3445"/>
      <c r="E4" s="3446" t="s">
        <v>2227</v>
      </c>
      <c r="F4" s="3447"/>
      <c r="G4" s="3444" t="s">
        <v>2228</v>
      </c>
      <c r="H4" s="3445"/>
      <c r="I4" s="3444" t="s">
        <v>2229</v>
      </c>
      <c r="J4" s="3445"/>
      <c r="K4" s="567" t="s">
        <v>2230</v>
      </c>
      <c r="L4" s="2894"/>
      <c r="M4" s="2895"/>
      <c r="N4" s="2895"/>
      <c r="O4" s="2895"/>
      <c r="P4" s="3448" t="s">
        <v>2231</v>
      </c>
      <c r="Q4" s="3449"/>
      <c r="R4" s="3431" t="s">
        <v>2227</v>
      </c>
      <c r="S4" s="3432"/>
      <c r="T4" s="3431" t="s">
        <v>2228</v>
      </c>
      <c r="U4" s="3432"/>
      <c r="V4" s="3456" t="s">
        <v>2229</v>
      </c>
      <c r="W4" s="3456"/>
      <c r="X4" s="1490"/>
      <c r="Y4" s="3431" t="s">
        <v>2231</v>
      </c>
      <c r="Z4" s="3432"/>
      <c r="AA4" s="3426" t="s">
        <v>2227</v>
      </c>
      <c r="AB4" s="3427" t="s">
        <v>2228</v>
      </c>
      <c r="AC4" s="3426" t="s">
        <v>2229</v>
      </c>
    </row>
    <row r="5" spans="1:29" ht="15">
      <c r="A5" s="364"/>
      <c r="B5" s="365"/>
      <c r="C5" s="3437" t="s">
        <v>2122</v>
      </c>
      <c r="D5" s="3438"/>
      <c r="E5" s="3435" t="s">
        <v>2123</v>
      </c>
      <c r="F5" s="3436"/>
      <c r="G5" s="3437" t="s">
        <v>2124</v>
      </c>
      <c r="H5" s="3438"/>
      <c r="I5" s="3437" t="s">
        <v>2125</v>
      </c>
      <c r="J5" s="3438"/>
      <c r="K5" s="567"/>
      <c r="L5" s="2894"/>
      <c r="M5" s="2895"/>
      <c r="N5" s="2895"/>
      <c r="O5" s="2895"/>
      <c r="P5" s="3450"/>
      <c r="Q5" s="3451"/>
      <c r="R5" s="3433"/>
      <c r="S5" s="3434"/>
      <c r="T5" s="3433"/>
      <c r="U5" s="3434"/>
      <c r="V5" s="3456"/>
      <c r="W5" s="3456"/>
      <c r="X5" s="1490"/>
      <c r="Y5" s="3433"/>
      <c r="Z5" s="3434"/>
      <c r="AA5" s="3427"/>
      <c r="AB5" s="3427"/>
      <c r="AC5" s="3427"/>
    </row>
    <row r="6" spans="1:29" ht="15.75" thickBot="1">
      <c r="A6" s="366"/>
      <c r="B6" s="367"/>
      <c r="C6" s="3439" t="s">
        <v>2126</v>
      </c>
      <c r="D6" s="3440"/>
      <c r="E6" s="3441" t="s">
        <v>2126</v>
      </c>
      <c r="F6" s="3442"/>
      <c r="G6" s="3439" t="s">
        <v>2126</v>
      </c>
      <c r="H6" s="3440"/>
      <c r="I6" s="3439" t="s">
        <v>2126</v>
      </c>
      <c r="J6" s="3440"/>
      <c r="K6" s="567" t="s">
        <v>2127</v>
      </c>
      <c r="L6" s="2894"/>
      <c r="M6" s="2895"/>
      <c r="N6" s="2895"/>
      <c r="O6" s="2895"/>
      <c r="P6" s="3452"/>
      <c r="Q6" s="3453"/>
      <c r="R6" s="3433"/>
      <c r="S6" s="3434"/>
      <c r="T6" s="3454"/>
      <c r="U6" s="3455"/>
      <c r="V6" s="3456"/>
      <c r="W6" s="3456"/>
      <c r="X6" s="1490"/>
      <c r="Y6" s="3454"/>
      <c r="Z6" s="3455"/>
      <c r="AA6" s="3428"/>
      <c r="AB6" s="3428"/>
      <c r="AC6" s="3428"/>
    </row>
    <row r="7" spans="1:29" s="113" customFormat="1" ht="15.75" thickBot="1">
      <c r="A7" s="368" t="s">
        <v>2128</v>
      </c>
      <c r="B7" s="369"/>
      <c r="C7" s="370">
        <f>'数据-取费表'!B2</f>
        <v>44705</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429" t="s">
        <v>2129</v>
      </c>
      <c r="Q7" s="3457"/>
      <c r="R7" s="710" t="s">
        <v>17</v>
      </c>
      <c r="S7" s="711">
        <f t="shared" ref="S7:S14" si="0">F7</f>
        <v>0</v>
      </c>
      <c r="T7" s="710" t="s">
        <v>17</v>
      </c>
      <c r="U7" s="711">
        <f t="shared" ref="U7:U14" si="1">H7</f>
        <v>0</v>
      </c>
      <c r="V7" s="710" t="s">
        <v>17</v>
      </c>
      <c r="W7" s="711">
        <f t="shared" ref="W7:W14" si="2">J7</f>
        <v>0</v>
      </c>
      <c r="X7" s="712"/>
      <c r="Y7" s="3429" t="s">
        <v>2129</v>
      </c>
      <c r="Z7" s="3430"/>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429" t="s">
        <v>2132</v>
      </c>
      <c r="Q8" s="3430"/>
      <c r="R8" s="710" t="s">
        <v>17</v>
      </c>
      <c r="S8" s="711">
        <f t="shared" si="0"/>
        <v>0</v>
      </c>
      <c r="T8" s="710" t="s">
        <v>17</v>
      </c>
      <c r="U8" s="711">
        <f t="shared" si="1"/>
        <v>0</v>
      </c>
      <c r="V8" s="710" t="s">
        <v>17</v>
      </c>
      <c r="W8" s="711">
        <f t="shared" si="2"/>
        <v>0</v>
      </c>
      <c r="X8" s="712"/>
      <c r="Y8" s="3429" t="s">
        <v>2132</v>
      </c>
      <c r="Z8" s="3430"/>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43" t="s">
        <v>2135</v>
      </c>
      <c r="Q9" s="1478" t="str">
        <f t="shared" ref="Q9:Q14" si="6">B9</f>
        <v>用途</v>
      </c>
      <c r="R9" s="710" t="s">
        <v>17</v>
      </c>
      <c r="S9" s="711">
        <f t="shared" si="0"/>
        <v>100</v>
      </c>
      <c r="T9" s="710" t="s">
        <v>17</v>
      </c>
      <c r="U9" s="711">
        <f t="shared" si="1"/>
        <v>100</v>
      </c>
      <c r="V9" s="710" t="s">
        <v>17</v>
      </c>
      <c r="W9" s="711">
        <f t="shared" si="2"/>
        <v>100</v>
      </c>
      <c r="X9" s="712"/>
      <c r="Y9" s="3399"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43"/>
      <c r="Q10" s="1478" t="str">
        <f t="shared" si="6"/>
        <v>土地使用年限（年）</v>
      </c>
      <c r="R10" s="710" t="s">
        <v>17</v>
      </c>
      <c r="S10" s="711">
        <f t="shared" si="0"/>
        <v>100</v>
      </c>
      <c r="T10" s="710" t="s">
        <v>17</v>
      </c>
      <c r="U10" s="711">
        <f t="shared" si="1"/>
        <v>100</v>
      </c>
      <c r="V10" s="710" t="s">
        <v>17</v>
      </c>
      <c r="W10" s="711">
        <f t="shared" si="2"/>
        <v>100</v>
      </c>
      <c r="X10" s="712"/>
      <c r="Y10" s="3399"/>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43"/>
      <c r="Q11" s="1478">
        <f t="shared" si="6"/>
        <v>111</v>
      </c>
      <c r="R11" s="710" t="s">
        <v>17</v>
      </c>
      <c r="S11" s="711">
        <f t="shared" si="0"/>
        <v>100</v>
      </c>
      <c r="T11" s="710" t="s">
        <v>17</v>
      </c>
      <c r="U11" s="711">
        <f t="shared" si="1"/>
        <v>100</v>
      </c>
      <c r="V11" s="710" t="s">
        <v>17</v>
      </c>
      <c r="W11" s="711">
        <f t="shared" si="2"/>
        <v>100</v>
      </c>
      <c r="X11" s="712"/>
      <c r="Y11" s="3399"/>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43"/>
      <c r="Q12" s="1478">
        <f t="shared" si="6"/>
        <v>111</v>
      </c>
      <c r="R12" s="710" t="s">
        <v>17</v>
      </c>
      <c r="S12" s="711">
        <f t="shared" si="0"/>
        <v>100</v>
      </c>
      <c r="T12" s="710" t="s">
        <v>17</v>
      </c>
      <c r="U12" s="711">
        <f t="shared" si="1"/>
        <v>100</v>
      </c>
      <c r="V12" s="710" t="s">
        <v>17</v>
      </c>
      <c r="W12" s="711">
        <f t="shared" si="2"/>
        <v>100</v>
      </c>
      <c r="X12" s="712"/>
      <c r="Y12" s="3399"/>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43"/>
      <c r="Q13" s="1478">
        <f t="shared" si="6"/>
        <v>111</v>
      </c>
      <c r="R13" s="710" t="s">
        <v>17</v>
      </c>
      <c r="S13" s="711">
        <f t="shared" si="0"/>
        <v>100</v>
      </c>
      <c r="T13" s="710" t="s">
        <v>17</v>
      </c>
      <c r="U13" s="711">
        <f t="shared" si="1"/>
        <v>100</v>
      </c>
      <c r="V13" s="710" t="s">
        <v>17</v>
      </c>
      <c r="W13" s="711">
        <f t="shared" si="2"/>
        <v>100</v>
      </c>
      <c r="X13" s="712"/>
      <c r="Y13" s="3399"/>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58" t="s">
        <v>2140</v>
      </c>
      <c r="Q14" s="1487" t="str">
        <f t="shared" si="6"/>
        <v>交通便捷度</v>
      </c>
      <c r="R14" s="714" t="s">
        <v>17</v>
      </c>
      <c r="S14" s="715">
        <f t="shared" si="0"/>
        <v>100</v>
      </c>
      <c r="T14" s="714" t="s">
        <v>17</v>
      </c>
      <c r="U14" s="715">
        <f t="shared" si="1"/>
        <v>100</v>
      </c>
      <c r="V14" s="714" t="s">
        <v>17</v>
      </c>
      <c r="W14" s="715">
        <f t="shared" si="2"/>
        <v>100</v>
      </c>
      <c r="X14" s="1490"/>
      <c r="Y14" s="3458"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59"/>
      <c r="Q15" s="1487"/>
      <c r="R15" s="714"/>
      <c r="S15" s="715"/>
      <c r="T15" s="714"/>
      <c r="U15" s="715"/>
      <c r="V15" s="714"/>
      <c r="W15" s="715"/>
      <c r="X15" s="1490"/>
      <c r="Y15" s="3459"/>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59"/>
      <c r="Q16" s="1487" t="str">
        <f>B16</f>
        <v>公共配套设施</v>
      </c>
      <c r="R16" s="714" t="s">
        <v>17</v>
      </c>
      <c r="S16" s="715">
        <f>F16</f>
        <v>100</v>
      </c>
      <c r="T16" s="714" t="s">
        <v>17</v>
      </c>
      <c r="U16" s="715">
        <f>H16</f>
        <v>100</v>
      </c>
      <c r="V16" s="714" t="s">
        <v>17</v>
      </c>
      <c r="W16" s="715">
        <f>J16</f>
        <v>100</v>
      </c>
      <c r="X16" s="1490"/>
      <c r="Y16" s="3459"/>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59"/>
      <c r="Q17" s="1487"/>
      <c r="R17" s="714"/>
      <c r="S17" s="715"/>
      <c r="T17" s="714"/>
      <c r="U17" s="715"/>
      <c r="V17" s="714"/>
      <c r="W17" s="715"/>
      <c r="X17" s="1490"/>
      <c r="Y17" s="3459"/>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59"/>
      <c r="Q18" s="1487" t="str">
        <f>B18</f>
        <v>基础设施水平</v>
      </c>
      <c r="R18" s="714" t="s">
        <v>17</v>
      </c>
      <c r="S18" s="715">
        <f>F18</f>
        <v>100</v>
      </c>
      <c r="T18" s="714" t="s">
        <v>17</v>
      </c>
      <c r="U18" s="715">
        <f>H18</f>
        <v>100</v>
      </c>
      <c r="V18" s="714" t="s">
        <v>17</v>
      </c>
      <c r="W18" s="715">
        <f>J18</f>
        <v>100</v>
      </c>
      <c r="X18" s="1490"/>
      <c r="Y18" s="3459"/>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59"/>
      <c r="Q19" s="1487"/>
      <c r="R19" s="714"/>
      <c r="S19" s="715"/>
      <c r="T19" s="714"/>
      <c r="U19" s="715"/>
      <c r="V19" s="714"/>
      <c r="W19" s="715"/>
      <c r="X19" s="1490"/>
      <c r="Y19" s="3459"/>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59"/>
      <c r="Q20" s="1487" t="str">
        <f>B20</f>
        <v>自然及人文环境</v>
      </c>
      <c r="R20" s="714" t="s">
        <v>17</v>
      </c>
      <c r="S20" s="715">
        <f>F20</f>
        <v>100</v>
      </c>
      <c r="T20" s="714" t="s">
        <v>17</v>
      </c>
      <c r="U20" s="715">
        <f>H20</f>
        <v>100</v>
      </c>
      <c r="V20" s="714" t="s">
        <v>17</v>
      </c>
      <c r="W20" s="715">
        <f>J20</f>
        <v>100</v>
      </c>
      <c r="X20" s="1490"/>
      <c r="Y20" s="3459"/>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59"/>
      <c r="Q21" s="1487"/>
      <c r="R21" s="714"/>
      <c r="S21" s="715"/>
      <c r="T21" s="714"/>
      <c r="U21" s="715"/>
      <c r="V21" s="714"/>
      <c r="W21" s="715"/>
      <c r="X21" s="1490"/>
      <c r="Y21" s="3459"/>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59"/>
      <c r="Q22" s="1487" t="str">
        <f>B22</f>
        <v>楼层</v>
      </c>
      <c r="R22" s="714" t="s">
        <v>17</v>
      </c>
      <c r="S22" s="715">
        <f>F22</f>
        <v>100</v>
      </c>
      <c r="T22" s="714" t="s">
        <v>17</v>
      </c>
      <c r="U22" s="715">
        <f>H22</f>
        <v>100</v>
      </c>
      <c r="V22" s="714" t="s">
        <v>17</v>
      </c>
      <c r="W22" s="715">
        <f>J22</f>
        <v>100</v>
      </c>
      <c r="X22" s="1490"/>
      <c r="Y22" s="3459"/>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59"/>
      <c r="Q23" s="1487">
        <f>B23</f>
        <v>111</v>
      </c>
      <c r="R23" s="714" t="s">
        <v>17</v>
      </c>
      <c r="S23" s="715">
        <f>F23</f>
        <v>100</v>
      </c>
      <c r="T23" s="714" t="s">
        <v>17</v>
      </c>
      <c r="U23" s="715">
        <f>H23</f>
        <v>100</v>
      </c>
      <c r="V23" s="714" t="s">
        <v>17</v>
      </c>
      <c r="W23" s="715">
        <f>J23</f>
        <v>100</v>
      </c>
      <c r="X23" s="1490"/>
      <c r="Y23" s="3459"/>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59"/>
      <c r="Q24" s="1487">
        <f t="shared" ref="Q24:Q34" si="11">B24</f>
        <v>111</v>
      </c>
      <c r="R24" s="714" t="s">
        <v>17</v>
      </c>
      <c r="S24" s="715">
        <f>F24</f>
        <v>100</v>
      </c>
      <c r="T24" s="714" t="s">
        <v>17</v>
      </c>
      <c r="U24" s="715">
        <f>H24</f>
        <v>100</v>
      </c>
      <c r="V24" s="714" t="s">
        <v>17</v>
      </c>
      <c r="W24" s="715">
        <f>J24</f>
        <v>100</v>
      </c>
      <c r="X24" s="1490"/>
      <c r="Y24" s="3459"/>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59"/>
      <c r="Q25" s="1478">
        <f t="shared" si="11"/>
        <v>111</v>
      </c>
      <c r="R25" s="710" t="s">
        <v>17</v>
      </c>
      <c r="S25" s="711">
        <f>F25</f>
        <v>100</v>
      </c>
      <c r="T25" s="710" t="s">
        <v>17</v>
      </c>
      <c r="U25" s="711">
        <f>H25</f>
        <v>100</v>
      </c>
      <c r="V25" s="710" t="s">
        <v>17</v>
      </c>
      <c r="W25" s="711">
        <f>J25</f>
        <v>100</v>
      </c>
      <c r="X25" s="712"/>
      <c r="Y25" s="3459"/>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460"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61"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61"/>
      <c r="Q27" s="716" t="str">
        <f t="shared" si="11"/>
        <v>成新率</v>
      </c>
      <c r="R27" s="717" t="s">
        <v>17</v>
      </c>
      <c r="S27" s="718" t="e">
        <f t="shared" si="12"/>
        <v>#N/A</v>
      </c>
      <c r="T27" s="717" t="s">
        <v>17</v>
      </c>
      <c r="U27" s="718" t="e">
        <f t="shared" si="13"/>
        <v>#N/A</v>
      </c>
      <c r="V27" s="717" t="s">
        <v>17</v>
      </c>
      <c r="W27" s="718" t="e">
        <f t="shared" si="14"/>
        <v>#N/A</v>
      </c>
      <c r="X27" s="719"/>
      <c r="Y27" s="3461"/>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61"/>
      <c r="Q28" s="1487" t="str">
        <f t="shared" si="11"/>
        <v>物业等级</v>
      </c>
      <c r="R28" s="714" t="s">
        <v>17</v>
      </c>
      <c r="S28" s="715">
        <f t="shared" si="12"/>
        <v>100</v>
      </c>
      <c r="T28" s="714" t="s">
        <v>17</v>
      </c>
      <c r="U28" s="715">
        <f t="shared" si="13"/>
        <v>100</v>
      </c>
      <c r="V28" s="714" t="s">
        <v>17</v>
      </c>
      <c r="W28" s="715">
        <f t="shared" si="14"/>
        <v>100</v>
      </c>
      <c r="X28" s="1490"/>
      <c r="Y28" s="3461"/>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61"/>
      <c r="Q29" s="1487" t="str">
        <f t="shared" si="11"/>
        <v>有无电梯</v>
      </c>
      <c r="R29" s="714" t="s">
        <v>17</v>
      </c>
      <c r="S29" s="715">
        <f t="shared" si="12"/>
        <v>100</v>
      </c>
      <c r="T29" s="714" t="s">
        <v>17</v>
      </c>
      <c r="U29" s="715">
        <f t="shared" si="13"/>
        <v>100</v>
      </c>
      <c r="V29" s="714" t="s">
        <v>17</v>
      </c>
      <c r="W29" s="715">
        <f t="shared" si="14"/>
        <v>100</v>
      </c>
      <c r="X29" s="1490"/>
      <c r="Y29" s="3461"/>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61"/>
      <c r="Q30" s="1487" t="str">
        <f t="shared" si="11"/>
        <v>建筑面积</v>
      </c>
      <c r="R30" s="714" t="s">
        <v>17</v>
      </c>
      <c r="S30" s="715" t="e">
        <f t="shared" si="12"/>
        <v>#N/A</v>
      </c>
      <c r="T30" s="714" t="s">
        <v>17</v>
      </c>
      <c r="U30" s="715" t="e">
        <f t="shared" si="13"/>
        <v>#N/A</v>
      </c>
      <c r="V30" s="714" t="s">
        <v>17</v>
      </c>
      <c r="W30" s="715" t="e">
        <f t="shared" si="14"/>
        <v>#N/A</v>
      </c>
      <c r="X30" s="1490"/>
      <c r="Y30" s="3461"/>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61"/>
      <c r="Q31" s="1478" t="str">
        <f t="shared" si="11"/>
        <v>是否封闭</v>
      </c>
      <c r="R31" s="710" t="s">
        <v>17</v>
      </c>
      <c r="S31" s="711">
        <f t="shared" si="12"/>
        <v>100</v>
      </c>
      <c r="T31" s="710" t="s">
        <v>17</v>
      </c>
      <c r="U31" s="711">
        <f t="shared" si="13"/>
        <v>100</v>
      </c>
      <c r="V31" s="710" t="s">
        <v>17</v>
      </c>
      <c r="W31" s="711">
        <f t="shared" si="14"/>
        <v>100</v>
      </c>
      <c r="X31" s="712"/>
      <c r="Y31" s="3461"/>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61" t="s">
        <v>2145</v>
      </c>
      <c r="Q32" s="1487">
        <f t="shared" si="11"/>
        <v>111</v>
      </c>
      <c r="R32" s="714" t="s">
        <v>17</v>
      </c>
      <c r="S32" s="715">
        <f t="shared" si="12"/>
        <v>100</v>
      </c>
      <c r="T32" s="714" t="s">
        <v>17</v>
      </c>
      <c r="U32" s="715">
        <f t="shared" si="13"/>
        <v>100</v>
      </c>
      <c r="V32" s="714" t="s">
        <v>17</v>
      </c>
      <c r="W32" s="715">
        <f t="shared" si="14"/>
        <v>100</v>
      </c>
      <c r="X32" s="1490"/>
      <c r="Y32" s="3461"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61"/>
      <c r="Q33" s="1487">
        <f t="shared" si="11"/>
        <v>111</v>
      </c>
      <c r="R33" s="714" t="s">
        <v>17</v>
      </c>
      <c r="S33" s="715">
        <f t="shared" si="12"/>
        <v>100</v>
      </c>
      <c r="T33" s="714" t="s">
        <v>17</v>
      </c>
      <c r="U33" s="715">
        <f t="shared" si="13"/>
        <v>100</v>
      </c>
      <c r="V33" s="714" t="s">
        <v>17</v>
      </c>
      <c r="W33" s="715">
        <f t="shared" si="14"/>
        <v>100</v>
      </c>
      <c r="X33" s="1490"/>
      <c r="Y33" s="3461"/>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61"/>
      <c r="Q34" s="1487">
        <f t="shared" si="11"/>
        <v>111</v>
      </c>
      <c r="R34" s="714" t="s">
        <v>17</v>
      </c>
      <c r="S34" s="715">
        <f t="shared" si="12"/>
        <v>100</v>
      </c>
      <c r="T34" s="714" t="s">
        <v>17</v>
      </c>
      <c r="U34" s="715">
        <f t="shared" si="13"/>
        <v>100</v>
      </c>
      <c r="V34" s="714" t="s">
        <v>17</v>
      </c>
      <c r="W34" s="715">
        <f t="shared" si="14"/>
        <v>100</v>
      </c>
      <c r="X34" s="1490"/>
      <c r="Y34" s="3461"/>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3"/>
      <c r="M35" s="2904"/>
      <c r="N35" s="2895"/>
      <c r="O35" s="2904"/>
      <c r="P35" s="3443" t="str">
        <f>A35</f>
        <v>成交单价（元/平方米）</v>
      </c>
      <c r="Q35" s="3443"/>
      <c r="R35" s="3463">
        <f>E35</f>
        <v>0</v>
      </c>
      <c r="S35" s="3463"/>
      <c r="T35" s="3463">
        <f>G35</f>
        <v>0</v>
      </c>
      <c r="U35" s="3463"/>
      <c r="V35" s="3463">
        <f>I35</f>
        <v>0</v>
      </c>
      <c r="W35" s="3463"/>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3"/>
      <c r="M36" s="2904"/>
      <c r="N36" s="2895"/>
      <c r="O36" s="2904"/>
      <c r="P36" s="3443" t="str">
        <f>A36</f>
        <v>比较价值（元/平方米）</v>
      </c>
      <c r="Q36" s="3443"/>
      <c r="R36" s="3463" t="e">
        <f>IF(F1="售价",ROUND(PRODUCT(R35,AA7:AA34),0),ROUND(PRODUCT(R35,AA7:AA34),1))</f>
        <v>#DIV/0!</v>
      </c>
      <c r="S36" s="3463"/>
      <c r="T36" s="3463" t="e">
        <f>IF(F1="售价",ROUND(PRODUCT(T35,AB7:AB34),0),ROUND(PRODUCT(T35,AB7:AB34),1))</f>
        <v>#DIV/0!</v>
      </c>
      <c r="U36" s="3463"/>
      <c r="V36" s="3463" t="e">
        <f>IF(F1="售价",ROUND(PRODUCT(V35,AC7:AC34),0),ROUND(PRODUCT(V35,AC7:AC34),1))</f>
        <v>#DIV/0!</v>
      </c>
      <c r="W36" s="3463"/>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3"/>
      <c r="M37" s="2904"/>
      <c r="N37" s="2904"/>
      <c r="O37" s="2904"/>
      <c r="P37" s="3464" t="str">
        <f>A37</f>
        <v>估价对象XX用房的比较价值（楼面单价，元/平方米）</v>
      </c>
      <c r="Q37" s="3465"/>
      <c r="R37" s="3514" t="e">
        <f>IF(F1="售价",ROUND(IF(D36="简单平均",AVERAGE(R36:W36),R36*F36+T36*H36+V36*J36),0),ROUND(IF(D36="简单平均",AVERAGE(R36:V36),R36*F36+T36*H36+V36*J36),1))</f>
        <v>#DIV/0!</v>
      </c>
      <c r="S37" s="3514"/>
      <c r="T37" s="3514"/>
      <c r="U37" s="3514"/>
      <c r="V37" s="3514"/>
      <c r="W37" s="3514"/>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1.75" thickBot="1">
      <c r="A45" s="703" t="s">
        <v>2254</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5">
      <c r="A46" s="462" t="s">
        <v>2128</v>
      </c>
      <c r="B46" s="463"/>
      <c r="C46" s="1299" t="str">
        <f>YEAR(C7)&amp;"-"&amp;MONTH(C7)</f>
        <v>2022-5</v>
      </c>
      <c r="D46" s="1300">
        <f>EDATE(C46,-1)</f>
        <v>44652</v>
      </c>
      <c r="E46" s="1300">
        <f t="shared" ref="E46:O46" si="16">EDATE(D46,-1)</f>
        <v>44621</v>
      </c>
      <c r="F46" s="1300">
        <f t="shared" si="16"/>
        <v>44593</v>
      </c>
      <c r="G46" s="1300">
        <f t="shared" si="16"/>
        <v>44562</v>
      </c>
      <c r="H46" s="1300">
        <f t="shared" si="16"/>
        <v>44531</v>
      </c>
      <c r="I46" s="1300">
        <f t="shared" si="16"/>
        <v>44501</v>
      </c>
      <c r="J46" s="1300">
        <f t="shared" si="16"/>
        <v>44470</v>
      </c>
      <c r="K46" s="1300">
        <f t="shared" si="16"/>
        <v>44440</v>
      </c>
      <c r="L46" s="1300">
        <f t="shared" si="16"/>
        <v>44409</v>
      </c>
      <c r="M46" s="1300">
        <f t="shared" si="16"/>
        <v>44378</v>
      </c>
      <c r="N46" s="1300">
        <f t="shared" si="16"/>
        <v>44348</v>
      </c>
      <c r="O46" s="1300">
        <f t="shared" si="16"/>
        <v>44317</v>
      </c>
      <c r="P46" s="2955"/>
      <c r="Q46" s="2920"/>
      <c r="R46" s="2920"/>
      <c r="S46" s="2920"/>
      <c r="T46" s="2920"/>
      <c r="U46" s="2920"/>
      <c r="V46" s="2920"/>
      <c r="W46" s="2920"/>
      <c r="X46" s="2920"/>
      <c r="Y46" s="2920"/>
      <c r="Z46" s="2920"/>
      <c r="AA46" s="2920"/>
      <c r="AB46" s="2920"/>
      <c r="AC46" s="2920"/>
      <c r="AD46" s="2920"/>
    </row>
    <row r="47" spans="1:30" s="113" customFormat="1" ht="15">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75" thickBot="1">
      <c r="A48" s="472" t="s">
        <v>2165</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5">
      <c r="A49" s="478" t="s">
        <v>2130</v>
      </c>
      <c r="B49" s="467"/>
      <c r="C49" s="479" t="s">
        <v>2232</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c r="A51" s="484" t="s">
        <v>2168</v>
      </c>
      <c r="B51" s="485" t="s">
        <v>2134</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5.75"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5.75"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5.75"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5.75"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5.75"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5.75"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5.75"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7.75" thickTop="1">
      <c r="A63" s="491"/>
      <c r="B63" s="495" t="s">
        <v>2320</v>
      </c>
      <c r="C63" s="535" t="s">
        <v>2177</v>
      </c>
      <c r="D63" s="535" t="s">
        <v>2178</v>
      </c>
      <c r="E63" s="535" t="s">
        <v>2179</v>
      </c>
      <c r="F63" s="535" t="s">
        <v>2180</v>
      </c>
      <c r="G63" s="535" t="s">
        <v>2181</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75" thickTop="1">
      <c r="A65" s="491"/>
      <c r="B65" s="503" t="s">
        <v>2269</v>
      </c>
      <c r="C65" s="616" t="s">
        <v>2255</v>
      </c>
      <c r="D65" s="616" t="s">
        <v>2256</v>
      </c>
      <c r="E65" s="616" t="s">
        <v>2257</v>
      </c>
      <c r="F65" s="616" t="s">
        <v>2258</v>
      </c>
      <c r="G65" s="616" t="s">
        <v>2259</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75" thickTop="1">
      <c r="A67" s="491"/>
      <c r="B67" s="495" t="s">
        <v>2189</v>
      </c>
      <c r="C67" s="535" t="s">
        <v>2177</v>
      </c>
      <c r="D67" s="535" t="s">
        <v>2178</v>
      </c>
      <c r="E67" s="535" t="s">
        <v>2179</v>
      </c>
      <c r="F67" s="535" t="s">
        <v>2180</v>
      </c>
      <c r="G67" s="535" t="s">
        <v>2181</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75" thickTop="1">
      <c r="A69" s="491"/>
      <c r="B69" s="495" t="s">
        <v>2309</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5.75"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5.75"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5.75"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2143</v>
      </c>
      <c r="B77" s="485" t="s">
        <v>2196</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ht="15">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2313</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2321</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5.75"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2323</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5.75"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5"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5.75"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5"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5.75"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5"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5.75"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5"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5">
      <c r="A4" s="361" t="s">
        <v>2225</v>
      </c>
      <c r="B4" s="362"/>
      <c r="C4" s="3444" t="s">
        <v>2226</v>
      </c>
      <c r="D4" s="3445"/>
      <c r="E4" s="3446" t="s">
        <v>2227</v>
      </c>
      <c r="F4" s="3447"/>
      <c r="G4" s="3444" t="s">
        <v>2228</v>
      </c>
      <c r="H4" s="3445"/>
      <c r="I4" s="3444" t="s">
        <v>2229</v>
      </c>
      <c r="J4" s="3445"/>
      <c r="K4" s="567" t="s">
        <v>2230</v>
      </c>
      <c r="L4" s="2894"/>
      <c r="M4" s="2895"/>
      <c r="N4" s="2895"/>
      <c r="O4" s="2895"/>
      <c r="P4" s="3448" t="s">
        <v>2231</v>
      </c>
      <c r="Q4" s="3449"/>
      <c r="R4" s="3431" t="s">
        <v>2227</v>
      </c>
      <c r="S4" s="3432"/>
      <c r="T4" s="3431" t="s">
        <v>2228</v>
      </c>
      <c r="U4" s="3432"/>
      <c r="V4" s="3456" t="s">
        <v>2229</v>
      </c>
      <c r="W4" s="3456"/>
      <c r="X4" s="1490"/>
      <c r="Y4" s="3431" t="s">
        <v>2231</v>
      </c>
      <c r="Z4" s="3432"/>
      <c r="AA4" s="3426" t="s">
        <v>2227</v>
      </c>
      <c r="AB4" s="3427" t="s">
        <v>2228</v>
      </c>
      <c r="AC4" s="3426" t="s">
        <v>2229</v>
      </c>
    </row>
    <row r="5" spans="1:30" ht="15">
      <c r="A5" s="364"/>
      <c r="B5" s="365"/>
      <c r="C5" s="3437" t="s">
        <v>2122</v>
      </c>
      <c r="D5" s="3438"/>
      <c r="E5" s="3435" t="s">
        <v>2123</v>
      </c>
      <c r="F5" s="3436"/>
      <c r="G5" s="3437" t="s">
        <v>2124</v>
      </c>
      <c r="H5" s="3438"/>
      <c r="I5" s="3437" t="s">
        <v>2125</v>
      </c>
      <c r="J5" s="3438"/>
      <c r="K5" s="567"/>
      <c r="L5" s="2894"/>
      <c r="M5" s="2895"/>
      <c r="N5" s="2895"/>
      <c r="O5" s="2895"/>
      <c r="P5" s="3450"/>
      <c r="Q5" s="3451"/>
      <c r="R5" s="3433"/>
      <c r="S5" s="3434"/>
      <c r="T5" s="3433"/>
      <c r="U5" s="3434"/>
      <c r="V5" s="3456"/>
      <c r="W5" s="3456"/>
      <c r="X5" s="1490"/>
      <c r="Y5" s="3433"/>
      <c r="Z5" s="3434"/>
      <c r="AA5" s="3427"/>
      <c r="AB5" s="3427"/>
      <c r="AC5" s="3427"/>
    </row>
    <row r="6" spans="1:30" ht="15.75" thickBot="1">
      <c r="A6" s="366"/>
      <c r="B6" s="367"/>
      <c r="C6" s="3439" t="s">
        <v>2126</v>
      </c>
      <c r="D6" s="3440"/>
      <c r="E6" s="3441" t="s">
        <v>2126</v>
      </c>
      <c r="F6" s="3442"/>
      <c r="G6" s="3439" t="s">
        <v>2126</v>
      </c>
      <c r="H6" s="3440"/>
      <c r="I6" s="3439" t="s">
        <v>2126</v>
      </c>
      <c r="J6" s="3440"/>
      <c r="K6" s="567" t="s">
        <v>2127</v>
      </c>
      <c r="L6" s="2894"/>
      <c r="M6" s="2895"/>
      <c r="N6" s="2895"/>
      <c r="O6" s="2895"/>
      <c r="P6" s="3452"/>
      <c r="Q6" s="3453"/>
      <c r="R6" s="3433"/>
      <c r="S6" s="3434"/>
      <c r="T6" s="3454"/>
      <c r="U6" s="3455"/>
      <c r="V6" s="3456"/>
      <c r="W6" s="3456"/>
      <c r="X6" s="1490"/>
      <c r="Y6" s="3454"/>
      <c r="Z6" s="3455"/>
      <c r="AA6" s="3428"/>
      <c r="AB6" s="3428"/>
      <c r="AC6" s="3428"/>
    </row>
    <row r="7" spans="1:30" s="113" customFormat="1" ht="15.75" thickBot="1">
      <c r="A7" s="368" t="s">
        <v>2128</v>
      </c>
      <c r="B7" s="369"/>
      <c r="C7" s="370">
        <f>'数据-取费表'!B2</f>
        <v>44705</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429" t="s">
        <v>2129</v>
      </c>
      <c r="Q7" s="3457"/>
      <c r="R7" s="710" t="s">
        <v>17</v>
      </c>
      <c r="S7" s="711">
        <f t="shared" ref="S7:S15" si="0">F7</f>
        <v>0</v>
      </c>
      <c r="T7" s="710" t="s">
        <v>17</v>
      </c>
      <c r="U7" s="711">
        <f t="shared" ref="U7:U15" si="1">H7</f>
        <v>0</v>
      </c>
      <c r="V7" s="710" t="s">
        <v>17</v>
      </c>
      <c r="W7" s="711">
        <f t="shared" ref="W7:W15" si="2">J7</f>
        <v>0</v>
      </c>
      <c r="X7" s="712"/>
      <c r="Y7" s="3429" t="s">
        <v>2129</v>
      </c>
      <c r="Z7" s="3430"/>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429" t="s">
        <v>2132</v>
      </c>
      <c r="Q8" s="3430"/>
      <c r="R8" s="710" t="s">
        <v>17</v>
      </c>
      <c r="S8" s="711">
        <f t="shared" si="0"/>
        <v>0</v>
      </c>
      <c r="T8" s="710" t="s">
        <v>17</v>
      </c>
      <c r="U8" s="711">
        <f t="shared" si="1"/>
        <v>0</v>
      </c>
      <c r="V8" s="710" t="s">
        <v>17</v>
      </c>
      <c r="W8" s="711">
        <f t="shared" si="2"/>
        <v>0</v>
      </c>
      <c r="X8" s="712"/>
      <c r="Y8" s="3429" t="s">
        <v>2132</v>
      </c>
      <c r="Z8" s="3430"/>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43" t="s">
        <v>2135</v>
      </c>
      <c r="Q9" s="1478" t="str">
        <f t="shared" ref="Q9:Q15" si="6">B9</f>
        <v>用途</v>
      </c>
      <c r="R9" s="710" t="s">
        <v>17</v>
      </c>
      <c r="S9" s="711">
        <f t="shared" si="0"/>
        <v>100</v>
      </c>
      <c r="T9" s="710" t="s">
        <v>17</v>
      </c>
      <c r="U9" s="711">
        <f t="shared" si="1"/>
        <v>100</v>
      </c>
      <c r="V9" s="710" t="s">
        <v>17</v>
      </c>
      <c r="W9" s="711">
        <f t="shared" si="2"/>
        <v>100</v>
      </c>
      <c r="X9" s="712"/>
      <c r="Y9" s="3399"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109</v>
      </c>
      <c r="G10" s="422"/>
      <c r="H10" s="132">
        <f>ROUND(100/'数据-取费表'!G16,0)</f>
        <v>109</v>
      </c>
      <c r="I10" s="422"/>
      <c r="J10" s="132">
        <f>ROUND(100/'数据-取费表'!G16,0)</f>
        <v>109</v>
      </c>
      <c r="K10" s="628"/>
      <c r="L10" s="2898"/>
      <c r="M10" s="2899"/>
      <c r="N10" s="2899"/>
      <c r="O10" s="2952"/>
      <c r="P10" s="3443"/>
      <c r="Q10" s="1478" t="str">
        <f t="shared" si="6"/>
        <v>土地使用年限（年）</v>
      </c>
      <c r="R10" s="710" t="s">
        <v>17</v>
      </c>
      <c r="S10" s="711">
        <f t="shared" si="0"/>
        <v>109</v>
      </c>
      <c r="T10" s="710" t="s">
        <v>17</v>
      </c>
      <c r="U10" s="711">
        <f t="shared" si="1"/>
        <v>109</v>
      </c>
      <c r="V10" s="710" t="s">
        <v>17</v>
      </c>
      <c r="W10" s="711">
        <f t="shared" si="2"/>
        <v>109</v>
      </c>
      <c r="X10" s="712"/>
      <c r="Y10" s="3399"/>
      <c r="Z10" s="55" t="str">
        <f t="shared" si="7"/>
        <v>土地使用年限（年）</v>
      </c>
      <c r="AA10" s="713">
        <f t="shared" si="3"/>
        <v>0.91743119266055051</v>
      </c>
      <c r="AB10" s="713">
        <f t="shared" si="4"/>
        <v>0.91743119266055051</v>
      </c>
      <c r="AC10" s="713">
        <f t="shared" si="5"/>
        <v>0.91743119266055051</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43"/>
      <c r="Q11" s="1478" t="str">
        <f t="shared" si="6"/>
        <v>容积率</v>
      </c>
      <c r="R11" s="710" t="s">
        <v>17</v>
      </c>
      <c r="S11" s="711" t="e">
        <f t="shared" si="0"/>
        <v>#N/A</v>
      </c>
      <c r="T11" s="710" t="s">
        <v>17</v>
      </c>
      <c r="U11" s="711" t="e">
        <f t="shared" si="1"/>
        <v>#N/A</v>
      </c>
      <c r="V11" s="710" t="s">
        <v>17</v>
      </c>
      <c r="W11" s="711" t="e">
        <f t="shared" si="2"/>
        <v>#N/A</v>
      </c>
      <c r="X11" s="712"/>
      <c r="Y11" s="3399"/>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43"/>
      <c r="Q12" s="1478" t="str">
        <f t="shared" si="6"/>
        <v>配建</v>
      </c>
      <c r="R12" s="710" t="s">
        <v>17</v>
      </c>
      <c r="S12" s="711">
        <f t="shared" si="0"/>
        <v>100</v>
      </c>
      <c r="T12" s="710" t="s">
        <v>17</v>
      </c>
      <c r="U12" s="711">
        <f t="shared" si="1"/>
        <v>100</v>
      </c>
      <c r="V12" s="710" t="s">
        <v>17</v>
      </c>
      <c r="W12" s="711">
        <f t="shared" si="2"/>
        <v>100</v>
      </c>
      <c r="X12" s="712"/>
      <c r="Y12" s="3399"/>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43"/>
      <c r="Q13" s="1478">
        <f t="shared" si="6"/>
        <v>111</v>
      </c>
      <c r="R13" s="710" t="s">
        <v>17</v>
      </c>
      <c r="S13" s="711">
        <f t="shared" si="0"/>
        <v>100</v>
      </c>
      <c r="T13" s="710" t="s">
        <v>17</v>
      </c>
      <c r="U13" s="711">
        <f t="shared" si="1"/>
        <v>100</v>
      </c>
      <c r="V13" s="710" t="s">
        <v>17</v>
      </c>
      <c r="W13" s="711">
        <f t="shared" si="2"/>
        <v>100</v>
      </c>
      <c r="X13" s="712"/>
      <c r="Y13" s="3399"/>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43"/>
      <c r="Q14" s="1478">
        <f t="shared" si="6"/>
        <v>111</v>
      </c>
      <c r="R14" s="710" t="s">
        <v>17</v>
      </c>
      <c r="S14" s="711">
        <f t="shared" si="0"/>
        <v>100</v>
      </c>
      <c r="T14" s="710" t="s">
        <v>17</v>
      </c>
      <c r="U14" s="711">
        <f t="shared" si="1"/>
        <v>100</v>
      </c>
      <c r="V14" s="710" t="s">
        <v>17</v>
      </c>
      <c r="W14" s="711">
        <f t="shared" si="2"/>
        <v>100</v>
      </c>
      <c r="X14" s="712"/>
      <c r="Y14" s="3399"/>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58" t="s">
        <v>2140</v>
      </c>
      <c r="Q15" s="1487" t="str">
        <f t="shared" si="6"/>
        <v>居住社区成熟度</v>
      </c>
      <c r="R15" s="714" t="s">
        <v>17</v>
      </c>
      <c r="S15" s="715">
        <f t="shared" si="0"/>
        <v>100</v>
      </c>
      <c r="T15" s="714" t="s">
        <v>17</v>
      </c>
      <c r="U15" s="715">
        <f t="shared" si="1"/>
        <v>100</v>
      </c>
      <c r="V15" s="714" t="s">
        <v>17</v>
      </c>
      <c r="W15" s="715">
        <f t="shared" si="2"/>
        <v>100</v>
      </c>
      <c r="X15" s="1490"/>
      <c r="Y15" s="3458"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59"/>
      <c r="Q16" s="1487"/>
      <c r="R16" s="714"/>
      <c r="S16" s="715"/>
      <c r="T16" s="714"/>
      <c r="U16" s="715"/>
      <c r="V16" s="714"/>
      <c r="W16" s="715"/>
      <c r="X16" s="1490"/>
      <c r="Y16" s="3459"/>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59"/>
      <c r="Q17" s="1487" t="str">
        <f>B17</f>
        <v>商业繁华度</v>
      </c>
      <c r="R17" s="714" t="s">
        <v>17</v>
      </c>
      <c r="S17" s="715">
        <f>F17</f>
        <v>100</v>
      </c>
      <c r="T17" s="714" t="s">
        <v>17</v>
      </c>
      <c r="U17" s="715">
        <f>H17</f>
        <v>100</v>
      </c>
      <c r="V17" s="714" t="s">
        <v>17</v>
      </c>
      <c r="W17" s="715">
        <f>J17</f>
        <v>100</v>
      </c>
      <c r="X17" s="1490"/>
      <c r="Y17" s="3459"/>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59"/>
      <c r="Q18" s="1487"/>
      <c r="R18" s="714"/>
      <c r="S18" s="715"/>
      <c r="T18" s="714"/>
      <c r="U18" s="715"/>
      <c r="V18" s="714"/>
      <c r="W18" s="715"/>
      <c r="X18" s="1490"/>
      <c r="Y18" s="3459"/>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59"/>
      <c r="Q19" s="1487" t="str">
        <f>B19</f>
        <v>办公集聚程度</v>
      </c>
      <c r="R19" s="714" t="s">
        <v>17</v>
      </c>
      <c r="S19" s="715">
        <f>F19</f>
        <v>100</v>
      </c>
      <c r="T19" s="714" t="s">
        <v>17</v>
      </c>
      <c r="U19" s="715">
        <f>H19</f>
        <v>100</v>
      </c>
      <c r="V19" s="714" t="s">
        <v>17</v>
      </c>
      <c r="W19" s="715">
        <f>J19</f>
        <v>100</v>
      </c>
      <c r="X19" s="1490"/>
      <c r="Y19" s="3459"/>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59"/>
      <c r="Q20" s="1487"/>
      <c r="R20" s="714"/>
      <c r="S20" s="715"/>
      <c r="T20" s="714"/>
      <c r="U20" s="715"/>
      <c r="V20" s="714"/>
      <c r="W20" s="715"/>
      <c r="X20" s="1490"/>
      <c r="Y20" s="3459"/>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59"/>
      <c r="Q21" s="1487" t="str">
        <f>B21</f>
        <v>交通便捷度</v>
      </c>
      <c r="R21" s="714" t="s">
        <v>17</v>
      </c>
      <c r="S21" s="715">
        <f>F21</f>
        <v>100</v>
      </c>
      <c r="T21" s="714" t="s">
        <v>17</v>
      </c>
      <c r="U21" s="715">
        <f>H21</f>
        <v>100</v>
      </c>
      <c r="V21" s="714" t="s">
        <v>17</v>
      </c>
      <c r="W21" s="715">
        <f>J21</f>
        <v>100</v>
      </c>
      <c r="X21" s="1490"/>
      <c r="Y21" s="3459"/>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59"/>
      <c r="Q22" s="1487"/>
      <c r="R22" s="714"/>
      <c r="S22" s="715"/>
      <c r="T22" s="714"/>
      <c r="U22" s="715"/>
      <c r="V22" s="714"/>
      <c r="W22" s="715"/>
      <c r="X22" s="1490"/>
      <c r="Y22" s="3459"/>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59"/>
      <c r="Q23" s="1487" t="str">
        <f t="shared" ref="Q23:Q37" si="8">B23</f>
        <v>区域土地利用方向</v>
      </c>
      <c r="R23" s="714" t="s">
        <v>17</v>
      </c>
      <c r="S23" s="715">
        <f>F23</f>
        <v>100</v>
      </c>
      <c r="T23" s="714" t="s">
        <v>17</v>
      </c>
      <c r="U23" s="715">
        <f>H23</f>
        <v>100</v>
      </c>
      <c r="V23" s="714" t="s">
        <v>17</v>
      </c>
      <c r="W23" s="715">
        <f>J23</f>
        <v>100</v>
      </c>
      <c r="X23" s="1490"/>
      <c r="Y23" s="3459"/>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59"/>
      <c r="Q24" s="1487"/>
      <c r="R24" s="714"/>
      <c r="S24" s="715"/>
      <c r="T24" s="714"/>
      <c r="U24" s="715"/>
      <c r="V24" s="714"/>
      <c r="W24" s="715"/>
      <c r="X24" s="1490"/>
      <c r="Y24" s="3459"/>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59"/>
      <c r="Q25" s="1487" t="str">
        <f t="shared" si="8"/>
        <v>自然及人文环境状况</v>
      </c>
      <c r="R25" s="714" t="s">
        <v>17</v>
      </c>
      <c r="S25" s="715">
        <f>F25</f>
        <v>100</v>
      </c>
      <c r="T25" s="714" t="s">
        <v>17</v>
      </c>
      <c r="U25" s="715">
        <f>H25</f>
        <v>100</v>
      </c>
      <c r="V25" s="714" t="s">
        <v>17</v>
      </c>
      <c r="W25" s="715">
        <f>J25</f>
        <v>100</v>
      </c>
      <c r="X25" s="1490"/>
      <c r="Y25" s="3459"/>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59"/>
      <c r="Q26" s="1487"/>
      <c r="R26" s="714"/>
      <c r="S26" s="715"/>
      <c r="T26" s="714"/>
      <c r="U26" s="715"/>
      <c r="V26" s="714"/>
      <c r="W26" s="715"/>
      <c r="X26" s="1490"/>
      <c r="Y26" s="3459"/>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59"/>
      <c r="Q27" s="1478" t="str">
        <f t="shared" si="8"/>
        <v>公共配套设施</v>
      </c>
      <c r="R27" s="710" t="s">
        <v>17</v>
      </c>
      <c r="S27" s="711">
        <f>F27</f>
        <v>100</v>
      </c>
      <c r="T27" s="710" t="s">
        <v>17</v>
      </c>
      <c r="U27" s="711">
        <f>H27</f>
        <v>100</v>
      </c>
      <c r="V27" s="710" t="s">
        <v>17</v>
      </c>
      <c r="W27" s="711">
        <f>J27</f>
        <v>100</v>
      </c>
      <c r="X27" s="712"/>
      <c r="Y27" s="3459"/>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59"/>
      <c r="Q28" s="1478"/>
      <c r="R28" s="710"/>
      <c r="S28" s="711"/>
      <c r="T28" s="710"/>
      <c r="U28" s="711"/>
      <c r="V28" s="710"/>
      <c r="W28" s="711"/>
      <c r="X28" s="712"/>
      <c r="Y28" s="3459"/>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59"/>
      <c r="Q29" s="1478" t="str">
        <f t="shared" ref="Q29" si="9">B29</f>
        <v>基础设施水平</v>
      </c>
      <c r="R29" s="710" t="s">
        <v>17</v>
      </c>
      <c r="S29" s="711">
        <f>F29</f>
        <v>100</v>
      </c>
      <c r="T29" s="710" t="s">
        <v>17</v>
      </c>
      <c r="U29" s="711">
        <f>H29</f>
        <v>100</v>
      </c>
      <c r="V29" s="710" t="s">
        <v>17</v>
      </c>
      <c r="W29" s="711">
        <f>J29</f>
        <v>100</v>
      </c>
      <c r="X29" s="712"/>
      <c r="Y29" s="3459"/>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59"/>
      <c r="Q30" s="1478"/>
      <c r="R30" s="710"/>
      <c r="S30" s="711"/>
      <c r="T30" s="710"/>
      <c r="U30" s="711"/>
      <c r="V30" s="710"/>
      <c r="W30" s="711"/>
      <c r="X30" s="712"/>
      <c r="Y30" s="3459"/>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59"/>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59"/>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59"/>
      <c r="Q32" s="1487" t="str">
        <f t="shared" si="8"/>
        <v>毗邻道路的类型与等级</v>
      </c>
      <c r="R32" s="714" t="s">
        <v>17</v>
      </c>
      <c r="S32" s="715">
        <f t="shared" si="10"/>
        <v>100</v>
      </c>
      <c r="T32" s="714" t="s">
        <v>17</v>
      </c>
      <c r="U32" s="715">
        <f t="shared" si="11"/>
        <v>100</v>
      </c>
      <c r="V32" s="714" t="s">
        <v>17</v>
      </c>
      <c r="W32" s="715">
        <f t="shared" si="12"/>
        <v>100</v>
      </c>
      <c r="X32" s="1490"/>
      <c r="Y32" s="3459"/>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59"/>
      <c r="Q33" s="1487"/>
      <c r="R33" s="714"/>
      <c r="S33" s="715"/>
      <c r="T33" s="714"/>
      <c r="U33" s="715"/>
      <c r="V33" s="714"/>
      <c r="W33" s="715"/>
      <c r="X33" s="1490"/>
      <c r="Y33" s="3459"/>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59"/>
      <c r="Q34" s="1487" t="str">
        <f t="shared" si="8"/>
        <v>土地级别</v>
      </c>
      <c r="R34" s="714" t="s">
        <v>17</v>
      </c>
      <c r="S34" s="715">
        <f t="shared" si="10"/>
        <v>100</v>
      </c>
      <c r="T34" s="714" t="s">
        <v>17</v>
      </c>
      <c r="U34" s="715">
        <f t="shared" si="11"/>
        <v>100</v>
      </c>
      <c r="V34" s="714" t="s">
        <v>17</v>
      </c>
      <c r="W34" s="715">
        <f t="shared" si="12"/>
        <v>100</v>
      </c>
      <c r="X34" s="1490"/>
      <c r="Y34" s="3459"/>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59"/>
      <c r="Q35" s="1487">
        <f t="shared" si="8"/>
        <v>111</v>
      </c>
      <c r="R35" s="714" t="s">
        <v>17</v>
      </c>
      <c r="S35" s="715">
        <f t="shared" si="10"/>
        <v>100</v>
      </c>
      <c r="T35" s="714" t="s">
        <v>17</v>
      </c>
      <c r="U35" s="715">
        <f t="shared" si="11"/>
        <v>100</v>
      </c>
      <c r="V35" s="714" t="s">
        <v>17</v>
      </c>
      <c r="W35" s="715">
        <f t="shared" si="12"/>
        <v>100</v>
      </c>
      <c r="X35" s="1490"/>
      <c r="Y35" s="3459"/>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460" t="s">
        <v>2145</v>
      </c>
      <c r="Q36" s="1487">
        <f t="shared" si="8"/>
        <v>111</v>
      </c>
      <c r="R36" s="714" t="s">
        <v>17</v>
      </c>
      <c r="S36" s="715">
        <f t="shared" si="10"/>
        <v>100</v>
      </c>
      <c r="T36" s="714" t="s">
        <v>17</v>
      </c>
      <c r="U36" s="715">
        <f t="shared" si="11"/>
        <v>100</v>
      </c>
      <c r="V36" s="714" t="s">
        <v>17</v>
      </c>
      <c r="W36" s="715">
        <f t="shared" si="12"/>
        <v>100</v>
      </c>
      <c r="X36" s="1490"/>
      <c r="Y36" s="3461"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61"/>
      <c r="Q37" s="1487">
        <f t="shared" si="8"/>
        <v>111</v>
      </c>
      <c r="R37" s="717" t="s">
        <v>17</v>
      </c>
      <c r="S37" s="718">
        <f t="shared" si="10"/>
        <v>100</v>
      </c>
      <c r="T37" s="717" t="s">
        <v>17</v>
      </c>
      <c r="U37" s="718">
        <f t="shared" si="11"/>
        <v>100</v>
      </c>
      <c r="V37" s="717" t="s">
        <v>17</v>
      </c>
      <c r="W37" s="718">
        <f t="shared" si="12"/>
        <v>100</v>
      </c>
      <c r="X37" s="719"/>
      <c r="Y37" s="3461"/>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61"/>
      <c r="Q38" s="1487" t="str">
        <f>B38</f>
        <v>宗地面积</v>
      </c>
      <c r="R38" s="714" t="s">
        <v>17</v>
      </c>
      <c r="S38" s="715" t="e">
        <f t="shared" si="10"/>
        <v>#N/A</v>
      </c>
      <c r="T38" s="714" t="s">
        <v>17</v>
      </c>
      <c r="U38" s="715" t="e">
        <f t="shared" si="11"/>
        <v>#N/A</v>
      </c>
      <c r="V38" s="714" t="s">
        <v>17</v>
      </c>
      <c r="W38" s="715" t="e">
        <f t="shared" si="12"/>
        <v>#N/A</v>
      </c>
      <c r="X38" s="1490"/>
      <c r="Y38" s="3461"/>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61"/>
      <c r="Q39" s="1487" t="str">
        <f t="shared" ref="Q39:Q45" si="14">B39</f>
        <v>宗地形状</v>
      </c>
      <c r="R39" s="714" t="s">
        <v>17</v>
      </c>
      <c r="S39" s="715">
        <f t="shared" si="10"/>
        <v>100</v>
      </c>
      <c r="T39" s="714" t="s">
        <v>17</v>
      </c>
      <c r="U39" s="715">
        <f t="shared" si="11"/>
        <v>100</v>
      </c>
      <c r="V39" s="714" t="s">
        <v>17</v>
      </c>
      <c r="W39" s="715">
        <f t="shared" si="12"/>
        <v>100</v>
      </c>
      <c r="X39" s="1490"/>
      <c r="Y39" s="3461"/>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61"/>
      <c r="Q40" s="1487" t="str">
        <f t="shared" si="14"/>
        <v>临街宽度及深度</v>
      </c>
      <c r="R40" s="714" t="s">
        <v>17</v>
      </c>
      <c r="S40" s="715">
        <f t="shared" si="10"/>
        <v>100</v>
      </c>
      <c r="T40" s="714" t="s">
        <v>17</v>
      </c>
      <c r="U40" s="715">
        <f t="shared" si="11"/>
        <v>100</v>
      </c>
      <c r="V40" s="714" t="s">
        <v>17</v>
      </c>
      <c r="W40" s="715">
        <f t="shared" si="12"/>
        <v>100</v>
      </c>
      <c r="X40" s="1490"/>
      <c r="Y40" s="3461"/>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61"/>
      <c r="Q41" s="1487" t="str">
        <f t="shared" si="14"/>
        <v>宗地开发程度</v>
      </c>
      <c r="R41" s="710" t="s">
        <v>17</v>
      </c>
      <c r="S41" s="711">
        <f t="shared" si="10"/>
        <v>100</v>
      </c>
      <c r="T41" s="710" t="s">
        <v>17</v>
      </c>
      <c r="U41" s="711">
        <f t="shared" si="11"/>
        <v>100</v>
      </c>
      <c r="V41" s="710" t="s">
        <v>17</v>
      </c>
      <c r="W41" s="711">
        <f t="shared" si="12"/>
        <v>100</v>
      </c>
      <c r="X41" s="712"/>
      <c r="Y41" s="3461"/>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61" t="s">
        <v>2145</v>
      </c>
      <c r="Q42" s="1487" t="str">
        <f t="shared" si="14"/>
        <v>工程地质条件</v>
      </c>
      <c r="R42" s="714" t="s">
        <v>17</v>
      </c>
      <c r="S42" s="715">
        <f t="shared" si="10"/>
        <v>100</v>
      </c>
      <c r="T42" s="714" t="s">
        <v>17</v>
      </c>
      <c r="U42" s="715">
        <f t="shared" si="11"/>
        <v>100</v>
      </c>
      <c r="V42" s="714" t="s">
        <v>17</v>
      </c>
      <c r="W42" s="715">
        <f t="shared" si="12"/>
        <v>100</v>
      </c>
      <c r="X42" s="1490"/>
      <c r="Y42" s="3461"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61"/>
      <c r="Q43" s="1487">
        <f t="shared" si="14"/>
        <v>111</v>
      </c>
      <c r="R43" s="714" t="s">
        <v>17</v>
      </c>
      <c r="S43" s="715">
        <f t="shared" si="10"/>
        <v>100</v>
      </c>
      <c r="T43" s="714" t="s">
        <v>17</v>
      </c>
      <c r="U43" s="715">
        <f t="shared" si="11"/>
        <v>100</v>
      </c>
      <c r="V43" s="714" t="s">
        <v>17</v>
      </c>
      <c r="W43" s="715">
        <f t="shared" si="12"/>
        <v>100</v>
      </c>
      <c r="X43" s="1490"/>
      <c r="Y43" s="3461"/>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61"/>
      <c r="Q44" s="1487">
        <f t="shared" si="14"/>
        <v>111</v>
      </c>
      <c r="R44" s="714" t="s">
        <v>17</v>
      </c>
      <c r="S44" s="715">
        <f t="shared" si="10"/>
        <v>100</v>
      </c>
      <c r="T44" s="714" t="s">
        <v>17</v>
      </c>
      <c r="U44" s="715">
        <f t="shared" si="11"/>
        <v>100</v>
      </c>
      <c r="V44" s="714" t="s">
        <v>17</v>
      </c>
      <c r="W44" s="715">
        <f t="shared" si="12"/>
        <v>100</v>
      </c>
      <c r="X44" s="1490"/>
      <c r="Y44" s="3461"/>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61"/>
      <c r="Q45" s="1487">
        <f t="shared" si="14"/>
        <v>111</v>
      </c>
      <c r="R45" s="717" t="s">
        <v>17</v>
      </c>
      <c r="S45" s="718">
        <f t="shared" si="10"/>
        <v>100</v>
      </c>
      <c r="T45" s="717" t="s">
        <v>17</v>
      </c>
      <c r="U45" s="718">
        <f t="shared" si="11"/>
        <v>100</v>
      </c>
      <c r="V45" s="717" t="s">
        <v>17</v>
      </c>
      <c r="W45" s="718">
        <f t="shared" si="12"/>
        <v>100</v>
      </c>
      <c r="X45" s="719"/>
      <c r="Y45" s="3461"/>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3"/>
      <c r="M46" s="2904"/>
      <c r="N46" s="2895"/>
      <c r="O46" s="2904"/>
      <c r="P46" s="3443" t="str">
        <f>A46</f>
        <v>成交单价</v>
      </c>
      <c r="Q46" s="3443"/>
      <c r="R46" s="3456">
        <f>E46</f>
        <v>0</v>
      </c>
      <c r="S46" s="3456"/>
      <c r="T46" s="3456">
        <f>G46</f>
        <v>0</v>
      </c>
      <c r="U46" s="3456"/>
      <c r="V46" s="3456">
        <f>I46</f>
        <v>0</v>
      </c>
      <c r="W46" s="3456"/>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3"/>
      <c r="M47" s="2904"/>
      <c r="N47" s="2904"/>
      <c r="O47" s="2904"/>
      <c r="P47" s="3443" t="str">
        <f>A47</f>
        <v>比较价值（元/平方米）</v>
      </c>
      <c r="Q47" s="3443"/>
      <c r="R47" s="3515" t="e">
        <f>ROUND(PRODUCT(R46,AA7:AA45),0)</f>
        <v>#DIV/0!</v>
      </c>
      <c r="S47" s="3515"/>
      <c r="T47" s="3515" t="e">
        <f>ROUND(PRODUCT(T46,AB7:AB45),0)</f>
        <v>#DIV/0!</v>
      </c>
      <c r="U47" s="3515"/>
      <c r="V47" s="3515" t="e">
        <f>ROUND(PRODUCT(V46,AC7:AC45),0)</f>
        <v>#DIV/0!</v>
      </c>
      <c r="W47" s="3515"/>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3"/>
      <c r="M48" s="2904"/>
      <c r="N48" s="2904"/>
      <c r="O48" s="2904"/>
      <c r="P48" s="3464" t="str">
        <f>A48</f>
        <v>估价对象XX用房的比较价值（楼面单价，元/平方米）</v>
      </c>
      <c r="Q48" s="3465"/>
      <c r="R48" s="3516" t="e">
        <f>ROUND(IF(D47="简单平均",AVERAGE(R47:W47),R47*F47+T47*H47+V47*J47),0)</f>
        <v>#DIV/0!</v>
      </c>
      <c r="S48" s="3516"/>
      <c r="T48" s="3516"/>
      <c r="U48" s="3516"/>
      <c r="V48" s="3516"/>
      <c r="W48" s="3516"/>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5"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2338</v>
      </c>
      <c r="B55" s="641" t="s">
        <v>2339</v>
      </c>
      <c r="C55" s="2120" t="s">
        <v>2340</v>
      </c>
      <c r="D55" s="2121" t="s">
        <v>2341</v>
      </c>
      <c r="E55" s="642" t="s">
        <v>2342</v>
      </c>
      <c r="F55" s="1002" t="s">
        <v>2343</v>
      </c>
      <c r="G55" s="3444" t="s">
        <v>2344</v>
      </c>
      <c r="H55" s="3517"/>
      <c r="I55" s="140" t="s">
        <v>2345</v>
      </c>
      <c r="J55" s="2122">
        <f>项目基本情况!F35</f>
        <v>0</v>
      </c>
      <c r="K55" s="2123" t="s">
        <v>2346</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2347</v>
      </c>
      <c r="B56" s="645" t="e">
        <f>C48</f>
        <v>#DIV/0!</v>
      </c>
      <c r="C56" s="646">
        <v>1</v>
      </c>
      <c r="D56" s="1056">
        <v>1</v>
      </c>
      <c r="E56" s="646">
        <f>'数据-汇总表'!E8+'数据-汇总表'!E9</f>
        <v>2656.2</v>
      </c>
      <c r="F56" s="998" t="e">
        <f t="shared" ref="F56:F64" si="15">ROUND(B56*E56/10000,0)</f>
        <v>#DIV/0!</v>
      </c>
      <c r="G56" s="3493"/>
      <c r="H56" s="3443"/>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2348</v>
      </c>
      <c r="B57" s="224" t="e">
        <f>ROUND($C$48*C57*D57,0)</f>
        <v>#DIV/0!</v>
      </c>
      <c r="C57" s="176">
        <f t="shared" ref="C57:C64" si="16">IF($C$55="北京市系数",I57,J57)</f>
        <v>0</v>
      </c>
      <c r="D57" s="1057">
        <v>0.25</v>
      </c>
      <c r="E57" s="650"/>
      <c r="F57" s="998" t="e">
        <f t="shared" si="15"/>
        <v>#DIV/0!</v>
      </c>
      <c r="G57" s="3228" t="s">
        <v>2349</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2350</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2351</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2358</v>
      </c>
      <c r="B63" s="224" t="e">
        <f t="shared" si="17"/>
        <v>#DIV/0!</v>
      </c>
      <c r="C63" s="176">
        <f t="shared" si="16"/>
        <v>0</v>
      </c>
      <c r="D63" s="1057">
        <v>0.25</v>
      </c>
      <c r="E63" s="223">
        <f>'数据-汇总表'!E14</f>
        <v>0</v>
      </c>
      <c r="F63" s="998" t="e">
        <f t="shared" si="15"/>
        <v>#DIV/0!</v>
      </c>
      <c r="G63" s="2124" t="s">
        <v>2349</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ht="13.5" thickBot="1">
      <c r="A65" s="651" t="s">
        <v>2360</v>
      </c>
      <c r="B65" s="652" t="s">
        <v>28</v>
      </c>
      <c r="C65" s="652" t="s">
        <v>29</v>
      </c>
      <c r="D65" s="652" t="s">
        <v>816</v>
      </c>
      <c r="E65" s="652">
        <f>IF(B46="楼面地价",SUM(E56:E64),'数据-汇总表'!D3)</f>
        <v>2656.2</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2022-5-1</v>
      </c>
      <c r="D67" s="701">
        <f>EDATE(C67,-3)</f>
        <v>44593</v>
      </c>
      <c r="E67" s="701">
        <f>EDATE(D67,-3)</f>
        <v>44501</v>
      </c>
      <c r="F67" s="701">
        <f t="shared" ref="F67:O67" si="18">EDATE(E67,-3)</f>
        <v>44409</v>
      </c>
      <c r="G67" s="701">
        <f t="shared" si="18"/>
        <v>44317</v>
      </c>
      <c r="H67" s="701">
        <f t="shared" si="18"/>
        <v>44228</v>
      </c>
      <c r="I67" s="701">
        <f t="shared" si="18"/>
        <v>44136</v>
      </c>
      <c r="J67" s="701">
        <f t="shared" si="18"/>
        <v>44044</v>
      </c>
      <c r="K67" s="701">
        <f t="shared" si="18"/>
        <v>43952</v>
      </c>
      <c r="L67" s="701">
        <f t="shared" si="18"/>
        <v>43862</v>
      </c>
      <c r="M67" s="701">
        <f t="shared" si="18"/>
        <v>43770</v>
      </c>
      <c r="N67" s="701">
        <f t="shared" si="18"/>
        <v>43678</v>
      </c>
      <c r="O67" s="701">
        <f t="shared" si="18"/>
        <v>43586</v>
      </c>
      <c r="P67" s="2904"/>
      <c r="Q67" s="2904"/>
      <c r="R67" s="2904"/>
      <c r="S67" s="2904"/>
      <c r="T67" s="2904"/>
      <c r="U67" s="2904"/>
      <c r="V67" s="2904"/>
      <c r="W67" s="2904"/>
      <c r="X67" s="2904"/>
      <c r="Y67" s="2904"/>
      <c r="Z67" s="2904"/>
      <c r="AA67" s="2904"/>
      <c r="AB67" s="2904"/>
      <c r="AC67" s="2904"/>
    </row>
    <row r="68" spans="1:29" ht="21.75" thickBot="1">
      <c r="A68" s="703" t="s">
        <v>2254</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5">
      <c r="A69" s="2126" t="s">
        <v>2361</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55"/>
      <c r="Q69" s="2920"/>
      <c r="R69" s="2920"/>
      <c r="S69" s="2920"/>
      <c r="T69" s="2920"/>
      <c r="U69" s="2920"/>
      <c r="V69" s="2920"/>
      <c r="W69" s="2920"/>
      <c r="X69" s="2920"/>
      <c r="Y69" s="2920"/>
      <c r="Z69" s="2920"/>
      <c r="AA69" s="2920"/>
      <c r="AB69" s="2920"/>
      <c r="AC69" s="2920"/>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75" thickBot="1">
      <c r="A71" s="472" t="s">
        <v>2165</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5">
      <c r="A72" s="478" t="s">
        <v>2130</v>
      </c>
      <c r="B72" s="467"/>
      <c r="C72" s="479" t="s">
        <v>2232</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c r="A74" s="484" t="s">
        <v>2168</v>
      </c>
      <c r="B74" s="485" t="s">
        <v>2134</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5.75"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7.75" thickTop="1">
      <c r="A76" s="491"/>
      <c r="B76" s="495" t="s">
        <v>2137</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5.75"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ht="15">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5.75"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5.75"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5.75"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5.75"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5.75"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5.75"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c r="A87" s="484" t="s">
        <v>2139</v>
      </c>
      <c r="B87" s="485" t="s">
        <v>2176</v>
      </c>
      <c r="C87" s="530" t="s">
        <v>2177</v>
      </c>
      <c r="D87" s="530" t="s">
        <v>2178</v>
      </c>
      <c r="E87" s="530" t="s">
        <v>2179</v>
      </c>
      <c r="F87" s="530" t="s">
        <v>2180</v>
      </c>
      <c r="G87" s="530" t="s">
        <v>2181</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75" thickTop="1">
      <c r="A89" s="491"/>
      <c r="B89" s="495" t="s">
        <v>2363</v>
      </c>
      <c r="C89" s="535" t="s">
        <v>2177</v>
      </c>
      <c r="D89" s="535" t="s">
        <v>2178</v>
      </c>
      <c r="E89" s="535" t="s">
        <v>2179</v>
      </c>
      <c r="F89" s="535" t="s">
        <v>2180</v>
      </c>
      <c r="G89" s="535" t="s">
        <v>2181</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75" thickTop="1">
      <c r="A91" s="491"/>
      <c r="B91" s="495" t="s">
        <v>2277</v>
      </c>
      <c r="C91" s="535" t="s">
        <v>2177</v>
      </c>
      <c r="D91" s="535" t="s">
        <v>2178</v>
      </c>
      <c r="E91" s="535" t="s">
        <v>2179</v>
      </c>
      <c r="F91" s="535" t="s">
        <v>2180</v>
      </c>
      <c r="G91" s="535" t="s">
        <v>2181</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75" thickTop="1">
      <c r="A93" s="491"/>
      <c r="B93" s="495" t="s">
        <v>2182</v>
      </c>
      <c r="C93" s="535" t="s">
        <v>2177</v>
      </c>
      <c r="D93" s="535" t="s">
        <v>2178</v>
      </c>
      <c r="E93" s="535" t="s">
        <v>2179</v>
      </c>
      <c r="F93" s="535" t="s">
        <v>2180</v>
      </c>
      <c r="G93" s="535" t="s">
        <v>2181</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7.75" thickTop="1">
      <c r="A105" s="491"/>
      <c r="B105" s="495" t="s">
        <v>2271</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75" thickTop="1">
      <c r="A107" s="491"/>
      <c r="B107" s="495" t="s">
        <v>2330</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5.75"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5.75"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5"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5.75"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5"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5.75"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ht="15">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5.75"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2371</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2372</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2373</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2374</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5"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5.75"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5"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5.75"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5"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5.75"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44" t="s">
        <v>2226</v>
      </c>
      <c r="D4" s="3445"/>
      <c r="E4" s="3446" t="s">
        <v>2227</v>
      </c>
      <c r="F4" s="3447"/>
      <c r="G4" s="3444" t="s">
        <v>2228</v>
      </c>
      <c r="H4" s="3445"/>
      <c r="I4" s="3444" t="s">
        <v>2229</v>
      </c>
      <c r="J4" s="3445"/>
      <c r="K4" s="567" t="s">
        <v>2230</v>
      </c>
      <c r="L4" s="2894"/>
      <c r="M4" s="2895"/>
      <c r="N4" s="2895"/>
      <c r="O4" s="2895"/>
      <c r="P4" s="3448" t="s">
        <v>2231</v>
      </c>
      <c r="Q4" s="3449"/>
      <c r="R4" s="3431" t="s">
        <v>2227</v>
      </c>
      <c r="S4" s="3432"/>
      <c r="T4" s="3431" t="s">
        <v>2228</v>
      </c>
      <c r="U4" s="3432"/>
      <c r="V4" s="3456" t="s">
        <v>2229</v>
      </c>
      <c r="W4" s="3456"/>
      <c r="X4" s="1490"/>
      <c r="Y4" s="3431" t="s">
        <v>2231</v>
      </c>
      <c r="Z4" s="3432"/>
      <c r="AA4" s="3426" t="s">
        <v>2227</v>
      </c>
      <c r="AB4" s="3427" t="s">
        <v>2228</v>
      </c>
      <c r="AC4" s="3426" t="s">
        <v>2229</v>
      </c>
    </row>
    <row r="5" spans="1:29" ht="15">
      <c r="A5" s="364"/>
      <c r="B5" s="365"/>
      <c r="C5" s="3437" t="s">
        <v>2122</v>
      </c>
      <c r="D5" s="3438"/>
      <c r="E5" s="3435" t="s">
        <v>2123</v>
      </c>
      <c r="F5" s="3436"/>
      <c r="G5" s="3437" t="s">
        <v>2124</v>
      </c>
      <c r="H5" s="3438"/>
      <c r="I5" s="3437" t="s">
        <v>2125</v>
      </c>
      <c r="J5" s="3438"/>
      <c r="K5" s="567"/>
      <c r="L5" s="2894"/>
      <c r="M5" s="2895"/>
      <c r="N5" s="2895"/>
      <c r="O5" s="2895"/>
      <c r="P5" s="3450"/>
      <c r="Q5" s="3451"/>
      <c r="R5" s="3433"/>
      <c r="S5" s="3434"/>
      <c r="T5" s="3433"/>
      <c r="U5" s="3434"/>
      <c r="V5" s="3456"/>
      <c r="W5" s="3456"/>
      <c r="X5" s="1490"/>
      <c r="Y5" s="3433"/>
      <c r="Z5" s="3434"/>
      <c r="AA5" s="3427"/>
      <c r="AB5" s="3427"/>
      <c r="AC5" s="3427"/>
    </row>
    <row r="6" spans="1:29" ht="15.75" thickBot="1">
      <c r="A6" s="366"/>
      <c r="B6" s="367"/>
      <c r="C6" s="3518" t="s">
        <v>2376</v>
      </c>
      <c r="D6" s="3519"/>
      <c r="E6" s="3520" t="s">
        <v>2376</v>
      </c>
      <c r="F6" s="3521"/>
      <c r="G6" s="3518" t="s">
        <v>2376</v>
      </c>
      <c r="H6" s="3519"/>
      <c r="I6" s="3518" t="s">
        <v>2376</v>
      </c>
      <c r="J6" s="3519"/>
      <c r="K6" s="567" t="s">
        <v>2127</v>
      </c>
      <c r="L6" s="2894"/>
      <c r="M6" s="2895"/>
      <c r="N6" s="2895"/>
      <c r="O6" s="2895"/>
      <c r="P6" s="3452"/>
      <c r="Q6" s="3453"/>
      <c r="R6" s="3433"/>
      <c r="S6" s="3434"/>
      <c r="T6" s="3454"/>
      <c r="U6" s="3455"/>
      <c r="V6" s="3456"/>
      <c r="W6" s="3456"/>
      <c r="X6" s="1490"/>
      <c r="Y6" s="3454"/>
      <c r="Z6" s="3455"/>
      <c r="AA6" s="3428"/>
      <c r="AB6" s="3428"/>
      <c r="AC6" s="3428"/>
    </row>
    <row r="7" spans="1:29" s="113" customFormat="1" ht="15.75" thickBot="1">
      <c r="A7" s="368" t="s">
        <v>2128</v>
      </c>
      <c r="B7" s="369"/>
      <c r="C7" s="370">
        <f>'数据-取费表'!B2</f>
        <v>44705</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429" t="s">
        <v>2129</v>
      </c>
      <c r="Q7" s="3457"/>
      <c r="R7" s="710" t="s">
        <v>17</v>
      </c>
      <c r="S7" s="711">
        <f t="shared" ref="S7:S15" si="0">F7</f>
        <v>0</v>
      </c>
      <c r="T7" s="710" t="s">
        <v>17</v>
      </c>
      <c r="U7" s="711">
        <f t="shared" ref="U7:U15" si="1">H7</f>
        <v>0</v>
      </c>
      <c r="V7" s="710" t="s">
        <v>17</v>
      </c>
      <c r="W7" s="711">
        <f t="shared" ref="W7:W15" si="2">J7</f>
        <v>0</v>
      </c>
      <c r="X7" s="712"/>
      <c r="Y7" s="3429" t="s">
        <v>2129</v>
      </c>
      <c r="Z7" s="3430"/>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429" t="s">
        <v>2132</v>
      </c>
      <c r="Q8" s="3430"/>
      <c r="R8" s="710" t="s">
        <v>17</v>
      </c>
      <c r="S8" s="711">
        <f t="shared" si="0"/>
        <v>0</v>
      </c>
      <c r="T8" s="710" t="s">
        <v>17</v>
      </c>
      <c r="U8" s="711">
        <f t="shared" si="1"/>
        <v>0</v>
      </c>
      <c r="V8" s="710" t="s">
        <v>17</v>
      </c>
      <c r="W8" s="711">
        <f t="shared" si="2"/>
        <v>0</v>
      </c>
      <c r="X8" s="712"/>
      <c r="Y8" s="3429" t="s">
        <v>2132</v>
      </c>
      <c r="Z8" s="3430"/>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43" t="s">
        <v>2135</v>
      </c>
      <c r="Q9" s="1478" t="str">
        <f t="shared" ref="Q9:Q15" si="6">B9</f>
        <v>用途</v>
      </c>
      <c r="R9" s="710" t="s">
        <v>17</v>
      </c>
      <c r="S9" s="711">
        <f t="shared" si="0"/>
        <v>100</v>
      </c>
      <c r="T9" s="710" t="s">
        <v>17</v>
      </c>
      <c r="U9" s="711">
        <f t="shared" si="1"/>
        <v>100</v>
      </c>
      <c r="V9" s="710" t="s">
        <v>17</v>
      </c>
      <c r="W9" s="711">
        <f t="shared" si="2"/>
        <v>100</v>
      </c>
      <c r="X9" s="712"/>
      <c r="Y9" s="3399"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109</v>
      </c>
      <c r="G10" s="391"/>
      <c r="H10" s="132">
        <f>ROUND(100/'数据-取费表'!G16,0)</f>
        <v>109</v>
      </c>
      <c r="I10" s="391"/>
      <c r="J10" s="132">
        <f>ROUND(100/'数据-取费表'!G16,0)</f>
        <v>109</v>
      </c>
      <c r="K10" s="628"/>
      <c r="L10" s="2898"/>
      <c r="M10" s="2899"/>
      <c r="N10" s="2899"/>
      <c r="O10" s="2952"/>
      <c r="P10" s="3443"/>
      <c r="Q10" s="1478" t="str">
        <f t="shared" si="6"/>
        <v>土地使用年限（年）</v>
      </c>
      <c r="R10" s="710" t="s">
        <v>17</v>
      </c>
      <c r="S10" s="711">
        <f t="shared" si="0"/>
        <v>109</v>
      </c>
      <c r="T10" s="710" t="s">
        <v>17</v>
      </c>
      <c r="U10" s="711">
        <f t="shared" si="1"/>
        <v>109</v>
      </c>
      <c r="V10" s="710" t="s">
        <v>17</v>
      </c>
      <c r="W10" s="711">
        <f t="shared" si="2"/>
        <v>109</v>
      </c>
      <c r="X10" s="712"/>
      <c r="Y10" s="3399"/>
      <c r="Z10" s="55" t="str">
        <f t="shared" si="7"/>
        <v>土地使用年限（年）</v>
      </c>
      <c r="AA10" s="713">
        <f t="shared" si="3"/>
        <v>0.91743119266055051</v>
      </c>
      <c r="AB10" s="713">
        <f t="shared" si="4"/>
        <v>0.91743119266055051</v>
      </c>
      <c r="AC10" s="713">
        <f t="shared" si="5"/>
        <v>0.91743119266055051</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43"/>
      <c r="Q11" s="1478" t="str">
        <f t="shared" si="6"/>
        <v>容积率</v>
      </c>
      <c r="R11" s="710" t="s">
        <v>17</v>
      </c>
      <c r="S11" s="711" t="e">
        <f t="shared" si="0"/>
        <v>#N/A</v>
      </c>
      <c r="T11" s="710" t="s">
        <v>17</v>
      </c>
      <c r="U11" s="711" t="e">
        <f t="shared" si="1"/>
        <v>#N/A</v>
      </c>
      <c r="V11" s="710" t="s">
        <v>17</v>
      </c>
      <c r="W11" s="711" t="e">
        <f t="shared" si="2"/>
        <v>#N/A</v>
      </c>
      <c r="X11" s="712"/>
      <c r="Y11" s="3399"/>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43"/>
      <c r="Q12" s="1478">
        <f t="shared" si="6"/>
        <v>111</v>
      </c>
      <c r="R12" s="710" t="s">
        <v>17</v>
      </c>
      <c r="S12" s="711">
        <f t="shared" si="0"/>
        <v>100</v>
      </c>
      <c r="T12" s="710" t="s">
        <v>17</v>
      </c>
      <c r="U12" s="711">
        <f t="shared" si="1"/>
        <v>100</v>
      </c>
      <c r="V12" s="710" t="s">
        <v>17</v>
      </c>
      <c r="W12" s="711">
        <f t="shared" si="2"/>
        <v>100</v>
      </c>
      <c r="X12" s="712"/>
      <c r="Y12" s="3399"/>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43"/>
      <c r="Q13" s="1478">
        <f t="shared" si="6"/>
        <v>111</v>
      </c>
      <c r="R13" s="710" t="s">
        <v>17</v>
      </c>
      <c r="S13" s="711">
        <f t="shared" si="0"/>
        <v>100</v>
      </c>
      <c r="T13" s="710" t="s">
        <v>17</v>
      </c>
      <c r="U13" s="711">
        <f t="shared" si="1"/>
        <v>100</v>
      </c>
      <c r="V13" s="710" t="s">
        <v>17</v>
      </c>
      <c r="W13" s="711">
        <f t="shared" si="2"/>
        <v>100</v>
      </c>
      <c r="X13" s="712"/>
      <c r="Y13" s="3399"/>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43"/>
      <c r="Q14" s="1478">
        <f t="shared" si="6"/>
        <v>111</v>
      </c>
      <c r="R14" s="710" t="s">
        <v>17</v>
      </c>
      <c r="S14" s="711">
        <f t="shared" si="0"/>
        <v>100</v>
      </c>
      <c r="T14" s="710" t="s">
        <v>17</v>
      </c>
      <c r="U14" s="711">
        <f t="shared" si="1"/>
        <v>100</v>
      </c>
      <c r="V14" s="710" t="s">
        <v>17</v>
      </c>
      <c r="W14" s="711">
        <f t="shared" si="2"/>
        <v>100</v>
      </c>
      <c r="X14" s="712"/>
      <c r="Y14" s="3399"/>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58" t="s">
        <v>2140</v>
      </c>
      <c r="Q15" s="1487" t="str">
        <f t="shared" si="6"/>
        <v>产业集聚程度</v>
      </c>
      <c r="R15" s="714" t="s">
        <v>17</v>
      </c>
      <c r="S15" s="715">
        <f t="shared" si="0"/>
        <v>100</v>
      </c>
      <c r="T15" s="714" t="s">
        <v>17</v>
      </c>
      <c r="U15" s="715">
        <f t="shared" si="1"/>
        <v>100</v>
      </c>
      <c r="V15" s="714" t="s">
        <v>17</v>
      </c>
      <c r="W15" s="715">
        <f t="shared" si="2"/>
        <v>100</v>
      </c>
      <c r="X15" s="1490"/>
      <c r="Y15" s="3458"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59"/>
      <c r="Q16" s="1487"/>
      <c r="R16" s="714"/>
      <c r="S16" s="715"/>
      <c r="T16" s="714"/>
      <c r="U16" s="715"/>
      <c r="V16" s="714"/>
      <c r="W16" s="715"/>
      <c r="X16" s="1490"/>
      <c r="Y16" s="3459"/>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59"/>
      <c r="Q17" s="1487" t="str">
        <f>B17</f>
        <v>交通便捷度</v>
      </c>
      <c r="R17" s="714" t="s">
        <v>17</v>
      </c>
      <c r="S17" s="715">
        <f>F17</f>
        <v>100</v>
      </c>
      <c r="T17" s="714" t="s">
        <v>17</v>
      </c>
      <c r="U17" s="715">
        <f>H17</f>
        <v>100</v>
      </c>
      <c r="V17" s="714" t="s">
        <v>17</v>
      </c>
      <c r="W17" s="715">
        <f>J17</f>
        <v>100</v>
      </c>
      <c r="X17" s="1490"/>
      <c r="Y17" s="3459"/>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59"/>
      <c r="Q18" s="1487"/>
      <c r="R18" s="714"/>
      <c r="S18" s="715"/>
      <c r="T18" s="714"/>
      <c r="U18" s="715"/>
      <c r="V18" s="714"/>
      <c r="W18" s="715"/>
      <c r="X18" s="1490"/>
      <c r="Y18" s="3459"/>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59"/>
      <c r="Q19" s="1487" t="str">
        <f t="shared" ref="Q19:Q33" si="8">B19</f>
        <v>区域土地利用方向</v>
      </c>
      <c r="R19" s="714" t="s">
        <v>17</v>
      </c>
      <c r="S19" s="715">
        <f>F19</f>
        <v>100</v>
      </c>
      <c r="T19" s="714" t="s">
        <v>17</v>
      </c>
      <c r="U19" s="715">
        <f>H19</f>
        <v>100</v>
      </c>
      <c r="V19" s="714" t="s">
        <v>17</v>
      </c>
      <c r="W19" s="715">
        <f>J19</f>
        <v>100</v>
      </c>
      <c r="X19" s="1490"/>
      <c r="Y19" s="3459"/>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59"/>
      <c r="Q20" s="1487"/>
      <c r="R20" s="714"/>
      <c r="S20" s="715"/>
      <c r="T20" s="714"/>
      <c r="U20" s="715"/>
      <c r="V20" s="714"/>
      <c r="W20" s="715"/>
      <c r="X20" s="1490"/>
      <c r="Y20" s="3459"/>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59"/>
      <c r="Q21" s="1487" t="str">
        <f t="shared" si="8"/>
        <v>环境状况</v>
      </c>
      <c r="R21" s="714" t="s">
        <v>17</v>
      </c>
      <c r="S21" s="715">
        <f>F21</f>
        <v>100</v>
      </c>
      <c r="T21" s="714" t="s">
        <v>17</v>
      </c>
      <c r="U21" s="715">
        <f>H21</f>
        <v>100</v>
      </c>
      <c r="V21" s="714" t="s">
        <v>17</v>
      </c>
      <c r="W21" s="715">
        <f>J21</f>
        <v>100</v>
      </c>
      <c r="X21" s="1490"/>
      <c r="Y21" s="3459"/>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59"/>
      <c r="Q22" s="1487"/>
      <c r="R22" s="714"/>
      <c r="S22" s="715"/>
      <c r="T22" s="714"/>
      <c r="U22" s="715"/>
      <c r="V22" s="714"/>
      <c r="W22" s="715"/>
      <c r="X22" s="1490"/>
      <c r="Y22" s="3459"/>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59"/>
      <c r="Q23" s="1478" t="str">
        <f t="shared" si="8"/>
        <v>公共配套设施</v>
      </c>
      <c r="R23" s="710" t="s">
        <v>17</v>
      </c>
      <c r="S23" s="711">
        <f>F23</f>
        <v>100</v>
      </c>
      <c r="T23" s="710" t="s">
        <v>17</v>
      </c>
      <c r="U23" s="711">
        <f>H23</f>
        <v>100</v>
      </c>
      <c r="V23" s="710" t="s">
        <v>17</v>
      </c>
      <c r="W23" s="711">
        <f>J23</f>
        <v>100</v>
      </c>
      <c r="X23" s="712"/>
      <c r="Y23" s="3459"/>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59"/>
      <c r="Q24" s="1478"/>
      <c r="R24" s="710"/>
      <c r="S24" s="711"/>
      <c r="T24" s="710"/>
      <c r="U24" s="711"/>
      <c r="V24" s="710"/>
      <c r="W24" s="711"/>
      <c r="X24" s="712"/>
      <c r="Y24" s="3459"/>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59"/>
      <c r="Q25" s="1478" t="str">
        <f t="shared" ref="Q25" si="9">B25</f>
        <v>基础设施水平</v>
      </c>
      <c r="R25" s="710" t="s">
        <v>17</v>
      </c>
      <c r="S25" s="711">
        <f>F25</f>
        <v>100</v>
      </c>
      <c r="T25" s="710" t="s">
        <v>17</v>
      </c>
      <c r="U25" s="711">
        <f>H25</f>
        <v>100</v>
      </c>
      <c r="V25" s="710" t="s">
        <v>17</v>
      </c>
      <c r="W25" s="711">
        <f>J25</f>
        <v>100</v>
      </c>
      <c r="X25" s="712"/>
      <c r="Y25" s="3459"/>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59"/>
      <c r="Q26" s="1478"/>
      <c r="R26" s="710"/>
      <c r="S26" s="711"/>
      <c r="T26" s="710"/>
      <c r="U26" s="711"/>
      <c r="V26" s="710"/>
      <c r="W26" s="711"/>
      <c r="X26" s="712"/>
      <c r="Y26" s="3459"/>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59"/>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59"/>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59"/>
      <c r="Q28" s="1487" t="str">
        <f t="shared" si="8"/>
        <v>毗邻道路的类型与等级</v>
      </c>
      <c r="R28" s="714" t="s">
        <v>17</v>
      </c>
      <c r="S28" s="715">
        <f t="shared" si="10"/>
        <v>100</v>
      </c>
      <c r="T28" s="714" t="s">
        <v>17</v>
      </c>
      <c r="U28" s="715">
        <f t="shared" si="11"/>
        <v>100</v>
      </c>
      <c r="V28" s="714" t="s">
        <v>17</v>
      </c>
      <c r="W28" s="715">
        <f t="shared" si="12"/>
        <v>100</v>
      </c>
      <c r="X28" s="1490"/>
      <c r="Y28" s="3459"/>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59"/>
      <c r="Q29" s="1487"/>
      <c r="R29" s="714"/>
      <c r="S29" s="715"/>
      <c r="T29" s="714"/>
      <c r="U29" s="715"/>
      <c r="V29" s="714"/>
      <c r="W29" s="715"/>
      <c r="X29" s="1490"/>
      <c r="Y29" s="3459"/>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59"/>
      <c r="Q30" s="1487" t="str">
        <f t="shared" si="8"/>
        <v>土地级别</v>
      </c>
      <c r="R30" s="714" t="s">
        <v>17</v>
      </c>
      <c r="S30" s="715">
        <f t="shared" si="10"/>
        <v>100</v>
      </c>
      <c r="T30" s="714" t="s">
        <v>17</v>
      </c>
      <c r="U30" s="715">
        <f t="shared" si="11"/>
        <v>100</v>
      </c>
      <c r="V30" s="714" t="s">
        <v>17</v>
      </c>
      <c r="W30" s="715">
        <f t="shared" si="12"/>
        <v>100</v>
      </c>
      <c r="X30" s="1490"/>
      <c r="Y30" s="3459"/>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59"/>
      <c r="Q31" s="1487">
        <f t="shared" si="8"/>
        <v>111</v>
      </c>
      <c r="R31" s="714" t="s">
        <v>17</v>
      </c>
      <c r="S31" s="715">
        <f t="shared" si="10"/>
        <v>100</v>
      </c>
      <c r="T31" s="714" t="s">
        <v>17</v>
      </c>
      <c r="U31" s="715">
        <f t="shared" si="11"/>
        <v>100</v>
      </c>
      <c r="V31" s="714" t="s">
        <v>17</v>
      </c>
      <c r="W31" s="715">
        <f t="shared" si="12"/>
        <v>100</v>
      </c>
      <c r="X31" s="1490"/>
      <c r="Y31" s="3459"/>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460" t="s">
        <v>2145</v>
      </c>
      <c r="Q32" s="1487">
        <f t="shared" si="8"/>
        <v>111</v>
      </c>
      <c r="R32" s="714" t="s">
        <v>17</v>
      </c>
      <c r="S32" s="715">
        <f t="shared" si="10"/>
        <v>100</v>
      </c>
      <c r="T32" s="714" t="s">
        <v>17</v>
      </c>
      <c r="U32" s="715">
        <f t="shared" si="11"/>
        <v>100</v>
      </c>
      <c r="V32" s="714" t="s">
        <v>17</v>
      </c>
      <c r="W32" s="715">
        <f t="shared" si="12"/>
        <v>100</v>
      </c>
      <c r="X32" s="1490"/>
      <c r="Y32" s="3461"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61"/>
      <c r="Q33" s="1487">
        <f t="shared" si="8"/>
        <v>111</v>
      </c>
      <c r="R33" s="717" t="s">
        <v>17</v>
      </c>
      <c r="S33" s="718">
        <f t="shared" si="10"/>
        <v>100</v>
      </c>
      <c r="T33" s="717" t="s">
        <v>17</v>
      </c>
      <c r="U33" s="718">
        <f t="shared" si="11"/>
        <v>100</v>
      </c>
      <c r="V33" s="717" t="s">
        <v>17</v>
      </c>
      <c r="W33" s="718">
        <f t="shared" si="12"/>
        <v>100</v>
      </c>
      <c r="X33" s="719"/>
      <c r="Y33" s="3461"/>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61"/>
      <c r="Q34" s="1487" t="str">
        <f>B34</f>
        <v>宗地面积</v>
      </c>
      <c r="R34" s="714" t="s">
        <v>17</v>
      </c>
      <c r="S34" s="715" t="e">
        <f t="shared" si="10"/>
        <v>#N/A</v>
      </c>
      <c r="T34" s="714" t="s">
        <v>17</v>
      </c>
      <c r="U34" s="715" t="e">
        <f t="shared" si="11"/>
        <v>#N/A</v>
      </c>
      <c r="V34" s="714" t="s">
        <v>17</v>
      </c>
      <c r="W34" s="715" t="e">
        <f t="shared" si="12"/>
        <v>#N/A</v>
      </c>
      <c r="X34" s="1490"/>
      <c r="Y34" s="3461"/>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61"/>
      <c r="Q35" s="1487" t="str">
        <f t="shared" ref="Q35:Q40" si="14">B35</f>
        <v>宗地形状</v>
      </c>
      <c r="R35" s="714" t="s">
        <v>17</v>
      </c>
      <c r="S35" s="715">
        <f t="shared" si="10"/>
        <v>100</v>
      </c>
      <c r="T35" s="714" t="s">
        <v>17</v>
      </c>
      <c r="U35" s="715">
        <f t="shared" si="11"/>
        <v>100</v>
      </c>
      <c r="V35" s="714" t="s">
        <v>17</v>
      </c>
      <c r="W35" s="715">
        <f t="shared" si="12"/>
        <v>100</v>
      </c>
      <c r="X35" s="1490"/>
      <c r="Y35" s="3461"/>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61"/>
      <c r="Q36" s="1487" t="str">
        <f t="shared" si="14"/>
        <v>宗地开发程度</v>
      </c>
      <c r="R36" s="710" t="s">
        <v>17</v>
      </c>
      <c r="S36" s="711">
        <f t="shared" si="10"/>
        <v>100</v>
      </c>
      <c r="T36" s="710" t="s">
        <v>17</v>
      </c>
      <c r="U36" s="711">
        <f t="shared" si="11"/>
        <v>100</v>
      </c>
      <c r="V36" s="710" t="s">
        <v>17</v>
      </c>
      <c r="W36" s="711">
        <f t="shared" si="12"/>
        <v>100</v>
      </c>
      <c r="X36" s="712"/>
      <c r="Y36" s="3461"/>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61" t="s">
        <v>2145</v>
      </c>
      <c r="Q37" s="1487" t="str">
        <f t="shared" si="14"/>
        <v>工程地质条件</v>
      </c>
      <c r="R37" s="714" t="s">
        <v>17</v>
      </c>
      <c r="S37" s="715">
        <f t="shared" si="10"/>
        <v>100</v>
      </c>
      <c r="T37" s="714" t="s">
        <v>17</v>
      </c>
      <c r="U37" s="715">
        <f t="shared" si="11"/>
        <v>100</v>
      </c>
      <c r="V37" s="714" t="s">
        <v>17</v>
      </c>
      <c r="W37" s="715">
        <f t="shared" si="12"/>
        <v>100</v>
      </c>
      <c r="X37" s="1490"/>
      <c r="Y37" s="3461"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61"/>
      <c r="Q38" s="1487">
        <f t="shared" si="14"/>
        <v>111</v>
      </c>
      <c r="R38" s="714" t="s">
        <v>17</v>
      </c>
      <c r="S38" s="715">
        <f t="shared" si="10"/>
        <v>100</v>
      </c>
      <c r="T38" s="714" t="s">
        <v>17</v>
      </c>
      <c r="U38" s="715">
        <f t="shared" si="11"/>
        <v>100</v>
      </c>
      <c r="V38" s="714" t="s">
        <v>17</v>
      </c>
      <c r="W38" s="715">
        <f t="shared" si="12"/>
        <v>100</v>
      </c>
      <c r="X38" s="1490"/>
      <c r="Y38" s="3461"/>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61"/>
      <c r="Q39" s="1487">
        <f t="shared" si="14"/>
        <v>111</v>
      </c>
      <c r="R39" s="714" t="s">
        <v>17</v>
      </c>
      <c r="S39" s="715">
        <f t="shared" si="10"/>
        <v>100</v>
      </c>
      <c r="T39" s="714" t="s">
        <v>17</v>
      </c>
      <c r="U39" s="715">
        <f t="shared" si="11"/>
        <v>100</v>
      </c>
      <c r="V39" s="714" t="s">
        <v>17</v>
      </c>
      <c r="W39" s="715">
        <f t="shared" si="12"/>
        <v>100</v>
      </c>
      <c r="X39" s="1490"/>
      <c r="Y39" s="3461"/>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61"/>
      <c r="Q40" s="1487">
        <f t="shared" si="14"/>
        <v>111</v>
      </c>
      <c r="R40" s="717" t="s">
        <v>17</v>
      </c>
      <c r="S40" s="718">
        <f t="shared" si="10"/>
        <v>100</v>
      </c>
      <c r="T40" s="717" t="s">
        <v>17</v>
      </c>
      <c r="U40" s="718">
        <f t="shared" si="11"/>
        <v>100</v>
      </c>
      <c r="V40" s="717" t="s">
        <v>17</v>
      </c>
      <c r="W40" s="718">
        <f t="shared" si="12"/>
        <v>100</v>
      </c>
      <c r="X40" s="719"/>
      <c r="Y40" s="3461"/>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3"/>
      <c r="M41" s="2895"/>
      <c r="N41" s="2895"/>
      <c r="O41" s="2904"/>
      <c r="P41" s="3443" t="str">
        <f>A41</f>
        <v>成交单价</v>
      </c>
      <c r="Q41" s="3443"/>
      <c r="R41" s="3456">
        <f>E41</f>
        <v>0</v>
      </c>
      <c r="S41" s="3456"/>
      <c r="T41" s="3456">
        <f>G41</f>
        <v>0</v>
      </c>
      <c r="U41" s="3456"/>
      <c r="V41" s="3456">
        <f>I41</f>
        <v>0</v>
      </c>
      <c r="W41" s="3456"/>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3"/>
      <c r="M42" s="2895"/>
      <c r="N42" s="2895"/>
      <c r="O42" s="2904"/>
      <c r="P42" s="3443" t="str">
        <f>A42</f>
        <v>比较价值（元/平方米）</v>
      </c>
      <c r="Q42" s="3443"/>
      <c r="R42" s="3515" t="e">
        <f>ROUND(PRODUCT(R41,AA7:AA40),0)</f>
        <v>#DIV/0!</v>
      </c>
      <c r="S42" s="3515"/>
      <c r="T42" s="3515" t="e">
        <f>ROUND(PRODUCT(T41,AB7:AB40),0)</f>
        <v>#DIV/0!</v>
      </c>
      <c r="U42" s="3515"/>
      <c r="V42" s="3515" t="e">
        <f>ROUND(PRODUCT(V41,AC7:AC40),0)</f>
        <v>#DIV/0!</v>
      </c>
      <c r="W42" s="3515"/>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3"/>
      <c r="M43" s="2895"/>
      <c r="N43" s="2895"/>
      <c r="O43" s="2904"/>
      <c r="P43" s="3464" t="str">
        <f>A43</f>
        <v>估价对象XX用房的比较价值（楼面单价，元/平方米）</v>
      </c>
      <c r="Q43" s="3465"/>
      <c r="R43" s="3516" t="e">
        <f>ROUND(IF(D42="简单平均",AVERAGE(R42:W42),R42*F42+T42*H42+V42*J42),0)</f>
        <v>#DIV/0!</v>
      </c>
      <c r="S43" s="3516"/>
      <c r="T43" s="3516"/>
      <c r="U43" s="3516"/>
      <c r="V43" s="3516"/>
      <c r="W43" s="3516"/>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5"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7">
      <c r="A50" s="640" t="s">
        <v>2338</v>
      </c>
      <c r="B50" s="641" t="s">
        <v>2339</v>
      </c>
      <c r="C50" s="2120" t="s">
        <v>2340</v>
      </c>
      <c r="D50" s="2121" t="s">
        <v>2341</v>
      </c>
      <c r="E50" s="642" t="s">
        <v>2342</v>
      </c>
      <c r="F50" s="643" t="s">
        <v>2343</v>
      </c>
      <c r="G50" s="3444" t="s">
        <v>2344</v>
      </c>
      <c r="H50" s="3517"/>
      <c r="I50" s="1491" t="s">
        <v>2380</v>
      </c>
      <c r="J50" s="1491">
        <f>项目基本情况!F35</f>
        <v>0</v>
      </c>
      <c r="K50" s="2123" t="s">
        <v>2346</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2347</v>
      </c>
      <c r="B51" s="645" t="e">
        <f>C43</f>
        <v>#DIV/0!</v>
      </c>
      <c r="C51" s="646">
        <v>1</v>
      </c>
      <c r="D51" s="1056">
        <v>1</v>
      </c>
      <c r="E51" s="646">
        <f>'数据-汇总表'!E8+'数据-汇总表'!E9</f>
        <v>2656.2</v>
      </c>
      <c r="F51" s="647" t="e">
        <f t="shared" ref="F51:F60" si="15">ROUND(B51*E51/10000,0)</f>
        <v>#DIV/0!</v>
      </c>
      <c r="G51" s="3493"/>
      <c r="H51" s="3443"/>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2348</v>
      </c>
      <c r="B52" s="224" t="e">
        <f>ROUND($C$43*C52*D52,0)</f>
        <v>#DIV/0!</v>
      </c>
      <c r="C52" s="176">
        <f t="shared" ref="C52:C60" si="16">IF($C$50="北京市系数",I52,J52)</f>
        <v>0</v>
      </c>
      <c r="D52" s="1057">
        <v>0.25</v>
      </c>
      <c r="E52" s="650"/>
      <c r="F52" s="647" t="e">
        <f t="shared" si="15"/>
        <v>#DIV/0!</v>
      </c>
      <c r="G52" s="3228" t="s">
        <v>2349</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2350</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2351</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2358</v>
      </c>
      <c r="B59" s="224" t="e">
        <f t="shared" si="17"/>
        <v>#DIV/0!</v>
      </c>
      <c r="C59" s="176">
        <f t="shared" si="16"/>
        <v>0</v>
      </c>
      <c r="D59" s="1057">
        <v>0.25</v>
      </c>
      <c r="E59" s="223">
        <f>'数据-汇总表'!E14</f>
        <v>0</v>
      </c>
      <c r="F59" s="647" t="e">
        <f t="shared" si="15"/>
        <v>#DIV/0!</v>
      </c>
      <c r="G59" s="2124" t="s">
        <v>2349</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5" thickBot="1">
      <c r="A61" s="651" t="s">
        <v>2360</v>
      </c>
      <c r="B61" s="652" t="s">
        <v>28</v>
      </c>
      <c r="C61" s="652" t="s">
        <v>29</v>
      </c>
      <c r="D61" s="652" t="s">
        <v>816</v>
      </c>
      <c r="E61" s="652">
        <f>IF(B41="楼面地价",SUM(E51:E60),'数据-汇总表'!D3)</f>
        <v>1736.72</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2022-5-1</v>
      </c>
      <c r="D63" s="701">
        <f>EDATE(C63,-3)</f>
        <v>44593</v>
      </c>
      <c r="E63" s="701">
        <f>EDATE(D63,-3)</f>
        <v>44501</v>
      </c>
      <c r="F63" s="701">
        <f t="shared" ref="F63:O63" si="18">EDATE(E63,-3)</f>
        <v>44409</v>
      </c>
      <c r="G63" s="701">
        <f t="shared" si="18"/>
        <v>44317</v>
      </c>
      <c r="H63" s="701">
        <f t="shared" si="18"/>
        <v>44228</v>
      </c>
      <c r="I63" s="701">
        <f t="shared" si="18"/>
        <v>44136</v>
      </c>
      <c r="J63" s="701">
        <f t="shared" si="18"/>
        <v>44044</v>
      </c>
      <c r="K63" s="701">
        <f t="shared" si="18"/>
        <v>43952</v>
      </c>
      <c r="L63" s="701">
        <f t="shared" si="18"/>
        <v>43862</v>
      </c>
      <c r="M63" s="701">
        <f t="shared" si="18"/>
        <v>43770</v>
      </c>
      <c r="N63" s="701">
        <f t="shared" si="18"/>
        <v>43678</v>
      </c>
      <c r="O63" s="701">
        <f t="shared" si="18"/>
        <v>43586</v>
      </c>
      <c r="P63" s="2904"/>
      <c r="Q63" s="2904"/>
      <c r="R63" s="2904"/>
      <c r="S63" s="2904"/>
      <c r="T63" s="2904"/>
      <c r="U63" s="2904"/>
      <c r="V63" s="2904"/>
      <c r="W63" s="2904"/>
      <c r="X63" s="2904"/>
      <c r="Y63" s="2904"/>
      <c r="Z63" s="2904"/>
      <c r="AA63" s="2904"/>
      <c r="AB63" s="2904"/>
      <c r="AC63" s="2904"/>
      <c r="AD63" s="2904"/>
      <c r="AE63" s="2904"/>
    </row>
    <row r="64" spans="1:31" ht="21.75" thickBot="1">
      <c r="A64" s="703" t="s">
        <v>2254</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5">
      <c r="A65" s="2126" t="s">
        <v>2361</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75" thickBot="1">
      <c r="A67" s="472" t="s">
        <v>2165</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5">
      <c r="A68" s="478" t="s">
        <v>2130</v>
      </c>
      <c r="B68" s="467"/>
      <c r="C68" s="479" t="s">
        <v>2232</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c r="A70" s="484" t="s">
        <v>2168</v>
      </c>
      <c r="B70" s="485" t="s">
        <v>2134</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5.75"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7.75" thickTop="1">
      <c r="A72" s="491"/>
      <c r="B72" s="495" t="s">
        <v>2137</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5.75"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ht="15">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5.75"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5.75"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5.75"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5.75"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5.75"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5.75"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c r="A83" s="484" t="s">
        <v>2139</v>
      </c>
      <c r="B83" s="485" t="s">
        <v>2285</v>
      </c>
      <c r="C83" s="530" t="s">
        <v>2177</v>
      </c>
      <c r="D83" s="530" t="s">
        <v>2178</v>
      </c>
      <c r="E83" s="530" t="s">
        <v>2179</v>
      </c>
      <c r="F83" s="530" t="s">
        <v>2180</v>
      </c>
      <c r="G83" s="530" t="s">
        <v>2181</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75" thickTop="1">
      <c r="A85" s="491"/>
      <c r="B85" s="495" t="s">
        <v>2182</v>
      </c>
      <c r="C85" s="535" t="s">
        <v>2177</v>
      </c>
      <c r="D85" s="535" t="s">
        <v>2178</v>
      </c>
      <c r="E85" s="535" t="s">
        <v>2179</v>
      </c>
      <c r="F85" s="535" t="s">
        <v>2180</v>
      </c>
      <c r="G85" s="535" t="s">
        <v>2181</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7.75" thickTop="1">
      <c r="A97" s="491"/>
      <c r="B97" s="495" t="s">
        <v>2271</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75" thickTop="1">
      <c r="A99" s="491"/>
      <c r="B99" s="495" t="s">
        <v>2330</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5.75"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5.75"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5"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5.75"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5"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5.75"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ht="15">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5.75"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2371</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2373</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2374</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5"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5.75"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5"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5.75"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5"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5.75"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1.53</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41"/>
      <c r="B4" s="3542"/>
      <c r="C4" s="3542"/>
      <c r="D4" s="3543"/>
      <c r="E4" s="3543"/>
      <c r="F4" s="3543"/>
      <c r="G4" s="3543"/>
      <c r="H4" s="3543"/>
      <c r="I4" s="3543"/>
      <c r="J4" s="3544"/>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22"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1.53</v>
      </c>
      <c r="AA7" s="1331"/>
      <c r="AB7" s="1331"/>
      <c r="AC7" s="1332"/>
      <c r="AD7" s="1333"/>
      <c r="AE7" s="1333"/>
      <c r="AF7" s="1333"/>
      <c r="AG7" s="1333"/>
      <c r="AH7" s="1333"/>
      <c r="AI7" s="1333"/>
      <c r="AJ7" s="1334"/>
    </row>
    <row r="8" spans="1:36" ht="15">
      <c r="A8" s="3545"/>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38" t="s">
        <v>2419</v>
      </c>
      <c r="X8" s="3539"/>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45"/>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40"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45"/>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40"/>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45"/>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40" t="s">
        <v>2443</v>
      </c>
      <c r="X11" s="1339" t="s">
        <v>2444</v>
      </c>
      <c r="Y11" s="1340">
        <f>$G$3</f>
        <v>1.53</v>
      </c>
      <c r="Z11" s="1340">
        <f t="shared" ref="Z11:AJ11" si="3">$G$3</f>
        <v>1.53</v>
      </c>
      <c r="AA11" s="1340">
        <f t="shared" si="3"/>
        <v>1.53</v>
      </c>
      <c r="AB11" s="1340">
        <f t="shared" si="3"/>
        <v>1.53</v>
      </c>
      <c r="AC11" s="1340">
        <f t="shared" si="3"/>
        <v>1.53</v>
      </c>
      <c r="AD11" s="1340">
        <f t="shared" si="3"/>
        <v>1.53</v>
      </c>
      <c r="AE11" s="1340">
        <f t="shared" si="3"/>
        <v>1.53</v>
      </c>
      <c r="AF11" s="1340">
        <f t="shared" si="3"/>
        <v>1.53</v>
      </c>
      <c r="AG11" s="1340">
        <f t="shared" si="3"/>
        <v>1.53</v>
      </c>
      <c r="AH11" s="1340">
        <f t="shared" si="3"/>
        <v>1.53</v>
      </c>
      <c r="AI11" s="1340">
        <f t="shared" si="3"/>
        <v>1.53</v>
      </c>
      <c r="AJ11" s="1340">
        <f t="shared" si="3"/>
        <v>1.53</v>
      </c>
    </row>
    <row r="12" spans="1:36" ht="25.5" thickBot="1">
      <c r="A12" s="3522"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40"/>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46"/>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40"/>
      <c r="X13" s="1341"/>
      <c r="Y13" s="1338">
        <f>(-0.163*(Y12^2)-0.59*Y12+7617)*(10^(-4))/Y11</f>
        <v>0.49784313725490198</v>
      </c>
      <c r="Z13" s="1338">
        <f t="shared" ref="Z13:AJ13" si="5">(-0.163*(Z12^2)-0.59*Z12+7617)*(10^(-4))/Z11</f>
        <v>0.49784313725490198</v>
      </c>
      <c r="AA13" s="1338">
        <f t="shared" si="5"/>
        <v>0.49784313725490198</v>
      </c>
      <c r="AB13" s="1338">
        <f t="shared" si="5"/>
        <v>0.49784313725490198</v>
      </c>
      <c r="AC13" s="1338">
        <f t="shared" si="5"/>
        <v>0.49784313725490198</v>
      </c>
      <c r="AD13" s="1338">
        <f t="shared" si="5"/>
        <v>0.49784313725490198</v>
      </c>
      <c r="AE13" s="1338">
        <f t="shared" si="5"/>
        <v>0.49784313725490198</v>
      </c>
      <c r="AF13" s="1338">
        <f t="shared" si="5"/>
        <v>0.49784313725490198</v>
      </c>
      <c r="AG13" s="1338">
        <f t="shared" si="5"/>
        <v>0.49784313725490198</v>
      </c>
      <c r="AH13" s="1338">
        <f t="shared" si="5"/>
        <v>0.49784313725490198</v>
      </c>
      <c r="AI13" s="1338">
        <f t="shared" si="5"/>
        <v>0.49784313725490198</v>
      </c>
      <c r="AJ13" s="1338">
        <f t="shared" si="5"/>
        <v>0.49784313725490198</v>
      </c>
    </row>
    <row r="14" spans="1:36" ht="15">
      <c r="A14" s="3546"/>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75" thickBot="1">
      <c r="A15" s="3547"/>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22" t="s">
        <v>2462</v>
      </c>
      <c r="B16" s="2160" t="s">
        <v>2463</v>
      </c>
      <c r="C16" s="2322" t="e">
        <f>ROUND(IF(F17="与级别开发程度一致",0,(G17-E17)/C17),0)</f>
        <v>#DIV/0!</v>
      </c>
      <c r="D16" s="3535" t="s">
        <v>2467</v>
      </c>
      <c r="E16" s="3536"/>
      <c r="F16" s="3535" t="s">
        <v>2464</v>
      </c>
      <c r="G16" s="3536"/>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5" thickBot="1">
      <c r="A17" s="3523"/>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44705</v>
      </c>
      <c r="H19" s="2203"/>
      <c r="I19" s="848" t="str">
        <f>IF(H19="季度增幅（自定义）",SUMIF(N21:N24,E2,O21:O24),"")</f>
        <v/>
      </c>
      <c r="J19" s="2200"/>
      <c r="K19" s="1240"/>
      <c r="L19" s="2204" t="s">
        <v>2473</v>
      </c>
      <c r="M19" s="1449">
        <f>ROUND(SUMIF(地价!B2:F2,E2,地价!B37:F37),0)</f>
        <v>0</v>
      </c>
      <c r="N19" s="2205" t="s">
        <v>2474</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7.75" thickBot="1">
      <c r="A20" s="2207" t="s">
        <v>629</v>
      </c>
      <c r="B20" s="2208" t="s">
        <v>2475</v>
      </c>
      <c r="C20" s="850" t="e">
        <f>ROUND(POWER(1+G20,J20-I20)*(POWER(1+G20,I20)-1)/(POWER(1+G20,J20)-1),4)</f>
        <v>#DIV/0!</v>
      </c>
      <c r="D20" s="2209" t="s">
        <v>2476</v>
      </c>
      <c r="E20" s="1456">
        <f>存贷款利率!E20/100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5">
      <c r="A21" s="2214" t="s">
        <v>630</v>
      </c>
      <c r="B21" s="2215" t="s">
        <v>2482</v>
      </c>
      <c r="C21" s="857">
        <f>IF(B21="容积率修正",IF(G3&lt;=10,D22,J22),C23)</f>
        <v>0</v>
      </c>
      <c r="D21" s="2216"/>
      <c r="E21" s="2216"/>
      <c r="F21" s="2216"/>
      <c r="G21" s="2216"/>
      <c r="H21" s="2216"/>
      <c r="I21" s="2216"/>
      <c r="J21" s="2217"/>
      <c r="K21" s="1240"/>
      <c r="L21" s="2969"/>
      <c r="M21" s="2969"/>
      <c r="N21" s="2218" t="s">
        <v>2483</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25">
      <c r="A22" s="2092" t="s">
        <v>2484</v>
      </c>
      <c r="B22" s="2219" t="s">
        <v>2485</v>
      </c>
      <c r="C22" s="1487" t="s">
        <v>2486</v>
      </c>
      <c r="D22" s="1487">
        <f>IF(E22=G22,F22,IF(G3&lt;=10,ROUND(F22+(H22-F22)*(G3-E22)/(G22-E22),4),"——"))</f>
        <v>0</v>
      </c>
      <c r="E22" s="837">
        <f>ROUNDDOWN(G3,1)</f>
        <v>1.5</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1.6</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9"/>
      <c r="M22" s="2969"/>
      <c r="N22" s="2218" t="s">
        <v>2487</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9"/>
      <c r="M24" s="2969"/>
      <c r="N24" s="2228" t="s">
        <v>2492</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75" thickBot="1">
      <c r="A25" s="2207" t="s">
        <v>632</v>
      </c>
      <c r="B25" s="2229" t="s">
        <v>2493</v>
      </c>
      <c r="C25" s="851"/>
      <c r="D25" s="2163"/>
      <c r="E25" s="2163"/>
      <c r="F25" s="2230"/>
      <c r="G25" s="2163"/>
      <c r="H25" s="2163"/>
      <c r="I25" s="2163"/>
      <c r="J25" s="2164"/>
      <c r="K25" s="1233"/>
      <c r="L25" s="2134"/>
      <c r="M25" s="2134"/>
      <c r="N25" s="2964" t="s">
        <v>2494</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7" t="s">
        <v>2393</v>
      </c>
      <c r="M26" s="2161" t="s">
        <v>2458</v>
      </c>
      <c r="N26" s="2161" t="s">
        <v>2459</v>
      </c>
      <c r="O26" s="2161" t="s">
        <v>2460</v>
      </c>
      <c r="P26" s="2968"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32"/>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37"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33"/>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33"/>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33"/>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33"/>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34"/>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34"/>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24" t="s">
        <v>2550</v>
      </c>
      <c r="B90" s="3524"/>
      <c r="C90" s="3524"/>
      <c r="D90" s="3524"/>
      <c r="E90" s="3524"/>
      <c r="F90" s="3524"/>
      <c r="G90" s="3524"/>
      <c r="H90" s="3524"/>
      <c r="I90" s="3524"/>
      <c r="J90" s="3524"/>
      <c r="K90" s="2294"/>
      <c r="L90" s="2294"/>
      <c r="M90" s="2294"/>
      <c r="N90" s="2294"/>
    </row>
    <row r="91" spans="1:37">
      <c r="A91" s="3526" t="s">
        <v>2551</v>
      </c>
      <c r="B91" s="3526" t="s">
        <v>2552</v>
      </c>
      <c r="C91" s="2248" t="s">
        <v>2553</v>
      </c>
      <c r="D91" s="2249"/>
      <c r="E91" s="2249"/>
      <c r="F91" s="2249"/>
      <c r="G91" s="2249"/>
      <c r="H91" s="2249"/>
      <c r="I91" s="2249"/>
      <c r="J91" s="2295"/>
      <c r="K91" s="2296"/>
      <c r="L91" s="2296"/>
      <c r="M91" s="2296"/>
      <c r="N91" s="2296"/>
    </row>
    <row r="92" spans="1:37">
      <c r="A92" s="3526"/>
      <c r="B92" s="3526"/>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27"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28"/>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28"/>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28"/>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28"/>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28"/>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28"/>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29"/>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27" t="s">
        <v>2555</v>
      </c>
      <c r="B101" s="2301" t="s">
        <v>2556</v>
      </c>
      <c r="C101" s="2302">
        <f>$G$3</f>
        <v>1.53</v>
      </c>
      <c r="D101" s="2302">
        <f t="shared" ref="D101:N101" si="31">$G$3</f>
        <v>1.53</v>
      </c>
      <c r="E101" s="2302">
        <f t="shared" si="31"/>
        <v>1.53</v>
      </c>
      <c r="F101" s="2302">
        <f t="shared" si="31"/>
        <v>1.53</v>
      </c>
      <c r="G101" s="2302">
        <f t="shared" si="31"/>
        <v>1.53</v>
      </c>
      <c r="H101" s="2302">
        <f t="shared" si="31"/>
        <v>1.53</v>
      </c>
      <c r="I101" s="2302">
        <f t="shared" si="31"/>
        <v>1.53</v>
      </c>
      <c r="J101" s="2302">
        <f t="shared" si="31"/>
        <v>1.53</v>
      </c>
      <c r="K101" s="2302">
        <f t="shared" si="31"/>
        <v>1.53</v>
      </c>
      <c r="L101" s="2302">
        <f t="shared" si="31"/>
        <v>1.53</v>
      </c>
      <c r="M101" s="2302">
        <f t="shared" si="31"/>
        <v>1.53</v>
      </c>
      <c r="N101" s="2302">
        <f t="shared" si="31"/>
        <v>1.53</v>
      </c>
    </row>
    <row r="102" spans="1:14">
      <c r="A102" s="3528"/>
      <c r="B102" s="2297">
        <v>1</v>
      </c>
      <c r="C102" s="2298">
        <f>1.9362/C101</f>
        <v>1.2654901960784313</v>
      </c>
      <c r="D102" s="2298">
        <f>1.9362/D101</f>
        <v>1.2654901960784313</v>
      </c>
      <c r="E102" s="2298">
        <f>1.8629/E101</f>
        <v>1.2175816993464053</v>
      </c>
      <c r="F102" s="2298">
        <f>1.8629/F101</f>
        <v>1.2175816993464053</v>
      </c>
      <c r="G102" s="2298">
        <f>1.8629/G101</f>
        <v>1.2175816993464053</v>
      </c>
      <c r="H102" s="2298">
        <f>1.8629/H101</f>
        <v>1.2175816993464053</v>
      </c>
      <c r="I102" s="2298">
        <f>1.8629/I101</f>
        <v>1.2175816993464053</v>
      </c>
      <c r="J102" s="2298">
        <f>1.942/J101</f>
        <v>1.2692810457516339</v>
      </c>
      <c r="K102" s="2298">
        <f>1.942/K101</f>
        <v>1.2692810457516339</v>
      </c>
      <c r="L102" s="2298">
        <f>1.942/L101</f>
        <v>1.2692810457516339</v>
      </c>
      <c r="M102" s="2298">
        <f>1.942/M101</f>
        <v>1.2692810457516339</v>
      </c>
      <c r="N102" s="2298">
        <f>1.942/N101</f>
        <v>1.2692810457516339</v>
      </c>
    </row>
    <row r="103" spans="1:14">
      <c r="A103" s="3528"/>
      <c r="B103" s="2297">
        <v>2</v>
      </c>
      <c r="C103" s="2298">
        <f>1.4198/C101</f>
        <v>0.92797385620915029</v>
      </c>
      <c r="D103" s="2298">
        <f>1.4198/D101</f>
        <v>0.92797385620915029</v>
      </c>
      <c r="E103" s="2298">
        <f>1.3372/E101</f>
        <v>0.87398692810457512</v>
      </c>
      <c r="F103" s="2298">
        <f>1.3372/F101</f>
        <v>0.87398692810457512</v>
      </c>
      <c r="G103" s="2298">
        <f>1.3372/G101</f>
        <v>0.87398692810457512</v>
      </c>
      <c r="H103" s="2298">
        <f>1.3372/H101</f>
        <v>0.87398692810457512</v>
      </c>
      <c r="I103" s="2298">
        <f>1.3372/I101</f>
        <v>0.87398692810457512</v>
      </c>
      <c r="J103" s="2298">
        <f>1.2799/J101</f>
        <v>0.83653594771241835</v>
      </c>
      <c r="K103" s="2298">
        <f>1.2799/K101</f>
        <v>0.83653594771241835</v>
      </c>
      <c r="L103" s="2298">
        <f>1.2799/L101</f>
        <v>0.83653594771241835</v>
      </c>
      <c r="M103" s="2298">
        <f>1.2799/M101</f>
        <v>0.83653594771241835</v>
      </c>
      <c r="N103" s="2298">
        <f>1.2799/N101</f>
        <v>0.83653594771241835</v>
      </c>
    </row>
    <row r="104" spans="1:14">
      <c r="A104" s="3528"/>
      <c r="B104" s="2297">
        <v>3</v>
      </c>
      <c r="C104" s="2298">
        <f>1.1594/C101</f>
        <v>0.75777777777777777</v>
      </c>
      <c r="D104" s="2298">
        <f>1.1594/D101</f>
        <v>0.75777777777777777</v>
      </c>
      <c r="E104" s="2298">
        <f>1.0788/E101</f>
        <v>0.70509803921568626</v>
      </c>
      <c r="F104" s="2298">
        <f>1.0788/F101</f>
        <v>0.70509803921568626</v>
      </c>
      <c r="G104" s="2298">
        <f>1.0788/G101</f>
        <v>0.70509803921568626</v>
      </c>
      <c r="H104" s="2298">
        <f>1.0788/H101</f>
        <v>0.70509803921568626</v>
      </c>
      <c r="I104" s="2298">
        <f>1.0788/I101</f>
        <v>0.70509803921568626</v>
      </c>
      <c r="J104" s="2298">
        <f>1.0072/J101</f>
        <v>0.6583006535947713</v>
      </c>
      <c r="K104" s="2298">
        <f>1.0072/K101</f>
        <v>0.6583006535947713</v>
      </c>
      <c r="L104" s="2298">
        <f>1.0072/L101</f>
        <v>0.6583006535947713</v>
      </c>
      <c r="M104" s="2298">
        <f>1.0072/M101</f>
        <v>0.6583006535947713</v>
      </c>
      <c r="N104" s="2298">
        <f>1.0072/N101</f>
        <v>0.6583006535947713</v>
      </c>
    </row>
    <row r="105" spans="1:14">
      <c r="A105" s="3528"/>
      <c r="B105" s="2297">
        <v>4</v>
      </c>
      <c r="C105" s="2298">
        <f>0.9622/C101</f>
        <v>0.62888888888888894</v>
      </c>
      <c r="D105" s="2298">
        <f>0.9622/D101</f>
        <v>0.62888888888888894</v>
      </c>
      <c r="E105" s="2298">
        <f>0.8656/E101</f>
        <v>0.56575163398692807</v>
      </c>
      <c r="F105" s="2298">
        <f>0.8656/F101</f>
        <v>0.56575163398692807</v>
      </c>
      <c r="G105" s="2298">
        <f>0.8656/G101</f>
        <v>0.56575163398692807</v>
      </c>
      <c r="H105" s="2298">
        <f>0.8656/H101</f>
        <v>0.56575163398692807</v>
      </c>
      <c r="I105" s="2298">
        <f>0.8656/I101</f>
        <v>0.56575163398692807</v>
      </c>
      <c r="J105" s="2298">
        <f>0.7525/J101</f>
        <v>0.4918300653594771</v>
      </c>
      <c r="K105" s="2298">
        <f>0.7525/K101</f>
        <v>0.4918300653594771</v>
      </c>
      <c r="L105" s="2298">
        <f>0.7525/L101</f>
        <v>0.4918300653594771</v>
      </c>
      <c r="M105" s="2298">
        <f>0.7525/M101</f>
        <v>0.4918300653594771</v>
      </c>
      <c r="N105" s="2298">
        <f>0.7525/N101</f>
        <v>0.4918300653594771</v>
      </c>
    </row>
    <row r="106" spans="1:14">
      <c r="A106" s="3528"/>
      <c r="B106" s="2297">
        <v>5</v>
      </c>
      <c r="C106" s="2298">
        <f>0.8417/C101</f>
        <v>0.55013071895424837</v>
      </c>
      <c r="D106" s="2298">
        <f>0.8417/D101</f>
        <v>0.55013071895424837</v>
      </c>
      <c r="E106" s="2298">
        <f>0.7371/E101</f>
        <v>0.48176470588235293</v>
      </c>
      <c r="F106" s="2298">
        <f>0.7371/F101</f>
        <v>0.48176470588235293</v>
      </c>
      <c r="G106" s="2298">
        <f>0.7371/G101</f>
        <v>0.48176470588235293</v>
      </c>
      <c r="H106" s="2298">
        <f>0.7371/H101</f>
        <v>0.48176470588235293</v>
      </c>
      <c r="I106" s="2298">
        <f>0.7371/I101</f>
        <v>0.48176470588235293</v>
      </c>
      <c r="J106" s="2298">
        <f>0.5659/J101</f>
        <v>0.36986928104575162</v>
      </c>
      <c r="K106" s="2298">
        <f>0.5659/K101</f>
        <v>0.36986928104575162</v>
      </c>
      <c r="L106" s="2298">
        <f>0.5659/L101</f>
        <v>0.36986928104575162</v>
      </c>
      <c r="M106" s="2298">
        <f>0.5659/M101</f>
        <v>0.36986928104575162</v>
      </c>
      <c r="N106" s="2298">
        <f>0.5659/N101</f>
        <v>0.36986928104575162</v>
      </c>
    </row>
    <row r="107" spans="1:14">
      <c r="A107" s="3528"/>
      <c r="B107" s="2297">
        <v>6</v>
      </c>
      <c r="C107" s="2298">
        <f>0.7608/C101</f>
        <v>0.49725490196078431</v>
      </c>
      <c r="D107" s="2298">
        <f>0.7608/D101</f>
        <v>0.49725490196078431</v>
      </c>
      <c r="E107" s="2298">
        <f>0.6482/E101</f>
        <v>0.42366013071895425</v>
      </c>
      <c r="F107" s="2298">
        <f>0.6482/F101</f>
        <v>0.42366013071895425</v>
      </c>
      <c r="G107" s="2298">
        <f>0.6482/G101</f>
        <v>0.42366013071895425</v>
      </c>
      <c r="H107" s="2298">
        <f>0.6482/H101</f>
        <v>0.42366013071895425</v>
      </c>
      <c r="I107" s="2298">
        <f>0.6482/I101</f>
        <v>0.42366013071895425</v>
      </c>
      <c r="J107" s="2298">
        <f>0.4525/J101</f>
        <v>0.29575163398692811</v>
      </c>
      <c r="K107" s="2298">
        <f>0.4525/K101</f>
        <v>0.29575163398692811</v>
      </c>
      <c r="L107" s="2298">
        <f>0.4525/L101</f>
        <v>0.29575163398692811</v>
      </c>
      <c r="M107" s="2298">
        <f>0.4525/M101</f>
        <v>0.29575163398692811</v>
      </c>
      <c r="N107" s="2298">
        <f>0.4525/N101</f>
        <v>0.29575163398692811</v>
      </c>
    </row>
    <row r="108" spans="1:14">
      <c r="A108" s="3528"/>
      <c r="B108" s="3530"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29"/>
      <c r="B109" s="3531"/>
      <c r="C109" s="2300">
        <f>(-0.163*(C108^2)-0.59*C108+7617)*(10^(-4))/C101</f>
        <v>0.49784313725490198</v>
      </c>
      <c r="D109" s="2300">
        <f>(-0.163*(D108^2)-0.59*D108+7617)*(10^(-4))/D101</f>
        <v>0.49784313725490198</v>
      </c>
      <c r="E109" s="2300">
        <f>(-0.161*(E108^2)-7.509*E108+6533)*(10^(-4))/E101</f>
        <v>0.42699346405228755</v>
      </c>
      <c r="F109" s="2300">
        <f>(-0.161*(F108^2)-7.509*F108+6533)*(10^(-4))/F101</f>
        <v>0.42699346405228755</v>
      </c>
      <c r="G109" s="2300">
        <f>(-0.161*(G108^2)-7.509*G108+6533)*(10^(-4))/G101</f>
        <v>0.42699346405228755</v>
      </c>
      <c r="H109" s="2300">
        <f>(-0.161*(H108^2)-7.509*H108+6533)*(10^(-4))/H101</f>
        <v>0.42699346405228755</v>
      </c>
      <c r="I109" s="2300">
        <f>(-0.161*(I108^2)-7.509*I108+6533)*(10^(-4))/I101</f>
        <v>0.42699346405228755</v>
      </c>
      <c r="J109" s="2300">
        <f>(-0.214*(J108^2)-21.991*J108+4665)*(10^(-4))/J101</f>
        <v>0.30490196078431375</v>
      </c>
      <c r="K109" s="2300">
        <f>(-0.214*(K108^2)-21.991*K108+4665)*(10^(-4))/K101</f>
        <v>0.30490196078431375</v>
      </c>
      <c r="L109" s="2300">
        <f>(-0.214*(L108^2)-21.991*L108+4665)*(10^(-4))/L101</f>
        <v>0.30490196078431375</v>
      </c>
      <c r="M109" s="2300">
        <f>(-0.214*(M108^2)-21.991*M108+4665)*(10^(-4))/M101</f>
        <v>0.30490196078431375</v>
      </c>
      <c r="N109" s="2300">
        <f>(-0.214*(N108^2)-21.991*N108+4665)*(10^(-4))/N101</f>
        <v>0.30490196078431375</v>
      </c>
    </row>
    <row r="110" spans="1:14">
      <c r="A110" s="3525" t="s">
        <v>2558</v>
      </c>
      <c r="B110" s="3525"/>
      <c r="C110" s="3525"/>
      <c r="D110" s="3525"/>
      <c r="E110" s="3525"/>
      <c r="F110" s="3525"/>
      <c r="G110" s="3525"/>
      <c r="H110" s="3525"/>
      <c r="I110" s="3525"/>
      <c r="J110" s="3525"/>
      <c r="K110" s="2303"/>
      <c r="L110" s="2303"/>
      <c r="M110" s="2303"/>
      <c r="N110" s="2303"/>
    </row>
    <row r="112" spans="1:14" ht="13.5" thickBot="1"/>
    <row r="113" spans="1:13" ht="25.5" thickBot="1">
      <c r="A113" s="824" t="s">
        <v>2559</v>
      </c>
      <c r="B113" s="1178">
        <f>G3</f>
        <v>1.53</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0.91910000000000003</v>
      </c>
      <c r="C115" s="831">
        <f>B115</f>
        <v>0.91910000000000003</v>
      </c>
      <c r="D115" s="831">
        <f>ROUND(0.8331-0.0109*B113,4)</f>
        <v>0.81640000000000001</v>
      </c>
      <c r="E115" s="831">
        <f>D115</f>
        <v>0.81640000000000001</v>
      </c>
      <c r="F115" s="831">
        <f>E115</f>
        <v>0.81640000000000001</v>
      </c>
      <c r="G115" s="831">
        <f>F115</f>
        <v>0.81640000000000001</v>
      </c>
      <c r="H115" s="831">
        <f>G115</f>
        <v>0.81640000000000001</v>
      </c>
      <c r="I115" s="831">
        <f>ROUND(0.689-0.0155*B113,4)</f>
        <v>0.6653</v>
      </c>
      <c r="J115" s="831">
        <f t="shared" ref="J115:M118" si="33">I115</f>
        <v>0.6653</v>
      </c>
      <c r="K115" s="831">
        <f t="shared" si="33"/>
        <v>0.6653</v>
      </c>
      <c r="L115" s="831">
        <f t="shared" si="33"/>
        <v>0.6653</v>
      </c>
      <c r="M115" s="832">
        <f t="shared" si="33"/>
        <v>0.6653</v>
      </c>
    </row>
    <row r="116" spans="1:13">
      <c r="A116" s="830" t="s">
        <v>2459</v>
      </c>
      <c r="B116" s="831">
        <f>ROUND(0.949-0.012*B113,4)</f>
        <v>0.93059999999999998</v>
      </c>
      <c r="C116" s="831">
        <f>B116</f>
        <v>0.93059999999999998</v>
      </c>
      <c r="D116" s="831">
        <f>ROUND(0.8567-0.013*B113,4)</f>
        <v>0.83679999999999999</v>
      </c>
      <c r="E116" s="831">
        <f t="shared" ref="E116:H117" si="34">D116</f>
        <v>0.83679999999999999</v>
      </c>
      <c r="F116" s="831">
        <f t="shared" si="34"/>
        <v>0.83679999999999999</v>
      </c>
      <c r="G116" s="831">
        <f t="shared" si="34"/>
        <v>0.83679999999999999</v>
      </c>
      <c r="H116" s="831">
        <f t="shared" si="34"/>
        <v>0.83679999999999999</v>
      </c>
      <c r="I116" s="831">
        <f>ROUND(0.7694-0.014*B113,4)</f>
        <v>0.748</v>
      </c>
      <c r="J116" s="831">
        <f t="shared" si="33"/>
        <v>0.748</v>
      </c>
      <c r="K116" s="831">
        <f t="shared" si="33"/>
        <v>0.748</v>
      </c>
      <c r="L116" s="831">
        <f t="shared" si="33"/>
        <v>0.748</v>
      </c>
      <c r="M116" s="832">
        <f t="shared" si="33"/>
        <v>0.748</v>
      </c>
    </row>
    <row r="117" spans="1:13">
      <c r="A117" s="830" t="s">
        <v>2460</v>
      </c>
      <c r="B117" s="831">
        <f>ROUND(0.8808-0.006*B113,4)</f>
        <v>0.87160000000000004</v>
      </c>
      <c r="C117" s="831">
        <f>B117</f>
        <v>0.87160000000000004</v>
      </c>
      <c r="D117" s="831">
        <f>ROUND(0.8748-0.008*B113,4)</f>
        <v>0.86260000000000003</v>
      </c>
      <c r="E117" s="831">
        <f t="shared" si="34"/>
        <v>0.86260000000000003</v>
      </c>
      <c r="F117" s="831">
        <f t="shared" si="34"/>
        <v>0.86260000000000003</v>
      </c>
      <c r="G117" s="831">
        <f t="shared" si="34"/>
        <v>0.86260000000000003</v>
      </c>
      <c r="H117" s="831">
        <f t="shared" si="34"/>
        <v>0.86260000000000003</v>
      </c>
      <c r="I117" s="831">
        <f>ROUND(0.7412-0.0095*B113,4)</f>
        <v>0.72670000000000001</v>
      </c>
      <c r="J117" s="831">
        <f t="shared" si="33"/>
        <v>0.72670000000000001</v>
      </c>
      <c r="K117" s="831">
        <f t="shared" si="33"/>
        <v>0.72670000000000001</v>
      </c>
      <c r="L117" s="831">
        <f t="shared" si="33"/>
        <v>0.72670000000000001</v>
      </c>
      <c r="M117" s="832">
        <f t="shared" si="33"/>
        <v>0.72670000000000001</v>
      </c>
    </row>
    <row r="118" spans="1:13" ht="13.5" thickBot="1">
      <c r="A118" s="670" t="s">
        <v>2461</v>
      </c>
      <c r="B118" s="833">
        <f>ROUND(0.7275-0.01*B113,4)</f>
        <v>0.71220000000000006</v>
      </c>
      <c r="C118" s="833">
        <f>B118</f>
        <v>0.71220000000000006</v>
      </c>
      <c r="D118" s="833">
        <f>ROUND(0.7043-0.012*B113,4)</f>
        <v>0.68589999999999995</v>
      </c>
      <c r="E118" s="833">
        <f>D118</f>
        <v>0.68589999999999995</v>
      </c>
      <c r="F118" s="833">
        <f>E118</f>
        <v>0.68589999999999995</v>
      </c>
      <c r="G118" s="833">
        <f>ROUND(0.6299-0.0122*B113,4)</f>
        <v>0.61119999999999997</v>
      </c>
      <c r="H118" s="833">
        <f>G118</f>
        <v>0.61119999999999997</v>
      </c>
      <c r="I118" s="833">
        <f>ROUND(0.5667-0.0136*B113,4)</f>
        <v>0.54590000000000005</v>
      </c>
      <c r="J118" s="833">
        <f t="shared" si="33"/>
        <v>0.54590000000000005</v>
      </c>
      <c r="K118" s="833">
        <f t="shared" si="33"/>
        <v>0.54590000000000005</v>
      </c>
      <c r="L118" s="833">
        <f t="shared" si="33"/>
        <v>0.54590000000000005</v>
      </c>
      <c r="M118" s="834">
        <f t="shared" si="33"/>
        <v>0.54590000000000005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2945</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2946</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2947</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2948</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2949</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2950</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2951</v>
      </c>
      <c r="B19" s="3210" t="s">
        <v>2952</v>
      </c>
      <c r="C19" s="3211" t="s">
        <v>2953</v>
      </c>
      <c r="D19" s="3212"/>
      <c r="E19" s="3206" t="s">
        <v>2954</v>
      </c>
      <c r="F19" s="803"/>
      <c r="G19" s="803"/>
    </row>
    <row r="20" spans="1:13" s="808" customFormat="1" ht="19.5" customHeight="1">
      <c r="A20" s="3555" t="s">
        <v>2955</v>
      </c>
      <c r="B20" s="3548" t="s">
        <v>2956</v>
      </c>
      <c r="C20" s="3213" t="s">
        <v>2957</v>
      </c>
      <c r="D20" s="3214"/>
      <c r="E20" s="3215">
        <v>1</v>
      </c>
      <c r="F20" s="3216" t="s">
        <v>2958</v>
      </c>
      <c r="G20" s="807"/>
      <c r="H20" s="801"/>
      <c r="I20" s="801"/>
    </row>
    <row r="21" spans="1:13" s="808" customFormat="1" ht="19.5" customHeight="1">
      <c r="A21" s="3556"/>
      <c r="B21" s="3549"/>
      <c r="C21" s="805" t="s">
        <v>2959</v>
      </c>
      <c r="D21" s="806"/>
      <c r="E21" s="3217">
        <v>1</v>
      </c>
      <c r="F21" s="3216" t="s">
        <v>2960</v>
      </c>
      <c r="G21" s="807"/>
      <c r="H21" s="801"/>
      <c r="I21" s="801"/>
    </row>
    <row r="22" spans="1:13" s="808" customFormat="1" ht="19.5" customHeight="1">
      <c r="A22" s="3556"/>
      <c r="B22" s="3549"/>
      <c r="C22" s="805" t="s">
        <v>2961</v>
      </c>
      <c r="D22" s="806"/>
      <c r="E22" s="3217">
        <v>0.9</v>
      </c>
      <c r="F22" s="3216" t="s">
        <v>2962</v>
      </c>
      <c r="G22" s="807"/>
      <c r="H22" s="801"/>
      <c r="I22" s="801"/>
    </row>
    <row r="23" spans="1:13" s="808" customFormat="1" ht="19.5" customHeight="1">
      <c r="A23" s="3556"/>
      <c r="B23" s="3549"/>
      <c r="C23" s="805" t="s">
        <v>2963</v>
      </c>
      <c r="D23" s="806"/>
      <c r="E23" s="3217">
        <v>0.9</v>
      </c>
      <c r="F23" s="3216" t="s">
        <v>2964</v>
      </c>
      <c r="G23" s="807"/>
      <c r="H23" s="801"/>
      <c r="I23" s="801"/>
    </row>
    <row r="24" spans="1:13" s="808" customFormat="1" ht="19.5" customHeight="1">
      <c r="A24" s="3556"/>
      <c r="B24" s="3549"/>
      <c r="C24" s="805" t="s">
        <v>2965</v>
      </c>
      <c r="D24" s="806"/>
      <c r="E24" s="3217">
        <v>0.8</v>
      </c>
      <c r="F24" s="3216" t="s">
        <v>2966</v>
      </c>
      <c r="G24" s="807"/>
      <c r="H24" s="801"/>
      <c r="I24" s="801"/>
    </row>
    <row r="25" spans="1:13" s="808" customFormat="1" ht="19.5" customHeight="1" thickBot="1">
      <c r="A25" s="3557"/>
      <c r="B25" s="3550"/>
      <c r="C25" s="3218" t="s">
        <v>2967</v>
      </c>
      <c r="D25" s="3219"/>
      <c r="E25" s="3220">
        <v>0.8</v>
      </c>
      <c r="F25" s="3216" t="s">
        <v>2968</v>
      </c>
      <c r="G25" s="807"/>
      <c r="H25" s="801"/>
      <c r="I25" s="801"/>
    </row>
    <row r="26" spans="1:13" s="808" customFormat="1" ht="19.5" customHeight="1" thickBot="1">
      <c r="A26" s="3221" t="s">
        <v>2969</v>
      </c>
      <c r="B26" s="3222" t="s">
        <v>2956</v>
      </c>
      <c r="C26" s="3223" t="s">
        <v>2970</v>
      </c>
      <c r="D26" s="3224"/>
      <c r="E26" s="3225">
        <v>1</v>
      </c>
      <c r="F26" s="3216" t="s">
        <v>2971</v>
      </c>
      <c r="G26" s="807"/>
      <c r="H26" s="801"/>
      <c r="I26" s="801"/>
    </row>
    <row r="27" spans="1:13" s="808" customFormat="1" ht="19.5" customHeight="1">
      <c r="A27" s="3551" t="s">
        <v>2972</v>
      </c>
      <c r="B27" s="3548" t="s">
        <v>2972</v>
      </c>
      <c r="C27" s="3213" t="s">
        <v>2973</v>
      </c>
      <c r="D27" s="3214"/>
      <c r="E27" s="3215">
        <v>1</v>
      </c>
      <c r="F27" s="3216" t="s">
        <v>2974</v>
      </c>
      <c r="G27" s="807"/>
      <c r="H27" s="801"/>
      <c r="I27" s="801"/>
    </row>
    <row r="28" spans="1:13" s="808" customFormat="1" ht="19.5" customHeight="1">
      <c r="A28" s="3552"/>
      <c r="B28" s="3549"/>
      <c r="C28" s="805" t="s">
        <v>2975</v>
      </c>
      <c r="D28" s="806"/>
      <c r="E28" s="3217">
        <v>1</v>
      </c>
      <c r="F28" s="3216" t="s">
        <v>2976</v>
      </c>
      <c r="G28" s="807"/>
      <c r="H28" s="801"/>
      <c r="I28" s="801"/>
    </row>
    <row r="29" spans="1:13" s="808" customFormat="1" ht="19.5" customHeight="1">
      <c r="A29" s="3552"/>
      <c r="B29" s="3549"/>
      <c r="C29" s="805" t="s">
        <v>2977</v>
      </c>
      <c r="D29" s="806"/>
      <c r="E29" s="3217">
        <v>0.8</v>
      </c>
      <c r="F29" s="3216" t="s">
        <v>2978</v>
      </c>
      <c r="G29" s="807"/>
      <c r="H29" s="801"/>
      <c r="I29" s="801"/>
    </row>
    <row r="30" spans="1:13" s="808" customFormat="1" ht="19.5" customHeight="1">
      <c r="A30" s="3552"/>
      <c r="B30" s="3549"/>
      <c r="C30" s="805" t="s">
        <v>2979</v>
      </c>
      <c r="D30" s="806"/>
      <c r="E30" s="3217">
        <v>0.8</v>
      </c>
      <c r="F30" s="3216" t="s">
        <v>2980</v>
      </c>
      <c r="G30" s="807"/>
      <c r="H30" s="801"/>
      <c r="I30" s="801"/>
    </row>
    <row r="31" spans="1:13" s="808" customFormat="1" ht="19.5" customHeight="1">
      <c r="A31" s="3552"/>
      <c r="B31" s="3549"/>
      <c r="C31" s="805" t="s">
        <v>2981</v>
      </c>
      <c r="D31" s="806"/>
      <c r="E31" s="3217">
        <v>0.8</v>
      </c>
      <c r="F31" s="3216" t="s">
        <v>2982</v>
      </c>
      <c r="G31" s="807"/>
      <c r="H31" s="801"/>
      <c r="I31" s="801"/>
    </row>
    <row r="32" spans="1:13" s="808" customFormat="1" ht="19.5" customHeight="1">
      <c r="A32" s="3552"/>
      <c r="B32" s="3549"/>
      <c r="C32" s="805" t="s">
        <v>2983</v>
      </c>
      <c r="D32" s="806"/>
      <c r="E32" s="3217">
        <v>0.7</v>
      </c>
      <c r="F32" s="3216" t="s">
        <v>2984</v>
      </c>
      <c r="G32" s="807"/>
      <c r="H32" s="801"/>
      <c r="I32" s="801"/>
    </row>
    <row r="33" spans="1:9" s="808" customFormat="1" ht="19.5" customHeight="1">
      <c r="A33" s="3552"/>
      <c r="B33" s="3549"/>
      <c r="C33" s="805" t="s">
        <v>2985</v>
      </c>
      <c r="D33" s="806"/>
      <c r="E33" s="3217">
        <v>0.8</v>
      </c>
      <c r="F33" s="3216" t="s">
        <v>2986</v>
      </c>
      <c r="G33" s="807"/>
      <c r="H33" s="801"/>
      <c r="I33" s="801"/>
    </row>
    <row r="34" spans="1:9" s="808" customFormat="1" ht="19.5" customHeight="1">
      <c r="A34" s="3552"/>
      <c r="B34" s="3549"/>
      <c r="C34" s="805" t="s">
        <v>2987</v>
      </c>
      <c r="D34" s="806"/>
      <c r="E34" s="3217">
        <v>0.6</v>
      </c>
      <c r="F34" s="3216" t="s">
        <v>2988</v>
      </c>
      <c r="G34" s="807"/>
      <c r="H34" s="801"/>
      <c r="I34" s="801"/>
    </row>
    <row r="35" spans="1:9" s="808" customFormat="1" ht="19.5" customHeight="1">
      <c r="A35" s="3552"/>
      <c r="B35" s="3549"/>
      <c r="C35" s="805" t="s">
        <v>2989</v>
      </c>
      <c r="D35" s="806"/>
      <c r="E35" s="3217">
        <v>0.2</v>
      </c>
      <c r="F35" s="3216" t="s">
        <v>2990</v>
      </c>
      <c r="G35" s="807"/>
      <c r="H35" s="801"/>
      <c r="I35" s="801"/>
    </row>
    <row r="36" spans="1:9" s="808" customFormat="1" ht="19.5" customHeight="1">
      <c r="A36" s="3552"/>
      <c r="B36" s="3549"/>
      <c r="C36" s="805" t="s">
        <v>2991</v>
      </c>
      <c r="D36" s="806"/>
      <c r="E36" s="3217">
        <v>0.2</v>
      </c>
      <c r="F36" s="3216" t="s">
        <v>2992</v>
      </c>
      <c r="G36" s="807"/>
      <c r="H36" s="801"/>
      <c r="I36" s="801"/>
    </row>
    <row r="37" spans="1:9" s="808" customFormat="1" ht="19.5" customHeight="1">
      <c r="A37" s="3552"/>
      <c r="B37" s="3554" t="s">
        <v>2993</v>
      </c>
      <c r="C37" s="805" t="s">
        <v>2994</v>
      </c>
      <c r="D37" s="806"/>
      <c r="E37" s="3217">
        <v>0.6</v>
      </c>
      <c r="F37" s="3216" t="s">
        <v>2995</v>
      </c>
      <c r="G37" s="807"/>
      <c r="H37" s="801"/>
      <c r="I37" s="801"/>
    </row>
    <row r="38" spans="1:9" s="808" customFormat="1" ht="19.5" customHeight="1">
      <c r="A38" s="3552"/>
      <c r="B38" s="3549"/>
      <c r="C38" s="805" t="s">
        <v>2996</v>
      </c>
      <c r="D38" s="806"/>
      <c r="E38" s="3217">
        <v>0.6</v>
      </c>
      <c r="F38" s="3216" t="s">
        <v>2997</v>
      </c>
      <c r="G38" s="807"/>
      <c r="H38" s="801"/>
      <c r="I38" s="801"/>
    </row>
    <row r="39" spans="1:9" s="808" customFormat="1" ht="19.5" customHeight="1" thickBot="1">
      <c r="A39" s="3553"/>
      <c r="B39" s="3550"/>
      <c r="C39" s="3218" t="s">
        <v>2998</v>
      </c>
      <c r="D39" s="3219"/>
      <c r="E39" s="3220">
        <v>0.6</v>
      </c>
      <c r="F39" s="3216" t="s">
        <v>2999</v>
      </c>
      <c r="G39" s="807"/>
      <c r="H39" s="801"/>
      <c r="I39" s="801"/>
    </row>
    <row r="40" spans="1:9" s="808" customFormat="1" ht="19.5" customHeight="1" thickBot="1">
      <c r="A40" s="3221" t="s">
        <v>3000</v>
      </c>
      <c r="B40" s="3222" t="s">
        <v>3000</v>
      </c>
      <c r="C40" s="3223" t="s">
        <v>3001</v>
      </c>
      <c r="D40" s="3224"/>
      <c r="E40" s="3225">
        <v>1</v>
      </c>
      <c r="F40" s="3216" t="s">
        <v>3002</v>
      </c>
      <c r="G40" s="807"/>
      <c r="H40" s="801"/>
      <c r="I40" s="801"/>
    </row>
    <row r="41" spans="1:9" s="808" customFormat="1" ht="19.5" customHeight="1">
      <c r="A41" s="3555" t="s">
        <v>3003</v>
      </c>
      <c r="B41" s="3548" t="s">
        <v>3004</v>
      </c>
      <c r="C41" s="3213" t="s">
        <v>3005</v>
      </c>
      <c r="D41" s="3214"/>
      <c r="E41" s="3215">
        <v>1</v>
      </c>
      <c r="F41" s="3216" t="s">
        <v>3006</v>
      </c>
      <c r="G41" s="807"/>
      <c r="H41" s="801"/>
      <c r="I41" s="801"/>
    </row>
    <row r="42" spans="1:9" s="808" customFormat="1" ht="19.5" customHeight="1">
      <c r="A42" s="3556"/>
      <c r="B42" s="3549"/>
      <c r="C42" s="805" t="s">
        <v>3007</v>
      </c>
      <c r="D42" s="806"/>
      <c r="E42" s="3217">
        <v>1</v>
      </c>
      <c r="F42" s="3216" t="s">
        <v>3008</v>
      </c>
      <c r="G42" s="807"/>
      <c r="H42" s="801"/>
      <c r="I42" s="801"/>
    </row>
    <row r="43" spans="1:9" s="808" customFormat="1" ht="19.5" customHeight="1">
      <c r="A43" s="3556"/>
      <c r="B43" s="3558"/>
      <c r="C43" s="805" t="s">
        <v>3009</v>
      </c>
      <c r="D43" s="806"/>
      <c r="E43" s="3217">
        <v>1.5</v>
      </c>
      <c r="F43" s="3216" t="s">
        <v>3010</v>
      </c>
      <c r="G43" s="807"/>
      <c r="H43" s="801"/>
      <c r="I43" s="801"/>
    </row>
    <row r="44" spans="1:9" s="808" customFormat="1" ht="19.5" customHeight="1">
      <c r="A44" s="3556"/>
      <c r="B44" s="3226" t="s">
        <v>2972</v>
      </c>
      <c r="C44" s="805" t="s">
        <v>3011</v>
      </c>
      <c r="D44" s="806"/>
      <c r="E44" s="3217">
        <v>2</v>
      </c>
      <c r="F44" s="3216" t="s">
        <v>3012</v>
      </c>
      <c r="G44" s="807"/>
      <c r="H44" s="801"/>
      <c r="I44" s="801"/>
    </row>
    <row r="45" spans="1:9" s="808" customFormat="1" ht="19.5" customHeight="1">
      <c r="A45" s="3556"/>
      <c r="B45" s="3554" t="s">
        <v>3013</v>
      </c>
      <c r="C45" s="805" t="s">
        <v>3014</v>
      </c>
      <c r="D45" s="806"/>
      <c r="E45" s="3217">
        <v>1</v>
      </c>
      <c r="F45" s="3216" t="s">
        <v>3015</v>
      </c>
      <c r="G45" s="807"/>
      <c r="H45" s="801"/>
      <c r="I45" s="801"/>
    </row>
    <row r="46" spans="1:9" s="808" customFormat="1" ht="19.5" customHeight="1">
      <c r="A46" s="3556"/>
      <c r="B46" s="3549"/>
      <c r="C46" s="805" t="s">
        <v>3016</v>
      </c>
      <c r="D46" s="806"/>
      <c r="E46" s="3217">
        <v>1</v>
      </c>
      <c r="F46" s="3216" t="s">
        <v>3017</v>
      </c>
      <c r="G46" s="807"/>
      <c r="H46" s="801"/>
      <c r="I46" s="801"/>
    </row>
    <row r="47" spans="1:9" s="808" customFormat="1" ht="19.5" customHeight="1">
      <c r="A47" s="3556"/>
      <c r="B47" s="3549"/>
      <c r="C47" s="805" t="s">
        <v>3018</v>
      </c>
      <c r="D47" s="806"/>
      <c r="E47" s="3217">
        <v>1</v>
      </c>
      <c r="F47" s="3216" t="s">
        <v>3019</v>
      </c>
      <c r="G47" s="807"/>
      <c r="H47" s="801"/>
      <c r="I47" s="801"/>
    </row>
    <row r="48" spans="1:9" s="808" customFormat="1" ht="19.5" customHeight="1">
      <c r="A48" s="3556"/>
      <c r="B48" s="3549"/>
      <c r="C48" s="805" t="s">
        <v>3020</v>
      </c>
      <c r="D48" s="806"/>
      <c r="E48" s="3217">
        <v>1</v>
      </c>
      <c r="F48" s="3216" t="s">
        <v>3021</v>
      </c>
      <c r="G48" s="807"/>
      <c r="H48" s="801"/>
      <c r="I48" s="801"/>
    </row>
    <row r="49" spans="1:9" s="808" customFormat="1" ht="19.5" customHeight="1">
      <c r="A49" s="3556"/>
      <c r="B49" s="3549"/>
      <c r="C49" s="805" t="s">
        <v>3022</v>
      </c>
      <c r="D49" s="806"/>
      <c r="E49" s="3217">
        <v>1</v>
      </c>
      <c r="F49" s="3216" t="s">
        <v>3023</v>
      </c>
      <c r="G49" s="807"/>
      <c r="H49" s="801"/>
      <c r="I49" s="801"/>
    </row>
    <row r="50" spans="1:9" s="808" customFormat="1" ht="19.5" customHeight="1">
      <c r="A50" s="3556"/>
      <c r="B50" s="3549"/>
      <c r="C50" s="805" t="s">
        <v>3024</v>
      </c>
      <c r="D50" s="806"/>
      <c r="E50" s="3217">
        <v>1</v>
      </c>
      <c r="F50" s="3216" t="s">
        <v>3025</v>
      </c>
      <c r="G50" s="807"/>
      <c r="H50" s="801"/>
      <c r="I50" s="801"/>
    </row>
    <row r="51" spans="1:9" s="808" customFormat="1" ht="19.5" customHeight="1" thickBot="1">
      <c r="A51" s="3557"/>
      <c r="B51" s="3550"/>
      <c r="C51" s="3218" t="s">
        <v>3026</v>
      </c>
      <c r="D51" s="3219"/>
      <c r="E51" s="3220">
        <v>1</v>
      </c>
      <c r="F51" s="3216"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6">
        <v>1</v>
      </c>
      <c r="B73" s="3554" t="s">
        <v>3029</v>
      </c>
      <c r="C73" s="3206" t="s">
        <v>3030</v>
      </c>
      <c r="D73" s="3206" t="s">
        <v>3031</v>
      </c>
      <c r="E73" s="3227">
        <v>0.2</v>
      </c>
      <c r="F73" s="3226">
        <v>25</v>
      </c>
    </row>
    <row r="74" spans="1:7" s="801" customFormat="1" ht="24">
      <c r="A74" s="3226">
        <v>2</v>
      </c>
      <c r="B74" s="3549"/>
      <c r="C74" s="3206" t="s">
        <v>3032</v>
      </c>
      <c r="D74" s="3206" t="s">
        <v>3033</v>
      </c>
      <c r="E74" s="3227">
        <v>0.2</v>
      </c>
      <c r="F74" s="3226">
        <v>25</v>
      </c>
    </row>
    <row r="75" spans="1:7" s="801" customFormat="1" ht="24">
      <c r="A75" s="3226">
        <v>3</v>
      </c>
      <c r="B75" s="3549"/>
      <c r="C75" s="3206" t="s">
        <v>3034</v>
      </c>
      <c r="D75" s="3206" t="s">
        <v>3035</v>
      </c>
      <c r="E75" s="3227">
        <v>0.2</v>
      </c>
      <c r="F75" s="3226">
        <v>25</v>
      </c>
    </row>
    <row r="76" spans="1:7" s="801" customFormat="1" ht="13.5">
      <c r="A76" s="3226">
        <v>4</v>
      </c>
      <c r="B76" s="3549"/>
      <c r="C76" s="3206" t="s">
        <v>3036</v>
      </c>
      <c r="D76" s="3206" t="s">
        <v>3037</v>
      </c>
      <c r="E76" s="3227">
        <v>0.15</v>
      </c>
      <c r="F76" s="3226">
        <v>20</v>
      </c>
    </row>
    <row r="77" spans="1:7" s="801" customFormat="1" ht="24">
      <c r="A77" s="3226">
        <v>5</v>
      </c>
      <c r="B77" s="3549"/>
      <c r="C77" s="3206" t="s">
        <v>3038</v>
      </c>
      <c r="D77" s="3206" t="s">
        <v>3039</v>
      </c>
      <c r="E77" s="3227">
        <v>0.15</v>
      </c>
      <c r="F77" s="3226">
        <v>20</v>
      </c>
    </row>
    <row r="78" spans="1:7" s="801" customFormat="1" ht="24">
      <c r="A78" s="3226">
        <v>6</v>
      </c>
      <c r="B78" s="3549"/>
      <c r="C78" s="3206" t="s">
        <v>3040</v>
      </c>
      <c r="D78" s="3206" t="s">
        <v>3041</v>
      </c>
      <c r="E78" s="3227">
        <v>0.15</v>
      </c>
      <c r="F78" s="3226">
        <v>20</v>
      </c>
    </row>
    <row r="79" spans="1:7" s="801" customFormat="1" ht="24">
      <c r="A79" s="3226">
        <v>7</v>
      </c>
      <c r="B79" s="3549"/>
      <c r="C79" s="3206" t="s">
        <v>3042</v>
      </c>
      <c r="D79" s="3206" t="s">
        <v>3043</v>
      </c>
      <c r="E79" s="3227">
        <v>0.15</v>
      </c>
      <c r="F79" s="3226">
        <v>20</v>
      </c>
    </row>
    <row r="80" spans="1:7" s="801" customFormat="1" ht="24">
      <c r="A80" s="3226">
        <v>8</v>
      </c>
      <c r="B80" s="3549"/>
      <c r="C80" s="3206" t="s">
        <v>3044</v>
      </c>
      <c r="D80" s="3206" t="s">
        <v>3045</v>
      </c>
      <c r="E80" s="3227">
        <v>0.1</v>
      </c>
      <c r="F80" s="3226">
        <v>15</v>
      </c>
    </row>
    <row r="81" spans="1:6" s="801" customFormat="1" ht="24">
      <c r="A81" s="3226">
        <v>9</v>
      </c>
      <c r="B81" s="3549"/>
      <c r="C81" s="3206" t="s">
        <v>3046</v>
      </c>
      <c r="D81" s="3206" t="s">
        <v>3047</v>
      </c>
      <c r="E81" s="3227">
        <v>0.1</v>
      </c>
      <c r="F81" s="3226">
        <v>15</v>
      </c>
    </row>
    <row r="82" spans="1:6" s="801" customFormat="1" ht="24">
      <c r="A82" s="3226">
        <v>10</v>
      </c>
      <c r="B82" s="3549"/>
      <c r="C82" s="3206" t="s">
        <v>3048</v>
      </c>
      <c r="D82" s="3206" t="s">
        <v>3049</v>
      </c>
      <c r="E82" s="3227">
        <v>0.1</v>
      </c>
      <c r="F82" s="3226">
        <v>15</v>
      </c>
    </row>
    <row r="83" spans="1:6" s="801" customFormat="1" ht="24">
      <c r="A83" s="3226">
        <v>11</v>
      </c>
      <c r="B83" s="3549"/>
      <c r="C83" s="3206" t="s">
        <v>3050</v>
      </c>
      <c r="D83" s="3206" t="s">
        <v>3051</v>
      </c>
      <c r="E83" s="3227">
        <v>0.1</v>
      </c>
      <c r="F83" s="3226">
        <v>15</v>
      </c>
    </row>
    <row r="84" spans="1:6" s="801" customFormat="1" ht="24">
      <c r="A84" s="3226">
        <v>12</v>
      </c>
      <c r="B84" s="3549"/>
      <c r="C84" s="3206" t="s">
        <v>3052</v>
      </c>
      <c r="D84" s="3206" t="s">
        <v>3053</v>
      </c>
      <c r="E84" s="3227">
        <v>0.1</v>
      </c>
      <c r="F84" s="3226">
        <v>15</v>
      </c>
    </row>
    <row r="85" spans="1:6" s="801" customFormat="1" ht="13.5">
      <c r="A85" s="3226">
        <v>13</v>
      </c>
      <c r="B85" s="3549"/>
      <c r="C85" s="3206" t="s">
        <v>3054</v>
      </c>
      <c r="D85" s="3206" t="s">
        <v>3055</v>
      </c>
      <c r="E85" s="3227">
        <v>0.1</v>
      </c>
      <c r="F85" s="3226">
        <v>15</v>
      </c>
    </row>
    <row r="86" spans="1:6" s="801" customFormat="1" ht="13.5">
      <c r="A86" s="3226">
        <v>14</v>
      </c>
      <c r="B86" s="3549"/>
      <c r="C86" s="3206" t="s">
        <v>3056</v>
      </c>
      <c r="D86" s="3206" t="s">
        <v>3057</v>
      </c>
      <c r="E86" s="3227">
        <v>0.1</v>
      </c>
      <c r="F86" s="3226">
        <v>15</v>
      </c>
    </row>
    <row r="87" spans="1:6" s="801" customFormat="1" ht="13.5">
      <c r="A87" s="3226">
        <v>15</v>
      </c>
      <c r="B87" s="3549"/>
      <c r="C87" s="3206" t="s">
        <v>3058</v>
      </c>
      <c r="D87" s="3206" t="s">
        <v>3059</v>
      </c>
      <c r="E87" s="3227">
        <v>0.1</v>
      </c>
      <c r="F87" s="3226">
        <v>15</v>
      </c>
    </row>
    <row r="88" spans="1:6" s="801" customFormat="1" ht="24">
      <c r="A88" s="3226">
        <v>16</v>
      </c>
      <c r="B88" s="3549"/>
      <c r="C88" s="3206" t="s">
        <v>3060</v>
      </c>
      <c r="D88" s="3206" t="s">
        <v>3061</v>
      </c>
      <c r="E88" s="3227">
        <v>0.1</v>
      </c>
      <c r="F88" s="3226">
        <v>15</v>
      </c>
    </row>
    <row r="89" spans="1:6" s="801" customFormat="1" ht="24">
      <c r="A89" s="3226">
        <v>17</v>
      </c>
      <c r="B89" s="3558"/>
      <c r="C89" s="3206" t="s">
        <v>3062</v>
      </c>
      <c r="D89" s="3206" t="s">
        <v>3063</v>
      </c>
      <c r="E89" s="3227">
        <v>0.1</v>
      </c>
      <c r="F89" s="3226">
        <v>15</v>
      </c>
    </row>
    <row r="90" spans="1:6" s="801" customFormat="1" ht="13.5">
      <c r="A90" s="3226">
        <v>18</v>
      </c>
      <c r="B90" s="3554" t="s">
        <v>3064</v>
      </c>
      <c r="C90" s="3206" t="s">
        <v>3065</v>
      </c>
      <c r="D90" s="3206" t="s">
        <v>3066</v>
      </c>
      <c r="E90" s="3227">
        <v>0.2</v>
      </c>
      <c r="F90" s="3226">
        <v>25</v>
      </c>
    </row>
    <row r="91" spans="1:6" s="801" customFormat="1" ht="24">
      <c r="A91" s="3226">
        <v>19</v>
      </c>
      <c r="B91" s="3549"/>
      <c r="C91" s="3206" t="s">
        <v>3067</v>
      </c>
      <c r="D91" s="3206" t="s">
        <v>3068</v>
      </c>
      <c r="E91" s="3227">
        <v>0.2</v>
      </c>
      <c r="F91" s="3226">
        <v>25</v>
      </c>
    </row>
    <row r="92" spans="1:6" s="801" customFormat="1" ht="13.5">
      <c r="A92" s="3226">
        <v>20</v>
      </c>
      <c r="B92" s="3549"/>
      <c r="C92" s="3206" t="s">
        <v>3069</v>
      </c>
      <c r="D92" s="3206" t="s">
        <v>3070</v>
      </c>
      <c r="E92" s="3227">
        <v>0.15</v>
      </c>
      <c r="F92" s="3226">
        <v>20</v>
      </c>
    </row>
    <row r="93" spans="1:6" s="801" customFormat="1" ht="24">
      <c r="A93" s="3226">
        <v>21</v>
      </c>
      <c r="B93" s="3549"/>
      <c r="C93" s="3206" t="s">
        <v>3071</v>
      </c>
      <c r="D93" s="3206" t="s">
        <v>3072</v>
      </c>
      <c r="E93" s="3227">
        <v>0.15</v>
      </c>
      <c r="F93" s="3226">
        <v>20</v>
      </c>
    </row>
    <row r="94" spans="1:6" s="801" customFormat="1" ht="24">
      <c r="A94" s="3226">
        <v>22</v>
      </c>
      <c r="B94" s="3549"/>
      <c r="C94" s="3206" t="s">
        <v>3073</v>
      </c>
      <c r="D94" s="3206" t="s">
        <v>3074</v>
      </c>
      <c r="E94" s="3227">
        <v>0.15</v>
      </c>
      <c r="F94" s="3226">
        <v>20</v>
      </c>
    </row>
    <row r="95" spans="1:6" s="801" customFormat="1" ht="36">
      <c r="A95" s="3226">
        <v>23</v>
      </c>
      <c r="B95" s="3549"/>
      <c r="C95" s="3206" t="s">
        <v>3075</v>
      </c>
      <c r="D95" s="3206" t="s">
        <v>3076</v>
      </c>
      <c r="E95" s="3227">
        <v>0.15</v>
      </c>
      <c r="F95" s="3226">
        <v>20</v>
      </c>
    </row>
    <row r="96" spans="1:6" s="801" customFormat="1" ht="13.5">
      <c r="A96" s="3226">
        <v>24</v>
      </c>
      <c r="B96" s="3549"/>
      <c r="C96" s="3206" t="s">
        <v>3077</v>
      </c>
      <c r="D96" s="3206" t="s">
        <v>3078</v>
      </c>
      <c r="E96" s="3227">
        <v>0.1</v>
      </c>
      <c r="F96" s="3226">
        <v>15</v>
      </c>
    </row>
    <row r="97" spans="1:6" s="801" customFormat="1" ht="24">
      <c r="A97" s="3226">
        <v>25</v>
      </c>
      <c r="B97" s="3549"/>
      <c r="C97" s="3206" t="s">
        <v>3079</v>
      </c>
      <c r="D97" s="3206" t="s">
        <v>3080</v>
      </c>
      <c r="E97" s="3227">
        <v>0.1</v>
      </c>
      <c r="F97" s="3226">
        <v>15</v>
      </c>
    </row>
    <row r="98" spans="1:6" s="801" customFormat="1" ht="24">
      <c r="A98" s="3226">
        <v>26</v>
      </c>
      <c r="B98" s="3549"/>
      <c r="C98" s="3206" t="s">
        <v>3081</v>
      </c>
      <c r="D98" s="3206" t="s">
        <v>3082</v>
      </c>
      <c r="E98" s="3227">
        <v>0.1</v>
      </c>
      <c r="F98" s="3226">
        <v>15</v>
      </c>
    </row>
    <row r="99" spans="1:6" s="801" customFormat="1" ht="24">
      <c r="A99" s="3226">
        <v>27</v>
      </c>
      <c r="B99" s="3549"/>
      <c r="C99" s="3206" t="s">
        <v>3083</v>
      </c>
      <c r="D99" s="3206" t="s">
        <v>3084</v>
      </c>
      <c r="E99" s="3227">
        <v>0.1</v>
      </c>
      <c r="F99" s="3226">
        <v>15</v>
      </c>
    </row>
    <row r="100" spans="1:6" s="801" customFormat="1" ht="24">
      <c r="A100" s="3226">
        <v>28</v>
      </c>
      <c r="B100" s="3549"/>
      <c r="C100" s="3206" t="s">
        <v>3085</v>
      </c>
      <c r="D100" s="3206" t="s">
        <v>3086</v>
      </c>
      <c r="E100" s="3227">
        <v>0.1</v>
      </c>
      <c r="F100" s="3226">
        <v>15</v>
      </c>
    </row>
    <row r="101" spans="1:6" s="801" customFormat="1" ht="24">
      <c r="A101" s="3226">
        <v>29</v>
      </c>
      <c r="B101" s="3549"/>
      <c r="C101" s="3206" t="s">
        <v>3087</v>
      </c>
      <c r="D101" s="3206" t="s">
        <v>3088</v>
      </c>
      <c r="E101" s="3227">
        <v>0.1</v>
      </c>
      <c r="F101" s="3226">
        <v>15</v>
      </c>
    </row>
    <row r="102" spans="1:6" s="801" customFormat="1" ht="24">
      <c r="A102" s="3226">
        <v>30</v>
      </c>
      <c r="B102" s="3549"/>
      <c r="C102" s="3206" t="s">
        <v>3089</v>
      </c>
      <c r="D102" s="3206" t="s">
        <v>3090</v>
      </c>
      <c r="E102" s="3227">
        <v>0.1</v>
      </c>
      <c r="F102" s="3226">
        <v>15</v>
      </c>
    </row>
    <row r="103" spans="1:6" s="801" customFormat="1" ht="24">
      <c r="A103" s="3226">
        <v>31</v>
      </c>
      <c r="B103" s="3549"/>
      <c r="C103" s="3206" t="s">
        <v>3091</v>
      </c>
      <c r="D103" s="3206" t="s">
        <v>3092</v>
      </c>
      <c r="E103" s="3227">
        <v>0.1</v>
      </c>
      <c r="F103" s="3226">
        <v>15</v>
      </c>
    </row>
    <row r="104" spans="1:6" s="801" customFormat="1" ht="24">
      <c r="A104" s="3226">
        <v>32</v>
      </c>
      <c r="B104" s="3549"/>
      <c r="C104" s="3206" t="s">
        <v>3093</v>
      </c>
      <c r="D104" s="3206" t="s">
        <v>3094</v>
      </c>
      <c r="E104" s="3227">
        <v>0.1</v>
      </c>
      <c r="F104" s="3226">
        <v>15</v>
      </c>
    </row>
    <row r="105" spans="1:6" s="801" customFormat="1" ht="24">
      <c r="A105" s="3226">
        <v>33</v>
      </c>
      <c r="B105" s="3549"/>
      <c r="C105" s="3206" t="s">
        <v>3095</v>
      </c>
      <c r="D105" s="3206" t="s">
        <v>3096</v>
      </c>
      <c r="E105" s="3227">
        <v>0.1</v>
      </c>
      <c r="F105" s="3226">
        <v>15</v>
      </c>
    </row>
    <row r="106" spans="1:6" s="801" customFormat="1" ht="24">
      <c r="A106" s="3226">
        <v>34</v>
      </c>
      <c r="B106" s="3558"/>
      <c r="C106" s="3206" t="s">
        <v>3097</v>
      </c>
      <c r="D106" s="3206" t="s">
        <v>3098</v>
      </c>
      <c r="E106" s="3227">
        <v>0.1</v>
      </c>
      <c r="F106" s="3226">
        <v>15</v>
      </c>
    </row>
    <row r="107" spans="1:6" s="801" customFormat="1" ht="24">
      <c r="A107" s="3226">
        <v>35</v>
      </c>
      <c r="B107" s="3554" t="s">
        <v>3099</v>
      </c>
      <c r="C107" s="3226" t="s">
        <v>3100</v>
      </c>
      <c r="D107" s="3206" t="s">
        <v>3101</v>
      </c>
      <c r="E107" s="3227">
        <v>0.15</v>
      </c>
      <c r="F107" s="3226">
        <v>20</v>
      </c>
    </row>
    <row r="108" spans="1:6" s="801" customFormat="1" ht="24">
      <c r="A108" s="3226">
        <v>36</v>
      </c>
      <c r="B108" s="3549"/>
      <c r="C108" s="3226" t="s">
        <v>3102</v>
      </c>
      <c r="D108" s="3206" t="s">
        <v>3103</v>
      </c>
      <c r="E108" s="3227">
        <v>0.15</v>
      </c>
      <c r="F108" s="3226">
        <v>20</v>
      </c>
    </row>
    <row r="109" spans="1:6" s="801" customFormat="1" ht="24">
      <c r="A109" s="3226">
        <v>37</v>
      </c>
      <c r="B109" s="3549"/>
      <c r="C109" s="3226" t="s">
        <v>3104</v>
      </c>
      <c r="D109" s="3206" t="s">
        <v>3105</v>
      </c>
      <c r="E109" s="3227">
        <v>0.15</v>
      </c>
      <c r="F109" s="3226">
        <v>20</v>
      </c>
    </row>
    <row r="110" spans="1:6" s="801" customFormat="1" ht="13.5">
      <c r="A110" s="3226">
        <v>38</v>
      </c>
      <c r="B110" s="3549"/>
      <c r="C110" s="3226" t="s">
        <v>3106</v>
      </c>
      <c r="D110" s="3206" t="s">
        <v>3107</v>
      </c>
      <c r="E110" s="3227">
        <v>0.1</v>
      </c>
      <c r="F110" s="3226">
        <v>15</v>
      </c>
    </row>
    <row r="111" spans="1:6" s="801" customFormat="1" ht="24">
      <c r="A111" s="3226">
        <v>39</v>
      </c>
      <c r="B111" s="3549"/>
      <c r="C111" s="3226" t="s">
        <v>3108</v>
      </c>
      <c r="D111" s="3206" t="s">
        <v>3109</v>
      </c>
      <c r="E111" s="3227">
        <v>0.1</v>
      </c>
      <c r="F111" s="3226">
        <v>15</v>
      </c>
    </row>
    <row r="112" spans="1:6" s="801" customFormat="1" ht="24">
      <c r="A112" s="3226">
        <v>40</v>
      </c>
      <c r="B112" s="3558"/>
      <c r="C112" s="3226" t="s">
        <v>3110</v>
      </c>
      <c r="D112" s="3206" t="s">
        <v>3111</v>
      </c>
      <c r="E112" s="3227">
        <v>0.1</v>
      </c>
      <c r="F112" s="3226">
        <v>15</v>
      </c>
    </row>
    <row r="113" spans="1:6" s="801" customFormat="1" ht="24">
      <c r="A113" s="3226">
        <v>41</v>
      </c>
      <c r="B113" s="3559" t="s">
        <v>3112</v>
      </c>
      <c r="C113" s="3226" t="s">
        <v>3113</v>
      </c>
      <c r="D113" s="3206" t="s">
        <v>3114</v>
      </c>
      <c r="E113" s="3227">
        <v>0.1</v>
      </c>
      <c r="F113" s="3226">
        <v>15</v>
      </c>
    </row>
    <row r="114" spans="1:6" s="801" customFormat="1" ht="13.5">
      <c r="A114" s="3226">
        <v>42</v>
      </c>
      <c r="B114" s="3559"/>
      <c r="C114" s="3226" t="s">
        <v>3115</v>
      </c>
      <c r="D114" s="3206" t="s">
        <v>3116</v>
      </c>
      <c r="E114" s="3227">
        <v>0.1</v>
      </c>
      <c r="F114" s="3226">
        <v>15</v>
      </c>
    </row>
    <row r="115" spans="1:6" s="801" customFormat="1" ht="24">
      <c r="A115" s="3226">
        <v>43</v>
      </c>
      <c r="B115" s="3559"/>
      <c r="C115" s="3226" t="s">
        <v>3117</v>
      </c>
      <c r="D115" s="3206" t="s">
        <v>3118</v>
      </c>
      <c r="E115" s="3227">
        <v>0.1</v>
      </c>
      <c r="F115" s="3226">
        <v>15</v>
      </c>
    </row>
    <row r="116" spans="1:6" s="801" customFormat="1" ht="24">
      <c r="A116" s="3226">
        <v>44</v>
      </c>
      <c r="B116" s="3554" t="s">
        <v>3119</v>
      </c>
      <c r="C116" s="3226" t="s">
        <v>3120</v>
      </c>
      <c r="D116" s="3206" t="s">
        <v>3121</v>
      </c>
      <c r="E116" s="3227">
        <v>0.1</v>
      </c>
      <c r="F116" s="3226">
        <v>15</v>
      </c>
    </row>
    <row r="117" spans="1:6" s="801" customFormat="1" ht="24">
      <c r="A117" s="3226">
        <v>45</v>
      </c>
      <c r="B117" s="3558"/>
      <c r="C117" s="3206" t="s">
        <v>3122</v>
      </c>
      <c r="D117" s="3206" t="s">
        <v>3123</v>
      </c>
      <c r="E117" s="3227">
        <v>0.1</v>
      </c>
      <c r="F117" s="3226">
        <v>15</v>
      </c>
    </row>
    <row r="118" spans="1:6" s="801" customFormat="1" ht="24">
      <c r="A118" s="3226">
        <v>46</v>
      </c>
      <c r="B118" s="3554" t="s">
        <v>3124</v>
      </c>
      <c r="C118" s="3226" t="s">
        <v>3125</v>
      </c>
      <c r="D118" s="3206" t="s">
        <v>3126</v>
      </c>
      <c r="E118" s="3227">
        <v>0.1</v>
      </c>
      <c r="F118" s="3226">
        <v>15</v>
      </c>
    </row>
    <row r="119" spans="1:6" s="801" customFormat="1" ht="24">
      <c r="A119" s="3226">
        <v>47</v>
      </c>
      <c r="B119" s="3558"/>
      <c r="C119" s="3226" t="s">
        <v>3127</v>
      </c>
      <c r="D119" s="3206" t="s">
        <v>3128</v>
      </c>
      <c r="E119" s="3227">
        <v>0.1</v>
      </c>
      <c r="F119" s="3226">
        <v>15</v>
      </c>
    </row>
    <row r="120" spans="1:6" s="801" customFormat="1" ht="24">
      <c r="A120" s="3226">
        <v>48</v>
      </c>
      <c r="B120" s="3554" t="s">
        <v>3129</v>
      </c>
      <c r="C120" s="3226" t="s">
        <v>3130</v>
      </c>
      <c r="D120" s="3206" t="s">
        <v>3131</v>
      </c>
      <c r="E120" s="3227">
        <v>0.1</v>
      </c>
      <c r="F120" s="3226">
        <v>15</v>
      </c>
    </row>
    <row r="121" spans="1:6" s="801" customFormat="1" ht="13.5">
      <c r="A121" s="3226">
        <v>49</v>
      </c>
      <c r="B121" s="3558"/>
      <c r="C121" s="3226" t="s">
        <v>3132</v>
      </c>
      <c r="D121" s="3206" t="s">
        <v>3133</v>
      </c>
      <c r="E121" s="3227">
        <v>0.1</v>
      </c>
      <c r="F121" s="3226">
        <v>15</v>
      </c>
    </row>
    <row r="122" spans="1:6" s="801" customFormat="1" ht="24">
      <c r="A122" s="3226">
        <v>50</v>
      </c>
      <c r="B122" s="3559" t="s">
        <v>3134</v>
      </c>
      <c r="C122" s="3226" t="s">
        <v>3135</v>
      </c>
      <c r="D122" s="3206" t="s">
        <v>3136</v>
      </c>
      <c r="E122" s="3227">
        <v>0.1</v>
      </c>
      <c r="F122" s="3226">
        <v>15</v>
      </c>
    </row>
    <row r="123" spans="1:6" s="801" customFormat="1" ht="24">
      <c r="A123" s="3226">
        <v>51</v>
      </c>
      <c r="B123" s="3559"/>
      <c r="C123" s="3226" t="s">
        <v>3137</v>
      </c>
      <c r="D123" s="3206" t="s">
        <v>3138</v>
      </c>
      <c r="E123" s="3227">
        <v>0.1</v>
      </c>
      <c r="F123" s="3226">
        <v>15</v>
      </c>
    </row>
    <row r="124" spans="1:6" s="801" customFormat="1" ht="24">
      <c r="A124" s="3226">
        <v>52</v>
      </c>
      <c r="B124" s="3559" t="s">
        <v>3139</v>
      </c>
      <c r="C124" s="3226" t="s">
        <v>3140</v>
      </c>
      <c r="D124" s="3206" t="s">
        <v>3141</v>
      </c>
      <c r="E124" s="3227">
        <v>0.1</v>
      </c>
      <c r="F124" s="3226">
        <v>15</v>
      </c>
    </row>
    <row r="125" spans="1:6" s="801" customFormat="1" ht="24">
      <c r="A125" s="3226">
        <v>53</v>
      </c>
      <c r="B125" s="3559"/>
      <c r="C125" s="3226" t="s">
        <v>3142</v>
      </c>
      <c r="D125" s="3206" t="s">
        <v>3143</v>
      </c>
      <c r="E125" s="3227">
        <v>0.1</v>
      </c>
      <c r="F125" s="3226">
        <v>15</v>
      </c>
    </row>
    <row r="126" spans="1:6" ht="24">
      <c r="A126" s="3226">
        <v>54</v>
      </c>
      <c r="B126" s="3226" t="s">
        <v>3144</v>
      </c>
      <c r="C126" s="3226" t="s">
        <v>3145</v>
      </c>
      <c r="D126" s="3206" t="s">
        <v>3146</v>
      </c>
      <c r="E126" s="3227">
        <v>0.1</v>
      </c>
      <c r="F126" s="3226">
        <v>15</v>
      </c>
    </row>
    <row r="127" spans="1:6" ht="13.5">
      <c r="A127" s="3226">
        <v>55</v>
      </c>
      <c r="B127" s="3559" t="s">
        <v>3147</v>
      </c>
      <c r="C127" s="3226" t="s">
        <v>3148</v>
      </c>
      <c r="D127" s="3206" t="s">
        <v>3149</v>
      </c>
      <c r="E127" s="3227">
        <v>0.1</v>
      </c>
      <c r="F127" s="3226">
        <v>15</v>
      </c>
    </row>
    <row r="128" spans="1:6" ht="13.5">
      <c r="A128" s="3226">
        <v>56</v>
      </c>
      <c r="B128" s="3559"/>
      <c r="C128" s="3226" t="s">
        <v>3150</v>
      </c>
      <c r="D128" s="3206" t="s">
        <v>3151</v>
      </c>
      <c r="E128" s="3227">
        <v>0.1</v>
      </c>
      <c r="F128" s="3226">
        <v>15</v>
      </c>
    </row>
    <row r="129" spans="1:6" ht="24">
      <c r="A129" s="3226">
        <v>57</v>
      </c>
      <c r="B129" s="3559"/>
      <c r="C129" s="3226" t="s">
        <v>3152</v>
      </c>
      <c r="D129" s="3206" t="s">
        <v>3153</v>
      </c>
      <c r="E129" s="3227">
        <v>0.1</v>
      </c>
      <c r="F129" s="3226">
        <v>15</v>
      </c>
    </row>
    <row r="130" spans="1:6" ht="24">
      <c r="A130" s="3226">
        <v>58</v>
      </c>
      <c r="B130" s="3559" t="s">
        <v>3154</v>
      </c>
      <c r="C130" s="3226" t="s">
        <v>3155</v>
      </c>
      <c r="D130" s="3206" t="s">
        <v>3156</v>
      </c>
      <c r="E130" s="3227">
        <v>0.1</v>
      </c>
      <c r="F130" s="3226">
        <v>15</v>
      </c>
    </row>
    <row r="131" spans="1:6" ht="24">
      <c r="A131" s="3226">
        <v>59</v>
      </c>
      <c r="B131" s="3559"/>
      <c r="C131" s="3226" t="s">
        <v>3157</v>
      </c>
      <c r="D131" s="3206" t="s">
        <v>3158</v>
      </c>
      <c r="E131" s="3227">
        <v>0.1</v>
      </c>
      <c r="F131" s="3226">
        <v>15</v>
      </c>
    </row>
    <row r="132" spans="1:6" ht="24">
      <c r="A132" s="3226">
        <v>60</v>
      </c>
      <c r="B132" s="3554" t="s">
        <v>3159</v>
      </c>
      <c r="C132" s="3226" t="s">
        <v>3160</v>
      </c>
      <c r="D132" s="3206" t="s">
        <v>3161</v>
      </c>
      <c r="E132" s="3227">
        <v>0.1</v>
      </c>
      <c r="F132" s="3226">
        <v>15</v>
      </c>
    </row>
    <row r="133" spans="1:6" ht="24">
      <c r="A133" s="3226">
        <v>61</v>
      </c>
      <c r="B133" s="3558"/>
      <c r="C133" s="3226" t="s">
        <v>3162</v>
      </c>
      <c r="D133" s="3206" t="s">
        <v>3163</v>
      </c>
      <c r="E133" s="3227">
        <v>0.1</v>
      </c>
      <c r="F133" s="3226">
        <v>15</v>
      </c>
    </row>
    <row r="134" spans="1:6" ht="24">
      <c r="A134" s="3226">
        <v>62</v>
      </c>
      <c r="B134" s="3226" t="s">
        <v>3164</v>
      </c>
      <c r="C134" s="3226" t="s">
        <v>3165</v>
      </c>
      <c r="D134" s="3206" t="s">
        <v>3166</v>
      </c>
      <c r="E134" s="3227">
        <v>0.1</v>
      </c>
      <c r="F134" s="3226">
        <v>15</v>
      </c>
    </row>
    <row r="135" spans="1:6" ht="24">
      <c r="A135" s="3226">
        <v>63</v>
      </c>
      <c r="B135" s="3559" t="s">
        <v>3167</v>
      </c>
      <c r="C135" s="3226" t="s">
        <v>3168</v>
      </c>
      <c r="D135" s="3206" t="s">
        <v>3169</v>
      </c>
      <c r="E135" s="3227">
        <v>0.1</v>
      </c>
      <c r="F135" s="3226">
        <v>15</v>
      </c>
    </row>
    <row r="136" spans="1:6" ht="13.5">
      <c r="A136" s="3226">
        <v>64</v>
      </c>
      <c r="B136" s="3559"/>
      <c r="C136" s="3226" t="s">
        <v>3170</v>
      </c>
      <c r="D136" s="3206" t="s">
        <v>3171</v>
      </c>
      <c r="E136" s="3227">
        <v>0.1</v>
      </c>
      <c r="F136" s="3226">
        <v>15</v>
      </c>
    </row>
    <row r="137" spans="1:6" ht="24">
      <c r="A137" s="3226">
        <v>65</v>
      </c>
      <c r="B137" s="3226" t="s">
        <v>3172</v>
      </c>
      <c r="C137" s="3226" t="s">
        <v>3173</v>
      </c>
      <c r="D137" s="3206" t="s">
        <v>3174</v>
      </c>
      <c r="E137" s="3227">
        <v>0.1</v>
      </c>
      <c r="F137" s="3226">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4"/>
      <c r="G1" s="2974"/>
      <c r="H1" s="2974"/>
      <c r="I1" s="2974"/>
      <c r="J1" s="2974"/>
      <c r="K1" s="2974"/>
      <c r="L1" s="2974"/>
      <c r="M1" s="2974"/>
      <c r="N1" s="2974"/>
      <c r="O1" s="2974"/>
      <c r="P1" s="2974"/>
    </row>
    <row r="2" spans="1:16" ht="15.75">
      <c r="A2" s="2312" t="s">
        <v>2573</v>
      </c>
      <c r="B2" s="2778" t="e">
        <f ca="1">SUMIF(B6:B13,"&lt;&gt;#ref!",B6:B13)</f>
        <v>#DIV/0!</v>
      </c>
      <c r="C2" s="2312" t="s">
        <v>2574</v>
      </c>
      <c r="D2" s="2312" t="s">
        <v>2575</v>
      </c>
      <c r="E2" s="2788">
        <f ca="1">SUMIF(E6:E13,"&lt;&gt;#ref!",E6:E13)</f>
        <v>0</v>
      </c>
      <c r="F2" s="2974"/>
      <c r="G2" s="2974"/>
      <c r="H2" s="2974"/>
      <c r="I2" s="2974"/>
      <c r="J2" s="2974"/>
      <c r="K2" s="2974"/>
      <c r="L2" s="2974"/>
      <c r="M2" s="2974"/>
      <c r="N2" s="2974"/>
      <c r="O2" s="2974"/>
      <c r="P2" s="2974"/>
    </row>
    <row r="3" spans="1:16" ht="15.75">
      <c r="A3" s="2312" t="s">
        <v>2576</v>
      </c>
      <c r="B3" s="2778" t="e">
        <f ca="1">ROUND(B2*10000/E2,0)</f>
        <v>#DIV/0!</v>
      </c>
      <c r="C3" s="2312" t="s">
        <v>2582</v>
      </c>
      <c r="D3" s="2974"/>
      <c r="E3" s="2974"/>
      <c r="F3" s="2974"/>
      <c r="G3" s="2974"/>
      <c r="H3" s="2974"/>
      <c r="I3" s="2974"/>
      <c r="J3" s="2974"/>
      <c r="K3" s="2974"/>
      <c r="L3" s="2974"/>
      <c r="M3" s="2974"/>
      <c r="N3" s="2974"/>
      <c r="O3" s="2974"/>
      <c r="P3" s="2974"/>
    </row>
    <row r="4" spans="1:16" ht="15.75">
      <c r="A4" s="2975"/>
      <c r="B4" s="2974"/>
      <c r="C4" s="2974"/>
      <c r="D4" s="2974"/>
      <c r="E4" s="2974"/>
      <c r="F4" s="2974"/>
      <c r="G4" s="2974"/>
      <c r="H4" s="2974"/>
      <c r="I4" s="2974"/>
      <c r="J4" s="2974"/>
      <c r="K4" s="2974"/>
      <c r="L4" s="2974"/>
      <c r="M4" s="2974"/>
      <c r="N4" s="2974"/>
      <c r="O4" s="2974"/>
      <c r="P4" s="2974"/>
    </row>
    <row r="5" spans="1:16" ht="28.5">
      <c r="A5" s="2784" t="s">
        <v>2577</v>
      </c>
      <c r="B5" s="2786" t="s">
        <v>2578</v>
      </c>
      <c r="C5" s="2313"/>
      <c r="D5" s="2974"/>
      <c r="E5" s="2787" t="s">
        <v>2579</v>
      </c>
      <c r="F5" s="2974"/>
      <c r="G5" s="2974"/>
      <c r="H5" s="2974"/>
      <c r="I5" s="2974"/>
      <c r="J5" s="2974"/>
      <c r="K5" s="2974"/>
      <c r="L5" s="2974"/>
      <c r="M5" s="2974"/>
      <c r="N5" s="2974"/>
      <c r="O5" s="2974"/>
      <c r="P5" s="2974"/>
    </row>
    <row r="6" spans="1:16" ht="15.75">
      <c r="A6" s="2785" t="s">
        <v>2580</v>
      </c>
      <c r="B6" s="2778" t="e">
        <f ca="1">SUMIF(INDIRECT("'"&amp;A6&amp;"'"&amp;"!A:A"),"总价",INDIRECT("'"&amp;A6&amp;"'"&amp;"!B:B"))</f>
        <v>#DIV/0!</v>
      </c>
      <c r="C6" s="2312" t="s">
        <v>2574</v>
      </c>
      <c r="D6" s="2974"/>
      <c r="E6" s="2788">
        <f ca="1">SUMIF(INDIRECT("'"&amp;A6&amp;"'"&amp;"!C:C"),"建筑面积",INDIRECT("'"&amp;A6&amp;"'"&amp;"!D:D"))</f>
        <v>0</v>
      </c>
      <c r="F6" s="2974"/>
      <c r="G6" s="2974"/>
      <c r="H6" s="2974"/>
      <c r="I6" s="2974"/>
      <c r="J6" s="2974"/>
      <c r="K6" s="2974"/>
      <c r="L6" s="2974"/>
      <c r="M6" s="2974"/>
      <c r="N6" s="2974"/>
      <c r="O6" s="2974"/>
      <c r="P6" s="2974"/>
    </row>
    <row r="7" spans="1:16" ht="15.75">
      <c r="A7" s="2785"/>
      <c r="B7" s="2778" t="e">
        <f ca="1">SUMIF(INDIRECT("'"&amp;A7&amp;"'"&amp;"!A:A"),"总价",INDIRECT("'"&amp;A7&amp;"'"&amp;"!B:B"))</f>
        <v>#REF!</v>
      </c>
      <c r="C7" s="2312" t="s">
        <v>2574</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75">
      <c r="A8" s="2785"/>
      <c r="B8" s="2778" t="e">
        <f t="shared" ref="B8:B13" ca="1" si="1">SUMIF(INDIRECT("'"&amp;A8&amp;"'"&amp;"!A:A"),"总价",INDIRECT("'"&amp;A8&amp;"'"&amp;"!B:B"))</f>
        <v>#REF!</v>
      </c>
      <c r="C8" s="2312" t="s">
        <v>2574</v>
      </c>
      <c r="D8" s="2974"/>
      <c r="E8" s="2788" t="e">
        <f t="shared" ca="1" si="0"/>
        <v>#REF!</v>
      </c>
      <c r="F8" s="2974"/>
      <c r="G8" s="2974"/>
      <c r="H8" s="2974"/>
      <c r="I8" s="2974"/>
      <c r="J8" s="2974"/>
      <c r="K8" s="2974"/>
      <c r="L8" s="2974"/>
      <c r="M8" s="2974"/>
      <c r="N8" s="2974"/>
      <c r="O8" s="2974"/>
      <c r="P8" s="2974"/>
    </row>
    <row r="9" spans="1:16" ht="15.75">
      <c r="A9" s="2785"/>
      <c r="B9" s="2778" t="e">
        <f t="shared" ca="1" si="1"/>
        <v>#REF!</v>
      </c>
      <c r="C9" s="2312" t="s">
        <v>2574</v>
      </c>
      <c r="D9" s="2974"/>
      <c r="E9" s="2788" t="e">
        <f t="shared" ca="1" si="0"/>
        <v>#REF!</v>
      </c>
      <c r="F9" s="2974"/>
      <c r="G9" s="2974"/>
      <c r="H9" s="2974"/>
      <c r="I9" s="2974"/>
      <c r="J9" s="2974"/>
      <c r="K9" s="2974"/>
      <c r="L9" s="2974"/>
      <c r="M9" s="2974"/>
      <c r="N9" s="2974"/>
      <c r="O9" s="2974"/>
      <c r="P9" s="2974"/>
    </row>
    <row r="10" spans="1:16" ht="15.75">
      <c r="A10" s="2785"/>
      <c r="B10" s="2778" t="e">
        <f t="shared" ca="1" si="1"/>
        <v>#REF!</v>
      </c>
      <c r="C10" s="2312" t="s">
        <v>2574</v>
      </c>
      <c r="D10" s="2974"/>
      <c r="E10" s="2788" t="e">
        <f t="shared" ca="1" si="0"/>
        <v>#REF!</v>
      </c>
      <c r="F10" s="2974"/>
      <c r="G10" s="2974"/>
      <c r="H10" s="2974"/>
      <c r="I10" s="2974"/>
      <c r="J10" s="2974"/>
      <c r="K10" s="2974"/>
      <c r="L10" s="2974"/>
      <c r="M10" s="2974"/>
      <c r="N10" s="2974"/>
      <c r="O10" s="2974"/>
      <c r="P10" s="2974"/>
    </row>
    <row r="11" spans="1:16" ht="15.75">
      <c r="A11" s="2785"/>
      <c r="B11" s="2778" t="e">
        <f t="shared" ca="1" si="1"/>
        <v>#REF!</v>
      </c>
      <c r="C11" s="2312" t="s">
        <v>2574</v>
      </c>
      <c r="D11" s="2974"/>
      <c r="E11" s="2788" t="e">
        <f t="shared" ca="1" si="0"/>
        <v>#REF!</v>
      </c>
      <c r="F11" s="2974"/>
      <c r="G11" s="2974"/>
      <c r="H11" s="2974"/>
      <c r="I11" s="2974"/>
      <c r="J11" s="2974"/>
      <c r="K11" s="2974"/>
      <c r="L11" s="2974"/>
      <c r="M11" s="2974"/>
      <c r="N11" s="2974"/>
      <c r="O11" s="2974"/>
      <c r="P11" s="2974"/>
    </row>
    <row r="12" spans="1:16" ht="15.75">
      <c r="A12" s="2785"/>
      <c r="B12" s="2778" t="e">
        <f t="shared" ca="1" si="1"/>
        <v>#REF!</v>
      </c>
      <c r="C12" s="2312" t="s">
        <v>2574</v>
      </c>
      <c r="D12" s="2974"/>
      <c r="E12" s="2788" t="e">
        <f t="shared" ca="1" si="0"/>
        <v>#REF!</v>
      </c>
      <c r="F12" s="2974"/>
      <c r="G12" s="2974"/>
      <c r="H12" s="2974"/>
      <c r="I12" s="2974"/>
      <c r="J12" s="2974"/>
      <c r="K12" s="2974"/>
      <c r="L12" s="2974"/>
      <c r="M12" s="2974"/>
      <c r="N12" s="2974"/>
      <c r="O12" s="2974"/>
      <c r="P12" s="2974"/>
    </row>
    <row r="13" spans="1:16" ht="15.75">
      <c r="A13" s="2785"/>
      <c r="B13" s="2778" t="e">
        <f t="shared" ca="1" si="1"/>
        <v>#REF!</v>
      </c>
      <c r="C13" s="2312" t="s">
        <v>2574</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5" t="s">
        <v>877</v>
      </c>
      <c r="C1" s="3565"/>
      <c r="D1" s="3565"/>
      <c r="E1" s="3565"/>
      <c r="F1" s="3565"/>
      <c r="G1" s="3561" t="s">
        <v>878</v>
      </c>
      <c r="H1" s="3561"/>
      <c r="I1" s="3561"/>
      <c r="J1" s="3561"/>
      <c r="K1" s="3561"/>
      <c r="L1" s="3561"/>
      <c r="N1" s="3561" t="s">
        <v>879</v>
      </c>
      <c r="O1" s="3561"/>
      <c r="P1" s="3561"/>
      <c r="Q1" s="3561"/>
      <c r="S1" s="3561" t="s">
        <v>880</v>
      </c>
      <c r="T1" s="3561"/>
      <c r="U1" s="3561"/>
      <c r="V1" s="3561"/>
      <c r="X1" s="3560" t="s">
        <v>881</v>
      </c>
      <c r="Y1" s="3561"/>
      <c r="Z1" s="3561"/>
      <c r="AA1" s="3561"/>
      <c r="AB1" s="3561"/>
      <c r="AD1" s="3560" t="s">
        <v>882</v>
      </c>
      <c r="AE1" s="3561"/>
      <c r="AF1" s="3561"/>
      <c r="AG1" s="3561"/>
      <c r="AH1" s="3561"/>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3">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3"/>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3"/>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70"/>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66">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3"/>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3"/>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70"/>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6">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3"/>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3"/>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4"/>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62">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3"/>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3"/>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4"/>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62">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3"/>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3"/>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4"/>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67">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68"/>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68"/>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69"/>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62">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3"/>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3"/>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4"/>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62">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3">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3">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4">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62">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3">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3">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4">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62">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3">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3">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4">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62">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3">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3">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4">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62">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3">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3">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4">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62">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3">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3">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4">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62">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3">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3">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4">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62">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3">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3">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4">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62">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3">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3">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4">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62">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3">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3">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4">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74" t="s">
        <v>2584</v>
      </c>
      <c r="D1" s="3575"/>
      <c r="E1" s="3575"/>
      <c r="F1" s="3575"/>
      <c r="G1" s="3575"/>
      <c r="H1" s="3575"/>
      <c r="I1" s="3575"/>
      <c r="J1" s="3575"/>
      <c r="K1" s="3575"/>
      <c r="L1" s="3575"/>
      <c r="M1" s="3575"/>
      <c r="N1" s="3575"/>
      <c r="O1" s="3575"/>
      <c r="P1" s="3575"/>
      <c r="Q1" s="3575"/>
      <c r="R1" s="3575"/>
      <c r="S1" s="3576"/>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71" t="s">
        <v>33</v>
      </c>
      <c r="D22" s="3572"/>
      <c r="E22" s="3572"/>
      <c r="F22" s="3572"/>
      <c r="G22" s="3572"/>
      <c r="H22" s="3572"/>
      <c r="I22" s="3572"/>
      <c r="J22" s="3572"/>
      <c r="K22" s="3572"/>
      <c r="L22" s="3572"/>
      <c r="M22" s="3572"/>
      <c r="N22" s="3572"/>
      <c r="O22" s="3572"/>
      <c r="P22" s="3572"/>
      <c r="Q22" s="3573"/>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26915</v>
      </c>
      <c r="C2" s="2" t="s">
        <v>133</v>
      </c>
      <c r="D2" s="205"/>
      <c r="E2" s="205"/>
      <c r="F2" s="205"/>
      <c r="G2" s="205"/>
    </row>
    <row r="3" spans="1:7" s="206" customFormat="1" ht="18" customHeight="1" thickBot="1">
      <c r="A3" s="209" t="s">
        <v>85</v>
      </c>
      <c r="B3" s="210">
        <f ca="1">ROUND(B2*10000/'数据-汇总表'!E3,0)</f>
        <v>101329</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53</v>
      </c>
      <c r="D10" s="935">
        <f>'数据-汇总表'!E6</f>
        <v>2656.2</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53</v>
      </c>
      <c r="D19" s="939">
        <f>'数据-汇总表'!E3</f>
        <v>2656.2</v>
      </c>
      <c r="E19" s="217">
        <f>'数据-取费表'!B31</f>
        <v>200</v>
      </c>
      <c r="F19" s="237"/>
      <c r="G19" s="1" t="s">
        <v>861</v>
      </c>
    </row>
    <row r="20" spans="1:7" s="220" customFormat="1" ht="13.5" customHeight="1">
      <c r="A20" s="866" t="s">
        <v>844</v>
      </c>
      <c r="B20" s="216" t="s">
        <v>104</v>
      </c>
      <c r="C20" s="238">
        <f>ROUND((C5+C19)*F20,0)</f>
        <v>413</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877</v>
      </c>
      <c r="D22" s="241">
        <f ca="1">C26</f>
        <v>4.0000000000000002E-4</v>
      </c>
      <c r="E22" s="242" t="s">
        <v>126</v>
      </c>
      <c r="F22" s="243">
        <f ca="1">'数据-取费表'!B40</f>
        <v>4.2000000000000003E-2</v>
      </c>
      <c r="G22" s="1180" t="str">
        <f>IF('数据-取费表'!B22&lt;=1,"单利计息","复利计息")</f>
        <v>单利计息</v>
      </c>
    </row>
    <row r="23" spans="1:7" s="220" customFormat="1" ht="13.5" customHeight="1">
      <c r="A23" s="869" t="s">
        <v>613</v>
      </c>
      <c r="B23" s="221" t="s">
        <v>848</v>
      </c>
      <c r="C23" s="1218">
        <f ca="1">ROUND(IF('数据-取费表'!B22&lt;=1,C5*F22*'数据-取费表'!B23,C5*(POWER((1+F22),'数据-取费表'!B23)-1)),0)</f>
        <v>866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2</v>
      </c>
      <c r="D24" s="244"/>
      <c r="E24" s="244"/>
      <c r="F24" s="245"/>
      <c r="G24" s="246" t="s">
        <v>109</v>
      </c>
    </row>
    <row r="25" spans="1:7" s="220" customFormat="1" ht="24">
      <c r="A25" s="869" t="s">
        <v>612</v>
      </c>
      <c r="B25" s="221" t="s">
        <v>845</v>
      </c>
      <c r="C25" s="1218">
        <f ca="1">ROUND(IF('数据-取费表'!B22&lt;=1,C20*F22*'数据-取费表'!B23/2,C20*(POWER((1+F22),'数据-取费表'!B23/2)-1)),0)</f>
        <v>9</v>
      </c>
      <c r="D25" s="244"/>
      <c r="E25" s="247"/>
      <c r="F25" s="245"/>
      <c r="G25" s="248" t="s">
        <v>110</v>
      </c>
    </row>
    <row r="26" spans="1:7" s="220" customFormat="1">
      <c r="A26" s="869" t="s">
        <v>614</v>
      </c>
      <c r="B26" s="221" t="s">
        <v>847</v>
      </c>
      <c r="C26" s="244">
        <f ca="1">ROUND(IF('数据-取费表'!B22&lt;=1,F21*F22*'数据-取费表'!B23/2,F21*(POWER((1+F22),'数据-取费表'!B23/2)-1)),4)</f>
        <v>4.0000000000000002E-4</v>
      </c>
      <c r="D26" s="244"/>
      <c r="E26" s="247"/>
      <c r="F26" s="245"/>
      <c r="G26" s="249"/>
    </row>
    <row r="27" spans="1:7" s="220" customFormat="1" ht="24.75">
      <c r="A27" s="866" t="s">
        <v>606</v>
      </c>
      <c r="B27" s="250" t="s">
        <v>112</v>
      </c>
      <c r="C27" s="251">
        <f>C28</f>
        <v>2108</v>
      </c>
      <c r="D27" s="241">
        <f>C29</f>
        <v>2E-3</v>
      </c>
      <c r="E27" s="242" t="s">
        <v>126</v>
      </c>
      <c r="F27" s="252">
        <f>'数据-取费表'!Q16</f>
        <v>0.1</v>
      </c>
      <c r="G27" s="253" t="s">
        <v>856</v>
      </c>
    </row>
    <row r="28" spans="1:7" s="220" customFormat="1" ht="13.5" customHeight="1">
      <c r="A28" s="869" t="s">
        <v>613</v>
      </c>
      <c r="B28" s="254" t="s">
        <v>849</v>
      </c>
      <c r="C28" s="255">
        <f>ROUND((C5+C19+C20)*F27*'数据-取费表'!B21/'数据-取费表'!B20,0)</f>
        <v>2108</v>
      </c>
      <c r="D28" s="241"/>
      <c r="E28" s="242"/>
      <c r="F28" s="252"/>
      <c r="G28" s="253"/>
    </row>
    <row r="29" spans="1:7" s="220" customFormat="1" ht="13.5" customHeight="1">
      <c r="A29" s="869" t="s">
        <v>611</v>
      </c>
      <c r="B29" s="254" t="s">
        <v>850</v>
      </c>
      <c r="C29" s="244">
        <f>ROUND(C21*F27*'数据-取费表'!B21/'数据-取费表'!B20,4)</f>
        <v>2E-3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26006</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886</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797</v>
      </c>
      <c r="D34" s="223"/>
      <c r="E34" s="226"/>
      <c r="F34" s="263">
        <f>IF('数据-取费表'!B24=0,1,'数据-取费表'!N16)</f>
        <v>1</v>
      </c>
      <c r="G34" s="225" t="s">
        <v>116</v>
      </c>
    </row>
    <row r="35" spans="1:7" ht="13.5" customHeight="1">
      <c r="A35" s="869" t="s">
        <v>615</v>
      </c>
      <c r="B35" s="221" t="s">
        <v>60</v>
      </c>
      <c r="C35" s="226">
        <f>ROUND(C34*F35,0)</f>
        <v>24</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69" t="s">
        <v>617</v>
      </c>
      <c r="B37" s="221" t="s">
        <v>118</v>
      </c>
      <c r="C37" s="255">
        <f>ROUND(E37*D37*F34/10000,0)</f>
        <v>53</v>
      </c>
      <c r="D37" s="223">
        <f>'数据-汇总表'!E3</f>
        <v>2656.2</v>
      </c>
      <c r="E37" s="255">
        <f>'数据-取费表'!B35</f>
        <v>200</v>
      </c>
      <c r="F37" s="265"/>
      <c r="G37" s="267" t="s">
        <v>119</v>
      </c>
    </row>
    <row r="38" spans="1:7" ht="13.5" customHeight="1">
      <c r="A38" s="869" t="s">
        <v>618</v>
      </c>
      <c r="B38" s="221" t="s">
        <v>63</v>
      </c>
      <c r="C38" s="226">
        <f>ROUND(C34*F38,0)</f>
        <v>12</v>
      </c>
      <c r="D38" s="226"/>
      <c r="E38" s="226"/>
      <c r="F38" s="265">
        <f>'数据-取费表'!B36</f>
        <v>1.4999999999999999E-2</v>
      </c>
      <c r="G38" s="225" t="s">
        <v>117</v>
      </c>
    </row>
    <row r="39" spans="1:7" s="220" customFormat="1" ht="13.5" customHeight="1">
      <c r="A39" s="866" t="s">
        <v>602</v>
      </c>
      <c r="B39" s="216" t="s">
        <v>104</v>
      </c>
      <c r="C39" s="238">
        <f>ROUND(C33*F20,0)</f>
        <v>18</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19</v>
      </c>
      <c r="D41" s="241">
        <f ca="1">C44</f>
        <v>4.0000000000000002E-4</v>
      </c>
      <c r="E41" s="242" t="s">
        <v>129</v>
      </c>
      <c r="F41" s="243"/>
      <c r="G41" s="1180" t="str">
        <f>IF('数据-取费表'!B22&lt;=1,"单利计息","复利计息")</f>
        <v>单利计息</v>
      </c>
    </row>
    <row r="42" spans="1:7" ht="13.5" customHeight="1">
      <c r="A42" s="869" t="s">
        <v>613</v>
      </c>
      <c r="B42" s="221" t="s">
        <v>848</v>
      </c>
      <c r="C42" s="244">
        <f ca="1">ROUND(IF('数据-取费表'!B22&lt;=1,C33*F22*'数据-取费表'!B21/2,C33*(POWER((1+F22),'数据-取费表'!B21/2)-1)),0)</f>
        <v>19</v>
      </c>
      <c r="D42" s="244"/>
      <c r="E42" s="244"/>
      <c r="F42" s="245"/>
      <c r="G42" s="3423" t="s">
        <v>121</v>
      </c>
    </row>
    <row r="43" spans="1:7" ht="13.5" customHeight="1">
      <c r="A43" s="869" t="s">
        <v>611</v>
      </c>
      <c r="B43" s="221" t="s">
        <v>851</v>
      </c>
      <c r="C43" s="244">
        <f ca="1">ROUND(IF('数据-取费表'!B22&lt;=1,C39*F22*'数据-取费表'!B21/2,C39*(POWER((1+F22),'数据-取费表'!B21/2)-1)),0)</f>
        <v>0</v>
      </c>
      <c r="D43" s="244"/>
      <c r="E43" s="244"/>
      <c r="F43" s="245"/>
      <c r="G43" s="3424"/>
    </row>
    <row r="44" spans="1:7" ht="13.5" customHeight="1">
      <c r="A44" s="869" t="s">
        <v>612</v>
      </c>
      <c r="B44" s="221" t="s">
        <v>853</v>
      </c>
      <c r="C44" s="244">
        <f ca="1">ROUND(IF('数据-取费表'!B22&lt;=1,C40*F22*'数据-取费表'!B21/2,C40*(POWER((1+F22),'数据-取费表'!B21/2)-1)),4)</f>
        <v>4.0000000000000002E-4</v>
      </c>
      <c r="D44" s="244"/>
      <c r="E44" s="244"/>
      <c r="F44" s="245"/>
      <c r="G44" s="3425"/>
    </row>
    <row r="45" spans="1:7" s="220" customFormat="1" ht="13.5" customHeight="1">
      <c r="A45" s="866" t="s">
        <v>605</v>
      </c>
      <c r="B45" s="250" t="s">
        <v>112</v>
      </c>
      <c r="C45" s="251">
        <f>C46</f>
        <v>90</v>
      </c>
      <c r="D45" s="241">
        <f>C47</f>
        <v>2E-3</v>
      </c>
      <c r="E45" s="242" t="s">
        <v>129</v>
      </c>
      <c r="F45" s="252"/>
      <c r="G45" s="253" t="s">
        <v>859</v>
      </c>
    </row>
    <row r="46" spans="1:7" s="220" customFormat="1" ht="13.5" customHeight="1">
      <c r="A46" s="869" t="s">
        <v>613</v>
      </c>
      <c r="B46" s="254" t="s">
        <v>852</v>
      </c>
      <c r="C46" s="255">
        <f>ROUND((C33+C39)*F27,0)</f>
        <v>90</v>
      </c>
      <c r="D46" s="269"/>
      <c r="E46" s="242"/>
      <c r="F46" s="252"/>
      <c r="G46" s="253"/>
    </row>
    <row r="47" spans="1:7" s="220" customFormat="1" ht="13.5" customHeight="1">
      <c r="A47" s="869" t="s">
        <v>611</v>
      </c>
      <c r="B47" s="254" t="s">
        <v>854</v>
      </c>
      <c r="C47" s="244">
        <f>ROUND(C40*F27,4)</f>
        <v>2E-3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1095</v>
      </c>
      <c r="D49" s="238"/>
      <c r="E49" s="238"/>
      <c r="F49" s="270"/>
      <c r="G49" s="240" t="s">
        <v>860</v>
      </c>
    </row>
    <row r="50" spans="1:7" s="264" customFormat="1" ht="24">
      <c r="A50" s="866" t="s">
        <v>608</v>
      </c>
      <c r="B50" s="216" t="s">
        <v>124</v>
      </c>
      <c r="C50" s="238"/>
      <c r="D50" s="238"/>
      <c r="E50" s="238"/>
      <c r="F50" s="270">
        <f>IF('数据-取费表'!B24=0,'数据-取费表'!N16,1)</f>
        <v>0.83</v>
      </c>
      <c r="G50" s="253" t="s">
        <v>125</v>
      </c>
    </row>
    <row r="51" spans="1:7" ht="16.5" customHeight="1">
      <c r="A51" s="866" t="s">
        <v>609</v>
      </c>
      <c r="B51" s="216" t="s">
        <v>132</v>
      </c>
      <c r="C51" s="238">
        <f ca="1">ROUND(C49*F50,0)</f>
        <v>909</v>
      </c>
      <c r="D51" s="238"/>
      <c r="E51" s="238"/>
      <c r="F51" s="270"/>
      <c r="G51" s="240" t="s">
        <v>64</v>
      </c>
    </row>
    <row r="52" spans="1:7" s="214" customFormat="1" ht="16.5" thickBot="1">
      <c r="A52" s="271" t="s">
        <v>65</v>
      </c>
      <c r="B52" s="272"/>
      <c r="C52" s="273">
        <f ca="1">C31+C51</f>
        <v>26915</v>
      </c>
      <c r="D52" s="272"/>
      <c r="E52" s="272"/>
      <c r="F52" s="272"/>
      <c r="G52" s="274"/>
    </row>
    <row r="55" spans="1:7" ht="15">
      <c r="B55" s="276" t="s">
        <v>66</v>
      </c>
      <c r="C55" s="277"/>
    </row>
    <row r="56" spans="1:7">
      <c r="B56" s="279" t="s">
        <v>67</v>
      </c>
      <c r="C56" s="280">
        <f ca="1">ROUND(C51/C52,3)</f>
        <v>3.4000000000000002E-2</v>
      </c>
    </row>
    <row r="57" spans="1:7">
      <c r="B57" s="279" t="s">
        <v>68</v>
      </c>
      <c r="C57" s="281">
        <f ca="1">1-C56</f>
        <v>0.96599999999999997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7" t="s">
        <v>156</v>
      </c>
      <c r="B1" s="3577"/>
      <c r="C1" s="3577"/>
      <c r="D1" s="3577"/>
      <c r="E1" s="3577"/>
      <c r="F1" s="3577"/>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78" t="s">
        <v>169</v>
      </c>
      <c r="B2" s="3578"/>
      <c r="C2" s="3578"/>
      <c r="D2" s="3578"/>
      <c r="E2" s="3578"/>
      <c r="F2" s="3578"/>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9"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80"/>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7" t="s">
        <v>658</v>
      </c>
      <c r="B1" s="3577"/>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44705</v>
      </c>
      <c r="D1" s="1423" t="s">
        <v>1028</v>
      </c>
      <c r="E1" s="1418">
        <f>'数据-取费表'!B22</f>
        <v>1</v>
      </c>
      <c r="F1" s="1423" t="s">
        <v>1029</v>
      </c>
      <c r="G1" s="1419">
        <f ca="1">INDIRECT("d"&amp;$K$1)/100</f>
        <v>3.7000000000000005E-2</v>
      </c>
      <c r="H1" s="1423" t="s">
        <v>1059</v>
      </c>
      <c r="I1" s="1419">
        <f ca="1">F4/100</f>
        <v>1.4999999999999999E-2</v>
      </c>
      <c r="J1" s="1424">
        <f>IF(C1&gt;C13,0,MATCH(C1,C$13:C$107,-1))+IF(SUMIF(C13:C107,C1,D13:D107)=0,13,12)</f>
        <v>13</v>
      </c>
      <c r="K1" s="1424">
        <f ca="1">MATCH(E1,C3:C7,1)+IF(SUMIF(C3:C7,E1,D3:D7)=0,2,1)</f>
        <v>4</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4.5999999999999996</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2">
        <v>44581</v>
      </c>
      <c r="D13" s="3003">
        <v>3.7</v>
      </c>
      <c r="E13" s="3003">
        <f>D13</f>
        <v>3.7</v>
      </c>
      <c r="F13" s="3003">
        <f>D13</f>
        <v>3.7</v>
      </c>
      <c r="G13" s="3003">
        <f>D13</f>
        <v>3.7</v>
      </c>
      <c r="H13" s="3003">
        <v>4.5999999999999996</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8"/>
      <c r="C14" s="2999">
        <v>44550</v>
      </c>
      <c r="D14" s="2998">
        <v>3.8</v>
      </c>
      <c r="E14" s="2998">
        <f>D14</f>
        <v>3.8</v>
      </c>
      <c r="F14" s="2998">
        <f>D14</f>
        <v>3.8</v>
      </c>
      <c r="G14" s="2998">
        <f>D14</f>
        <v>3.8</v>
      </c>
      <c r="H14" s="2998">
        <v>4.6500000000000004</v>
      </c>
      <c r="I14" s="2998"/>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8"/>
      <c r="C15" s="2999">
        <v>43941</v>
      </c>
      <c r="D15" s="2998">
        <v>3.85</v>
      </c>
      <c r="E15" s="2998">
        <v>3.85</v>
      </c>
      <c r="F15" s="2998">
        <v>3.85</v>
      </c>
      <c r="G15" s="2998">
        <v>3.85</v>
      </c>
      <c r="H15" s="2998">
        <v>4.6500000000000004</v>
      </c>
      <c r="I15" s="2998"/>
      <c r="J15" s="2998"/>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8"/>
      <c r="C16" s="2999">
        <v>43881</v>
      </c>
      <c r="D16" s="2998">
        <v>4.05</v>
      </c>
      <c r="E16" s="2998">
        <v>4.05</v>
      </c>
      <c r="F16" s="2998">
        <v>4.05</v>
      </c>
      <c r="G16" s="2998">
        <v>4.05</v>
      </c>
      <c r="H16" s="2998">
        <v>4.75</v>
      </c>
      <c r="I16" s="2998"/>
      <c r="J16" s="2998"/>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8"/>
      <c r="C17" s="2999">
        <v>43789</v>
      </c>
      <c r="D17" s="2998">
        <v>4.1500000000000004</v>
      </c>
      <c r="E17" s="2998">
        <v>4.1500000000000004</v>
      </c>
      <c r="F17" s="2998">
        <v>4.1500000000000004</v>
      </c>
      <c r="G17" s="2998">
        <v>4.1500000000000004</v>
      </c>
      <c r="H17" s="2998">
        <v>4.8</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8"/>
      <c r="C18" s="2999">
        <v>43728</v>
      </c>
      <c r="D18" s="2998">
        <v>4.2</v>
      </c>
      <c r="E18" s="2998">
        <v>4.2</v>
      </c>
      <c r="F18" s="2998">
        <v>4.2</v>
      </c>
      <c r="G18" s="2998">
        <v>4.2</v>
      </c>
      <c r="H18" s="2998">
        <v>4.8499999999999996</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4.25">
      <c r="A19" s="1405"/>
      <c r="B19" s="2997" t="s">
        <v>2815</v>
      </c>
      <c r="C19" s="3000">
        <v>43697</v>
      </c>
      <c r="D19" s="3001">
        <v>4.25</v>
      </c>
      <c r="E19" s="3001">
        <v>4.25</v>
      </c>
      <c r="F19" s="3001">
        <v>4.25</v>
      </c>
      <c r="G19" s="3001">
        <v>4.25</v>
      </c>
      <c r="H19" s="3001">
        <v>4.8499999999999996</v>
      </c>
      <c r="I19" s="3001"/>
      <c r="J19" s="3001"/>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3004"/>
      <c r="B20" s="3005"/>
      <c r="C20" s="3006">
        <v>42301</v>
      </c>
      <c r="D20" s="3007">
        <v>4.3499999999999996</v>
      </c>
      <c r="E20" s="3007">
        <v>4.3499999999999996</v>
      </c>
      <c r="F20" s="3007">
        <v>4.75</v>
      </c>
      <c r="G20" s="3007">
        <v>4.75</v>
      </c>
      <c r="H20" s="3007">
        <v>4.9000000000000004</v>
      </c>
      <c r="I20" s="3007"/>
      <c r="J20" s="3007"/>
      <c r="K20" s="1399"/>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c r="B21" s="1411"/>
      <c r="C21" s="1412">
        <v>42242</v>
      </c>
      <c r="D21" s="1411">
        <v>4.5999999999999996</v>
      </c>
      <c r="E21" s="1411">
        <v>4.5999999999999996</v>
      </c>
      <c r="F21" s="1411">
        <v>5</v>
      </c>
      <c r="G21" s="1411">
        <v>5</v>
      </c>
      <c r="H21" s="1411">
        <v>5.15</v>
      </c>
      <c r="I21" s="1411">
        <v>2.75</v>
      </c>
      <c r="J21" s="1411">
        <v>3.25</v>
      </c>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42183</v>
      </c>
      <c r="D22" s="1411">
        <v>4.8499999999999996</v>
      </c>
      <c r="E22" s="1411">
        <v>4.8499999999999996</v>
      </c>
      <c r="F22" s="1411">
        <v>5.25</v>
      </c>
      <c r="G22" s="1411">
        <v>5.25</v>
      </c>
      <c r="H22" s="1411">
        <v>5.4</v>
      </c>
      <c r="I22" s="1411">
        <v>3</v>
      </c>
      <c r="J22" s="1411">
        <v>3.5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42135</v>
      </c>
      <c r="D23" s="1411">
        <v>5.0999999999999996</v>
      </c>
      <c r="E23" s="1411">
        <v>5.0999999999999996</v>
      </c>
      <c r="F23" s="1411">
        <v>5.5</v>
      </c>
      <c r="G23" s="1411">
        <v>5.5</v>
      </c>
      <c r="H23" s="1411">
        <v>5.65</v>
      </c>
      <c r="I23" s="1411">
        <v>3.25</v>
      </c>
      <c r="J23" s="1411">
        <v>3.75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42064</v>
      </c>
      <c r="D24" s="1411">
        <v>5.35</v>
      </c>
      <c r="E24" s="1411">
        <v>5.35</v>
      </c>
      <c r="F24" s="1411">
        <v>5.75</v>
      </c>
      <c r="G24" s="1411">
        <v>5.75</v>
      </c>
      <c r="H24" s="1411">
        <v>5.9</v>
      </c>
      <c r="I24" s="1411"/>
      <c r="J24" s="1411"/>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41965</v>
      </c>
      <c r="D25" s="1411">
        <v>5.6</v>
      </c>
      <c r="E25" s="1411">
        <v>5.6</v>
      </c>
      <c r="F25" s="1411">
        <v>6</v>
      </c>
      <c r="G25" s="1411">
        <v>6</v>
      </c>
      <c r="H25" s="1411">
        <v>6.15</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41096</v>
      </c>
      <c r="D26" s="1411">
        <v>5.6</v>
      </c>
      <c r="E26" s="1411">
        <v>6</v>
      </c>
      <c r="F26" s="1411">
        <v>6.15</v>
      </c>
      <c r="G26" s="1411">
        <v>6.4</v>
      </c>
      <c r="H26" s="1411">
        <v>6.55</v>
      </c>
      <c r="I26" s="1411">
        <v>4</v>
      </c>
      <c r="J26" s="1411">
        <v>4.5</v>
      </c>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41068</v>
      </c>
      <c r="D27" s="1411">
        <v>5.85</v>
      </c>
      <c r="E27" s="1411">
        <v>6.31</v>
      </c>
      <c r="F27" s="1411">
        <v>6.4</v>
      </c>
      <c r="G27" s="1411">
        <v>6.65</v>
      </c>
      <c r="H27" s="1411">
        <v>6.8</v>
      </c>
      <c r="I27" s="1411">
        <v>4.2</v>
      </c>
      <c r="J27" s="1411">
        <v>4.7</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40731</v>
      </c>
      <c r="D28" s="1411">
        <v>6.1</v>
      </c>
      <c r="E28" s="1411">
        <v>6.56</v>
      </c>
      <c r="F28" s="1411">
        <v>6.65</v>
      </c>
      <c r="G28" s="1411">
        <v>6.9</v>
      </c>
      <c r="H28" s="1411">
        <v>7.05</v>
      </c>
      <c r="I28" s="1411">
        <v>4.45</v>
      </c>
      <c r="J28" s="1411">
        <v>4.9000000000000004</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40639</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40583</v>
      </c>
      <c r="D30" s="1411">
        <v>5.6</v>
      </c>
      <c r="E30" s="1411">
        <v>6.06</v>
      </c>
      <c r="F30" s="1411">
        <v>6.1</v>
      </c>
      <c r="G30" s="1411">
        <v>6.45</v>
      </c>
      <c r="H30" s="1411">
        <v>6.6</v>
      </c>
      <c r="I30" s="1411">
        <v>4</v>
      </c>
      <c r="J30" s="1411">
        <v>4.5</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40538</v>
      </c>
      <c r="D31" s="1411">
        <v>5.35</v>
      </c>
      <c r="E31" s="1411">
        <v>5.81</v>
      </c>
      <c r="F31" s="1411">
        <v>5.85</v>
      </c>
      <c r="G31" s="1411">
        <v>6.22</v>
      </c>
      <c r="H31" s="1411">
        <v>6.4</v>
      </c>
      <c r="I31" s="1411">
        <v>3.75</v>
      </c>
      <c r="J31" s="1411">
        <v>4.3</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40471</v>
      </c>
      <c r="D32" s="1411">
        <v>5.0999999999999996</v>
      </c>
      <c r="E32" s="1411">
        <v>5.56</v>
      </c>
      <c r="F32" s="1411">
        <v>5.6</v>
      </c>
      <c r="G32" s="1411">
        <v>5.96</v>
      </c>
      <c r="H32" s="1411">
        <v>6.14</v>
      </c>
      <c r="I32" s="1411">
        <v>3.5</v>
      </c>
      <c r="J32" s="1411">
        <v>4.05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39805</v>
      </c>
      <c r="D33" s="1411">
        <v>4.8600000000000003</v>
      </c>
      <c r="E33" s="1411">
        <v>5.31</v>
      </c>
      <c r="F33" s="1411">
        <v>5.4</v>
      </c>
      <c r="G33" s="1411">
        <v>5.76</v>
      </c>
      <c r="H33" s="1411">
        <v>5.94</v>
      </c>
      <c r="I33" s="1411">
        <v>3.33</v>
      </c>
      <c r="J33" s="1411">
        <v>3.87</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39779</v>
      </c>
      <c r="D34" s="1411">
        <v>5.04</v>
      </c>
      <c r="E34" s="1411">
        <v>5.58</v>
      </c>
      <c r="F34" s="1411">
        <v>5.67</v>
      </c>
      <c r="G34" s="1411">
        <v>5.94</v>
      </c>
      <c r="H34" s="1411">
        <v>6.12</v>
      </c>
      <c r="I34" s="1411">
        <v>3.51</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39751</v>
      </c>
      <c r="D35" s="1411">
        <v>6.03</v>
      </c>
      <c r="E35" s="1411">
        <v>6.66</v>
      </c>
      <c r="F35" s="1411">
        <v>6.75</v>
      </c>
      <c r="G35" s="1411">
        <v>7.02</v>
      </c>
      <c r="H35" s="1411">
        <v>7.2</v>
      </c>
      <c r="I35" s="1411">
        <v>4.05</v>
      </c>
      <c r="J35" s="1411">
        <v>4.59</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3">
        <v>39748</v>
      </c>
      <c r="D36" s="1411">
        <v>6.12</v>
      </c>
      <c r="E36" s="1411">
        <v>6.93</v>
      </c>
      <c r="F36" s="1411">
        <v>7.02</v>
      </c>
      <c r="G36" s="1411">
        <v>7.29</v>
      </c>
      <c r="H36" s="1411">
        <v>7.47</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39730</v>
      </c>
      <c r="D37" s="1411">
        <v>6.12</v>
      </c>
      <c r="E37" s="1411">
        <v>6.93</v>
      </c>
      <c r="F37" s="1411">
        <v>7.02</v>
      </c>
      <c r="G37" s="1411">
        <v>7.29</v>
      </c>
      <c r="H37" s="1411">
        <v>7.47</v>
      </c>
      <c r="I37" s="1411">
        <v>4.32</v>
      </c>
      <c r="J37" s="1411">
        <v>4.8600000000000003</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39707</v>
      </c>
      <c r="D38" s="1411">
        <v>6.21</v>
      </c>
      <c r="E38" s="1411">
        <v>7.2</v>
      </c>
      <c r="F38" s="1411">
        <v>7.29</v>
      </c>
      <c r="G38" s="1411">
        <v>7.56</v>
      </c>
      <c r="H38" s="1411">
        <v>7.74</v>
      </c>
      <c r="I38" s="1411">
        <v>4.59</v>
      </c>
      <c r="J38" s="1411">
        <v>5.13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39437</v>
      </c>
      <c r="D39" s="1411">
        <v>6.57</v>
      </c>
      <c r="E39" s="1411">
        <v>7.47</v>
      </c>
      <c r="F39" s="1411">
        <v>7.56</v>
      </c>
      <c r="G39" s="1411">
        <v>7.74</v>
      </c>
      <c r="H39" s="1411">
        <v>7.83</v>
      </c>
      <c r="I39" s="1411">
        <v>4.7699999999999996</v>
      </c>
      <c r="J39" s="1411">
        <v>5.22</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39340</v>
      </c>
      <c r="D40" s="1411">
        <v>6.48</v>
      </c>
      <c r="E40" s="1411">
        <v>7.29</v>
      </c>
      <c r="F40" s="1411">
        <v>7.47</v>
      </c>
      <c r="G40" s="1411">
        <v>7.65</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39316</v>
      </c>
      <c r="D41" s="1411">
        <v>6.21</v>
      </c>
      <c r="E41" s="1411">
        <v>7.02</v>
      </c>
      <c r="F41" s="1411">
        <v>7.2</v>
      </c>
      <c r="G41" s="1411">
        <v>7.38</v>
      </c>
      <c r="H41" s="1411">
        <v>7.56</v>
      </c>
      <c r="I41" s="1411">
        <v>4.59</v>
      </c>
      <c r="J41" s="1411">
        <v>5.04</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39284</v>
      </c>
      <c r="D42" s="1411">
        <v>6.03</v>
      </c>
      <c r="E42" s="1411">
        <v>6.84</v>
      </c>
      <c r="F42" s="1411">
        <v>7.02</v>
      </c>
      <c r="G42" s="1411">
        <v>7.2</v>
      </c>
      <c r="H42" s="1411">
        <v>7.38</v>
      </c>
      <c r="I42" s="1411">
        <v>4.5</v>
      </c>
      <c r="J42" s="1411">
        <v>4.95</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39221</v>
      </c>
      <c r="D43" s="1411">
        <v>5.85</v>
      </c>
      <c r="E43" s="1411">
        <v>6.57</v>
      </c>
      <c r="F43" s="1411">
        <v>6.75</v>
      </c>
      <c r="G43" s="1411">
        <v>6.93</v>
      </c>
      <c r="H43" s="1411">
        <v>7.2</v>
      </c>
      <c r="I43" s="1411">
        <v>4.41</v>
      </c>
      <c r="J43" s="1411">
        <v>4.8600000000000003</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39159</v>
      </c>
      <c r="D44" s="1411">
        <v>5.67</v>
      </c>
      <c r="E44" s="1411">
        <v>6.39</v>
      </c>
      <c r="F44" s="1411">
        <v>6.57</v>
      </c>
      <c r="G44" s="1411">
        <v>6.75</v>
      </c>
      <c r="H44" s="1411">
        <v>7.11</v>
      </c>
      <c r="I44" s="1411">
        <v>4.32</v>
      </c>
      <c r="J44" s="1411">
        <v>4.7699999999999996</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38948</v>
      </c>
      <c r="D45" s="1411">
        <v>5.58</v>
      </c>
      <c r="E45" s="1411">
        <v>6.12</v>
      </c>
      <c r="F45" s="1411">
        <v>6.3</v>
      </c>
      <c r="G45" s="1411">
        <v>6.48</v>
      </c>
      <c r="H45" s="1411">
        <v>6.84</v>
      </c>
      <c r="I45" s="1411">
        <v>4.1399999999999997</v>
      </c>
      <c r="J45" s="1411">
        <v>4.59</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38835</v>
      </c>
      <c r="D46" s="1411">
        <v>5.4</v>
      </c>
      <c r="E46" s="1411">
        <v>5.85</v>
      </c>
      <c r="F46" s="1411">
        <v>6.03</v>
      </c>
      <c r="G46" s="1411">
        <v>6.12</v>
      </c>
      <c r="H46" s="1411">
        <v>6.39</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38428</v>
      </c>
      <c r="D47" s="1411">
        <v>5.22</v>
      </c>
      <c r="E47" s="1411">
        <v>5.58</v>
      </c>
      <c r="F47" s="1411">
        <v>5.76</v>
      </c>
      <c r="G47" s="1411">
        <v>5.85</v>
      </c>
      <c r="H47" s="1411">
        <v>6.12</v>
      </c>
      <c r="I47" s="1411">
        <v>3.96</v>
      </c>
      <c r="J47" s="1411">
        <v>4.41</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38289</v>
      </c>
      <c r="D48" s="1411">
        <v>5.22</v>
      </c>
      <c r="E48" s="1411">
        <v>5.58</v>
      </c>
      <c r="F48" s="1411">
        <v>5.76</v>
      </c>
      <c r="G48" s="1411">
        <v>5.85</v>
      </c>
      <c r="H48" s="1411">
        <v>6.12</v>
      </c>
      <c r="I48" s="1411">
        <v>3.78</v>
      </c>
      <c r="J48" s="1411">
        <v>4.2300000000000004</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37308</v>
      </c>
      <c r="D49" s="1411">
        <v>5.04</v>
      </c>
      <c r="E49" s="1411">
        <v>5.31</v>
      </c>
      <c r="F49" s="1411">
        <v>5.49</v>
      </c>
      <c r="G49" s="1411">
        <v>5.58</v>
      </c>
      <c r="H49" s="1411">
        <v>5.76</v>
      </c>
      <c r="I49" s="1411">
        <v>3.6</v>
      </c>
      <c r="J49" s="1411">
        <v>4.05</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36321</v>
      </c>
      <c r="D50" s="1411">
        <v>5.58</v>
      </c>
      <c r="E50" s="1411">
        <v>5.85</v>
      </c>
      <c r="F50" s="1411">
        <v>5.94</v>
      </c>
      <c r="G50" s="1411">
        <v>6.03</v>
      </c>
      <c r="H50" s="1411">
        <v>6.21</v>
      </c>
      <c r="I50" s="1411">
        <v>4.1399999999999997</v>
      </c>
      <c r="J50" s="1411">
        <v>4.59</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36136</v>
      </c>
      <c r="D51" s="1411">
        <v>6.12</v>
      </c>
      <c r="E51" s="1411">
        <v>6.39</v>
      </c>
      <c r="F51" s="1411">
        <v>6.66</v>
      </c>
      <c r="G51" s="1411">
        <v>7.2</v>
      </c>
      <c r="H51" s="1411">
        <v>7.56</v>
      </c>
      <c r="I51" s="1411">
        <v>0</v>
      </c>
      <c r="J51" s="1411">
        <v>0</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35977</v>
      </c>
      <c r="D52" s="1411">
        <v>6.57</v>
      </c>
      <c r="E52" s="1411">
        <v>6.93</v>
      </c>
      <c r="F52" s="1411">
        <v>7.11</v>
      </c>
      <c r="G52" s="1411">
        <v>7.65</v>
      </c>
      <c r="H52" s="1411">
        <v>8.01</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35879</v>
      </c>
      <c r="D53" s="1411">
        <v>7.02</v>
      </c>
      <c r="E53" s="1411">
        <v>7.92</v>
      </c>
      <c r="F53" s="1411">
        <v>9</v>
      </c>
      <c r="G53" s="1411">
        <v>9.7200000000000006</v>
      </c>
      <c r="H53" s="1411">
        <v>10.35</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35726</v>
      </c>
      <c r="D54" s="1411">
        <v>7.65</v>
      </c>
      <c r="E54" s="1411">
        <v>8.64</v>
      </c>
      <c r="F54" s="1411">
        <v>9.36</v>
      </c>
      <c r="G54" s="1411">
        <v>9.9</v>
      </c>
      <c r="H54" s="1411">
        <v>10.53</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35300</v>
      </c>
      <c r="D55" s="1411">
        <v>9.18</v>
      </c>
      <c r="E55" s="1411">
        <v>10.08</v>
      </c>
      <c r="F55" s="1411">
        <v>10.98</v>
      </c>
      <c r="G55" s="1411">
        <v>11.7</v>
      </c>
      <c r="H55" s="1411">
        <v>12.42</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35186</v>
      </c>
      <c r="D56" s="1411">
        <v>9.7200000000000006</v>
      </c>
      <c r="E56" s="1411">
        <v>10.98</v>
      </c>
      <c r="F56" s="1411">
        <v>13.14</v>
      </c>
      <c r="G56" s="1411">
        <v>14.94</v>
      </c>
      <c r="H56" s="1411">
        <v>15.12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34881</v>
      </c>
      <c r="D57" s="1411">
        <v>10.08</v>
      </c>
      <c r="E57" s="1411">
        <v>12.06</v>
      </c>
      <c r="F57" s="1411">
        <v>13.5</v>
      </c>
      <c r="G57" s="1411">
        <v>15.12</v>
      </c>
      <c r="H57" s="1411">
        <v>15.3</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34700</v>
      </c>
      <c r="D58" s="1411">
        <v>9</v>
      </c>
      <c r="E58" s="1411">
        <v>10.98</v>
      </c>
      <c r="F58" s="1411">
        <v>12.96</v>
      </c>
      <c r="G58" s="1411">
        <v>14.58</v>
      </c>
      <c r="H58" s="1411">
        <v>14.76</v>
      </c>
      <c r="I58" s="1411">
        <v>0</v>
      </c>
      <c r="J58" s="1411">
        <v>0</v>
      </c>
    </row>
    <row r="59" spans="2:26">
      <c r="B59" s="1411"/>
      <c r="C59" s="1412">
        <v>34161</v>
      </c>
      <c r="D59" s="1411">
        <v>9</v>
      </c>
      <c r="E59" s="1411">
        <v>10.98</v>
      </c>
      <c r="F59" s="1411">
        <v>12.24</v>
      </c>
      <c r="G59" s="1411">
        <v>13.86</v>
      </c>
      <c r="H59" s="1411">
        <v>14.04</v>
      </c>
      <c r="I59" s="1411">
        <v>0</v>
      </c>
      <c r="J59" s="1411">
        <v>0</v>
      </c>
    </row>
    <row r="60" spans="2:26">
      <c r="B60" s="1411"/>
      <c r="C60" s="1412">
        <v>34104</v>
      </c>
      <c r="D60" s="1411">
        <v>8.82</v>
      </c>
      <c r="E60" s="1411">
        <v>9.36</v>
      </c>
      <c r="F60" s="1411">
        <v>10.8</v>
      </c>
      <c r="G60" s="1411">
        <v>12.06</v>
      </c>
      <c r="H60" s="1411">
        <v>12.24</v>
      </c>
      <c r="I60" s="1411">
        <v>0</v>
      </c>
      <c r="J60" s="1411">
        <v>0</v>
      </c>
    </row>
    <row r="61" spans="2:26">
      <c r="B61" s="1411"/>
      <c r="C61" s="1412">
        <v>33349</v>
      </c>
      <c r="D61" s="1411">
        <v>8.1</v>
      </c>
      <c r="E61" s="1411">
        <v>8.64</v>
      </c>
      <c r="F61" s="1411">
        <v>9</v>
      </c>
      <c r="G61" s="1411">
        <v>9.5399999999999991</v>
      </c>
      <c r="H61" s="1411">
        <v>9.7200000000000006</v>
      </c>
      <c r="I61" s="1411">
        <v>0</v>
      </c>
      <c r="J61" s="1411">
        <v>0</v>
      </c>
    </row>
    <row r="62" spans="2:26">
      <c r="B62" s="1411"/>
      <c r="C62" s="1412">
        <v>33318</v>
      </c>
      <c r="D62" s="1411">
        <v>9</v>
      </c>
      <c r="E62" s="1411">
        <v>10.08</v>
      </c>
      <c r="F62" s="1411">
        <v>10.8</v>
      </c>
      <c r="G62" s="1411">
        <v>11.52</v>
      </c>
      <c r="H62" s="1411">
        <v>11.88</v>
      </c>
      <c r="I62" s="1411" t="s">
        <v>1058</v>
      </c>
      <c r="J62" s="1411" t="s">
        <v>1058</v>
      </c>
    </row>
    <row r="63" spans="2:26">
      <c r="B63" s="1411"/>
      <c r="C63" s="1412">
        <v>33106</v>
      </c>
      <c r="D63" s="1411">
        <v>8.64</v>
      </c>
      <c r="E63" s="1411">
        <v>9.36</v>
      </c>
      <c r="F63" s="1411">
        <v>10.08</v>
      </c>
      <c r="G63" s="1411">
        <v>10.8</v>
      </c>
      <c r="H63" s="1411">
        <v>11.16</v>
      </c>
      <c r="I63" s="1411">
        <v>0</v>
      </c>
      <c r="J63" s="1411">
        <v>0</v>
      </c>
    </row>
    <row r="64" spans="2:26">
      <c r="B64" s="1411"/>
      <c r="C64" s="1412">
        <v>32540</v>
      </c>
      <c r="D64" s="1411">
        <v>11.34</v>
      </c>
      <c r="E64" s="1411">
        <v>11.34</v>
      </c>
      <c r="F64" s="1411">
        <v>12.78</v>
      </c>
      <c r="G64" s="1411">
        <v>14.4</v>
      </c>
      <c r="H64" s="1411">
        <v>19.260000000000002</v>
      </c>
      <c r="I64" s="1411">
        <v>0</v>
      </c>
      <c r="J64" s="1411">
        <v>0</v>
      </c>
    </row>
    <row r="65" spans="2:10">
      <c r="B65" s="1411"/>
      <c r="C65" s="1412"/>
      <c r="D65" s="1411"/>
      <c r="E65" s="1411"/>
      <c r="F65" s="1411"/>
      <c r="G65" s="1411"/>
      <c r="H65" s="1411"/>
      <c r="I65" s="1411"/>
      <c r="J65" s="1411"/>
    </row>
    <row r="66" spans="2:10">
      <c r="B66" s="1414"/>
      <c r="C66" s="1415"/>
      <c r="D66" s="1414"/>
      <c r="E66" s="1414"/>
      <c r="F66" s="1414"/>
      <c r="G66" s="1414"/>
      <c r="H66" s="1414"/>
      <c r="I66" s="1414"/>
      <c r="J66" s="1414"/>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363"/>
      <c r="C69" s="1363"/>
      <c r="D69" s="1363"/>
      <c r="E69" s="1363"/>
      <c r="F69" s="1363"/>
      <c r="G69" s="1363"/>
      <c r="H69" s="1363"/>
      <c r="I69" s="1363"/>
      <c r="J69" s="1363"/>
    </row>
    <row r="70" spans="2:10">
      <c r="B70" s="1363"/>
      <c r="C70" s="1363"/>
      <c r="D70" s="1363"/>
      <c r="E70" s="1363"/>
      <c r="F70" s="1363"/>
      <c r="G70" s="1363"/>
      <c r="H70" s="1363"/>
      <c r="I70" s="1363"/>
      <c r="J70" s="1363"/>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Sheet1</vt:lpstr>
      <vt:lpstr>收益法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2022-05-24T10:07:49Z</dcterms:modified>
</cp:coreProperties>
</file>